
<file path=[Content_Types].xml><?xml version="1.0" encoding="utf-8"?>
<Types xmlns="http://schemas.openxmlformats.org/package/2006/content-types">
  <Default Extension="bin" ContentType="application/vnd.openxmlformats-officedocument.spreadsheetml.customProperty"/>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printerSettings/printerSettings1.bin" ContentType="application/vnd.openxmlformats-officedocument.spreadsheetml.printerSettings"/>
  <Override PartName="/xl/drawings/drawing2.xml" ContentType="application/vnd.openxmlformats-officedocument.drawing+xml"/>
  <Override PartName="/xl/tables/table3.xml" ContentType="application/vnd.openxmlformats-officedocument.spreadsheetml.table+xml"/>
  <Override PartName="/xl/slicers/slicer1.xml" ContentType="application/vnd.ms-excel.slicer+xml"/>
  <Override PartName="/xl/printerSettings/printerSettings2.bin" ContentType="application/vnd.openxmlformats-officedocument.spreadsheetml.printerSettings"/>
  <Override PartName="/xl/drawings/drawing3.xml" ContentType="application/vnd.openxmlformats-officedocument.drawing+xml"/>
  <Override PartName="/xl/tables/table4.xml" ContentType="application/vnd.openxmlformats-officedocument.spreadsheetml.table+xml"/>
  <Override PartName="/xl/slicers/slicer2.xml" ContentType="application/vnd.ms-excel.slicer+xml"/>
  <Override PartName="/xl/tables/table5.xml" ContentType="application/vnd.openxmlformats-officedocument.spreadsheetml.table+xml"/>
  <Override PartName="/xl/tables/table6.xml" ContentType="application/vnd.openxmlformats-officedocument.spreadsheetml.table+xml"/>
  <Override PartName="/xl/printerSettings/printerSettings3.bin" ContentType="application/vnd.openxmlformats-officedocument.spreadsheetml.printerSettings"/>
  <Override PartName="/xl/drawings/drawing4.xml" ContentType="application/vnd.openxmlformats-officedocument.drawing+xml"/>
  <Override PartName="/xl/tables/table7.xml" ContentType="application/vnd.openxmlformats-officedocument.spreadsheetml.table+xml"/>
  <Override PartName="/xl/printerSettings/printerSettings4.bin" ContentType="application/vnd.openxmlformats-officedocument.spreadsheetml.printerSettings"/>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comments2.xml" ContentType="application/vnd.openxmlformats-officedocument.spreadsheetml.comments+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printerSettings/printerSettings5.bin" ContentType="application/vnd.openxmlformats-officedocument.spreadsheetml.printerSettings"/>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printerSettings/printerSettings6.bin" ContentType="application/vnd.openxmlformats-officedocument.spreadsheetml.printerSettings"/>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westernunion-my.sharepoint.com/personal/ronald_ruiz_wu_com/Documents/Desktop/Projects 2025/AGENT OVERSIGHT/"/>
    </mc:Choice>
  </mc:AlternateContent>
  <xr:revisionPtr revIDLastSave="111" documentId="8_{CCB22C32-9CDD-4AFE-9D3B-F59A84E7168B}" xr6:coauthVersionLast="47" xr6:coauthVersionMax="47" xr10:uidLastSave="{C81EFC42-5755-4516-81F3-B6F94F5F82C5}"/>
  <bookViews>
    <workbookView xWindow="22932" yWindow="-108" windowWidth="30936" windowHeight="16776" tabRatio="672" xr2:uid="{37D6D11D-EE07-424E-8234-A1FDD78C885A}"/>
  </bookViews>
  <sheets>
    <sheet name="Gen Info" sheetId="1" r:id="rId1"/>
    <sheet name="Call Flow" sheetId="2" r:id="rId2"/>
    <sheet name="iWatch Flow" sheetId="21" r:id="rId3"/>
    <sheet name="FL Prep" sheetId="4" state="veryHidden" r:id="rId4"/>
    <sheet name="M_Ind Agents - Eng" sheetId="19" state="veryHidden" r:id="rId5"/>
    <sheet name="CRT Users" sheetId="12" state="veryHidden" r:id="rId6"/>
    <sheet name="Questionnaire" sheetId="7" state="veryHidden" r:id="rId7"/>
    <sheet name="Tables" sheetId="8" state="veryHidden" r:id="rId8"/>
    <sheet name="Defined Ranges" sheetId="17" state="veryHidden" r:id="rId9"/>
    <sheet name="Order" sheetId="9" state="veryHidden" r:id="rId10"/>
    <sheet name="Agent Location Data" sheetId="10" state="veryHidden" r:id="rId11"/>
    <sheet name="Access" sheetId="20" state="veryHidden" r:id="rId12"/>
    <sheet name="AAL" sheetId="22" state="veryHidden" r:id="rId13"/>
    <sheet name="CRT_M" sheetId="14" state="veryHidden" r:id="rId14"/>
    <sheet name="raw data" sheetId="15" state="veryHidden" r:id="rId15"/>
    <sheet name="Motive" sheetId="16" state="veryHidden" r:id="rId16"/>
    <sheet name="tbls" sheetId="18" state="veryHidden" r:id="rId17"/>
    <sheet name="free" sheetId="6" state="veryHidden" r:id="rId18"/>
  </sheets>
  <functionGroups builtInGroupCount="19"/>
  <externalReferences>
    <externalReference r:id="rId19"/>
  </externalReferences>
  <definedNames>
    <definedName name="_1">'Defined Ranges'!$C$59</definedName>
    <definedName name="_2">'Defined Ranges'!$C$60:$D$60</definedName>
    <definedName name="_3">'Defined Ranges'!$C$61:$E$61</definedName>
    <definedName name="_4">'Defined Ranges'!$C$62:$F$62</definedName>
    <definedName name="_5">'Defined Ranges'!$C$63:$G$63</definedName>
    <definedName name="_6">'Defined Ranges'!$C$64:$F$64</definedName>
    <definedName name="_7">'Defined Ranges'!$C$65:$E$65</definedName>
    <definedName name="_8">'Defined Ranges'!$C$66:$F$66</definedName>
    <definedName name="_9">'Defined Ranges'!$C$67:$F$67</definedName>
    <definedName name="_xlnm._FilterDatabase" localSheetId="11" hidden="1">Access!$N$74:$N$115</definedName>
    <definedName name="A_0">'Defined Ranges'!$C$42</definedName>
    <definedName name="A_1">'Defined Ranges'!$C$43</definedName>
    <definedName name="A_1A_2">'Defined Ranges'!$C$47:$D$47</definedName>
    <definedName name="A_1A_2A_3">'Defined Ranges'!$C$50:$E$50</definedName>
    <definedName name="A_1A_3">'Defined Ranges'!$C$48:$D$48</definedName>
    <definedName name="A_2">'Defined Ranges'!$C$44</definedName>
    <definedName name="A_2A_3">'Defined Ranges'!$C$49:$D$49</definedName>
    <definedName name="A_3">'Defined Ranges'!$C$45</definedName>
    <definedName name="A_4">'Defined Ranges'!$C$46</definedName>
    <definedName name="APAC" localSheetId="11">Access!$J$75:$J$113</definedName>
    <definedName name="APAC">'Defined Ranges'!$J$3:$J$41</definedName>
    <definedName name="BOSLAs" localSheetId="12">[1]Questionnaire!$H$70:$H$74</definedName>
    <definedName name="BOSLAs" localSheetId="2">Questionnaire!$H$69:$H$73</definedName>
    <definedName name="BOSLAs" localSheetId="4">#REF!</definedName>
    <definedName name="BOSLAs">'Defined Ranges'!$B$3:$B$7</definedName>
    <definedName name="CountryList">Access!$E$74:$E$247</definedName>
    <definedName name="DB2Select">DBtoSelect71[]</definedName>
    <definedName name="EUCIS" localSheetId="11">Access!$K$75:$K$102</definedName>
    <definedName name="EUCIS">'Defined Ranges'!$K$3:$K$30</definedName>
    <definedName name="Find" localSheetId="12">[1]Questionnaire!$H$54:$I$59</definedName>
    <definedName name="Find" localSheetId="2">Questionnaire!$H$52:$I$57</definedName>
    <definedName name="Find" localSheetId="4">#REF!</definedName>
    <definedName name="Find">'Defined Ranges'!$I$58:$J$63</definedName>
    <definedName name="Guidance" localSheetId="12">[1]Questionnaire!$H$62:$I$67</definedName>
    <definedName name="Guidance" localSheetId="4">#REF!</definedName>
    <definedName name="Guidance">'Defined Ranges'!$F$33:$G$38</definedName>
    <definedName name="Independent_Letter_English">'M_Ind Agents - Eng'!$I$6:$N$32</definedName>
    <definedName name="Independent_Letter_French">'M_Ind Agents - Eng'!$AK$6:$AP$32</definedName>
    <definedName name="Independent_Letter_Portuguese">'M_Ind Agents - Eng'!$AY$6:$BD$33</definedName>
    <definedName name="Independent_Letter_PortugueseP">'M_Ind Agents - Eng'!$BM$6:$BR$33</definedName>
    <definedName name="Independent_Letter_Spanish">'M_Ind Agents - Eng'!$W$6:$AB$32</definedName>
    <definedName name="IndependentAustralia_Docs">Access!$AL$6:$AL$20</definedName>
    <definedName name="IndependentCanada_Docs">Access!$AK$6:$AK$20</definedName>
    <definedName name="IndependentUnited_States_Docs">Access!$AJ$6:$AJ$20</definedName>
    <definedName name="LACA" localSheetId="11">Access!$N$77:$N$115</definedName>
    <definedName name="LACA">'Defined Ranges'!$M$3:$M$41</definedName>
    <definedName name="LanguageAll" localSheetId="12">[1]Questionnaire!$F$40:$F$43</definedName>
    <definedName name="LanguageAll" localSheetId="2">Questionnaire!$F$38:$F$41</definedName>
    <definedName name="LanguageAll" localSheetId="4">#REF!</definedName>
    <definedName name="LanguageAll">'Defined Ranges'!$C$16:$C$19</definedName>
    <definedName name="Languages">'Defined Ranges'!$B$16:$B$19</definedName>
    <definedName name="LSelected">'Defined Ranges'!$C$25</definedName>
    <definedName name="Master_Agent_HQsAustralia_Docs">Access!$AO$6:$AO$20</definedName>
    <definedName name="Master_Agent_HQsCanada_Docs">Access!$AN$6:$AN$20</definedName>
    <definedName name="Master_Agent_HQsUnited_States_Docs">Access!$AM$6:$AM$20</definedName>
    <definedName name="MEA" localSheetId="11">Access!$L$75:$L$141</definedName>
    <definedName name="MEA">'Defined Ranges'!$L$3:$L$69</definedName>
    <definedName name="Network_Agent_Letter_English">'M_Ind Agents - Eng'!$P$6:$U$32</definedName>
    <definedName name="Network_Agent_Letter_French">'M_Ind Agents - Eng'!$AR$6:$AW$32</definedName>
    <definedName name="Network_Agent_Letter_Portuguese">'M_Ind Agents - Eng'!$BF$6:$BK$33</definedName>
    <definedName name="Network_Agent_Letter_PortugueseP">'M_Ind Agents - Eng'!$BT$6:$BY$33</definedName>
    <definedName name="Network_Agent_Letter_Spanish">'M_Ind Agents - Eng'!$AD$6:$AI$32</definedName>
    <definedName name="NOAM" localSheetId="11">Access!$I$75:$I$77</definedName>
    <definedName name="NOAM">'Defined Ranges'!$I$3:$I$5</definedName>
    <definedName name="PR_Questionnaire_Active" localSheetId="12">[1]Questionnaire!$F$14:$F$20</definedName>
    <definedName name="PR_Questionnaire_Active" localSheetId="2">Questionnaire!$F$14:$F$19</definedName>
    <definedName name="PR_Questionnaire_Active" localSheetId="4">#REF!</definedName>
    <definedName name="PR_Questionnaire_Active">'Defined Ranges'!$F$3:$F$6</definedName>
    <definedName name="_xlnm.Print_Area" localSheetId="12">AAL!$B$1:$I$53</definedName>
    <definedName name="_xlnm.Print_Area" localSheetId="4">'M_Ind Agents - Eng'!$A$1:$F$62</definedName>
    <definedName name="QSelected">'Defined Ranges'!$C$23</definedName>
    <definedName name="Regions">'Defined Ranges'!$H$3:$H$7</definedName>
    <definedName name="Slicer_Answer">#N/A</definedName>
    <definedName name="Slicer_Answers">#N/A</definedName>
    <definedName name="Slicer_Finding_Type">#N/A</definedName>
    <definedName name="Slicer_Finding_Type1">#N/A</definedName>
    <definedName name="Slicer_Section">#N/A</definedName>
    <definedName name="Slicer_Section1">#N/A</definedName>
    <definedName name="SScript">'Defined Ranges'!$C$27</definedName>
    <definedName name="TOLetter">'M_Ind Agents - Eng'!$A$6:$F$32</definedName>
    <definedName name="Y_N">Access!$AR$6:$AR$7</definedName>
    <definedName name="Y_NO_AMLCFTAF">Access!$AR$10:$AR$13</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0"/>
        <x14:slicerCache r:id="rId21"/>
        <x14:slicerCache r:id="rId22"/>
        <x14:slicerCache r:id="rId23"/>
        <x14:slicerCache r:id="rId24"/>
        <x14:slicerCache r:id="rId25"/>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8" i="2" l="1"/>
  <c r="K8" i="2"/>
  <c r="J9" i="2"/>
  <c r="K9" i="2"/>
  <c r="J10" i="2"/>
  <c r="K10" i="2"/>
  <c r="J11" i="2"/>
  <c r="K11" i="2"/>
  <c r="J12" i="2"/>
  <c r="K12" i="2"/>
  <c r="J13" i="2"/>
  <c r="K13" i="2"/>
  <c r="J14" i="2"/>
  <c r="K14" i="2"/>
  <c r="J15" i="2"/>
  <c r="K15" i="2"/>
  <c r="J16" i="2"/>
  <c r="K16" i="2"/>
  <c r="J17" i="2"/>
  <c r="K17" i="2"/>
  <c r="J18" i="2"/>
  <c r="K18" i="2"/>
  <c r="J19" i="2"/>
  <c r="K19" i="2"/>
  <c r="J20" i="2"/>
  <c r="K20" i="2"/>
  <c r="J21" i="2"/>
  <c r="K21" i="2"/>
  <c r="J22" i="2"/>
  <c r="K22" i="2"/>
  <c r="J23" i="2"/>
  <c r="K23" i="2"/>
  <c r="J24" i="2"/>
  <c r="K24" i="2"/>
  <c r="J25" i="2"/>
  <c r="K25" i="2"/>
  <c r="J26" i="2"/>
  <c r="K26" i="2"/>
  <c r="J27" i="2"/>
  <c r="K27" i="2"/>
  <c r="J28" i="2"/>
  <c r="K28" i="2"/>
  <c r="J29" i="2"/>
  <c r="K29" i="2"/>
  <c r="J30" i="2"/>
  <c r="K30" i="2"/>
  <c r="J31" i="2"/>
  <c r="K31" i="2"/>
  <c r="J32" i="2"/>
  <c r="K32" i="2"/>
  <c r="J33" i="2"/>
  <c r="K33" i="2"/>
  <c r="J34" i="2"/>
  <c r="K34" i="2"/>
  <c r="J35" i="2"/>
  <c r="K35" i="2"/>
  <c r="J36" i="2"/>
  <c r="K36" i="2"/>
  <c r="J37" i="2"/>
  <c r="K37" i="2"/>
  <c r="J38" i="2"/>
  <c r="K38" i="2"/>
  <c r="J39" i="2"/>
  <c r="K39" i="2"/>
  <c r="J40" i="2"/>
  <c r="K40" i="2"/>
  <c r="J41" i="2"/>
  <c r="K41" i="2"/>
  <c r="K7" i="2"/>
  <c r="K42" i="2"/>
  <c r="K43" i="2"/>
  <c r="K44" i="2"/>
  <c r="K45" i="2"/>
  <c r="K46" i="2"/>
  <c r="K47" i="2"/>
  <c r="J7" i="2"/>
  <c r="J42" i="2"/>
  <c r="J43" i="2"/>
  <c r="J44" i="2"/>
  <c r="J45" i="2"/>
  <c r="J46" i="2"/>
  <c r="J47" i="2"/>
  <c r="L94" i="4"/>
  <c r="N56" i="4"/>
  <c r="Z4" i="4"/>
  <c r="Z5" i="4"/>
  <c r="Z6" i="4"/>
  <c r="Z7" i="4"/>
  <c r="Z8" i="4"/>
  <c r="Z9" i="4"/>
  <c r="Z10" i="4"/>
  <c r="Z11" i="4"/>
  <c r="Z12" i="4"/>
  <c r="Z13" i="4"/>
  <c r="Z14" i="4"/>
  <c r="Z15" i="4"/>
  <c r="Z16" i="4"/>
  <c r="Z17" i="4"/>
  <c r="Z18" i="4"/>
  <c r="Z19" i="4"/>
  <c r="Z20" i="4"/>
  <c r="Z21" i="4"/>
  <c r="Z22" i="4"/>
  <c r="Z23" i="4"/>
  <c r="Z24" i="4"/>
  <c r="Z25" i="4"/>
  <c r="Z26" i="4"/>
  <c r="Z27" i="4"/>
  <c r="Z28" i="4"/>
  <c r="Z29" i="4"/>
  <c r="Z30" i="4"/>
  <c r="Z31" i="4"/>
  <c r="Z32" i="4"/>
  <c r="Z33" i="4"/>
  <c r="Z34" i="4"/>
  <c r="L2" i="4"/>
  <c r="L3"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AO163" i="8" l="1"/>
  <c r="AQ163" i="8" a="1"/>
  <c r="AQ163" i="8" s="1"/>
  <c r="AV163" i="8" a="1"/>
  <c r="AV163" i="8" s="1"/>
  <c r="AO162" i="8"/>
  <c r="AQ162" i="8" a="1"/>
  <c r="AQ162" i="8" s="1"/>
  <c r="AV162" i="8" a="1"/>
  <c r="AV162" i="8" s="1"/>
  <c r="AO160" i="8"/>
  <c r="AQ160" i="8" a="1"/>
  <c r="AQ160" i="8" s="1"/>
  <c r="AV160" i="8" a="1"/>
  <c r="AV160" i="8" s="1"/>
  <c r="AO158" i="8"/>
  <c r="AQ158" i="8" a="1"/>
  <c r="AQ158" i="8" s="1"/>
  <c r="AV158" i="8" a="1"/>
  <c r="AV158" i="8" s="1"/>
  <c r="AO156" i="8"/>
  <c r="AQ156" i="8" a="1"/>
  <c r="AQ156" i="8" s="1"/>
  <c r="AV156" i="8" a="1"/>
  <c r="AV156" i="8" s="1"/>
  <c r="AO164" i="8"/>
  <c r="AQ164" i="8" a="1"/>
  <c r="AQ164" i="8" s="1"/>
  <c r="AV164" i="8" a="1"/>
  <c r="AV164" i="8" s="1"/>
  <c r="AO159" i="8"/>
  <c r="AO161" i="8"/>
  <c r="AQ159" i="8" a="1"/>
  <c r="AQ159" i="8" s="1"/>
  <c r="AQ161" i="8" a="1"/>
  <c r="AQ161" i="8" s="1"/>
  <c r="AV159" i="8" a="1"/>
  <c r="AV159" i="8" s="1"/>
  <c r="AV161" i="8" a="1"/>
  <c r="AV161" i="8" s="1"/>
  <c r="AO157" i="8"/>
  <c r="AQ157" i="8" a="1"/>
  <c r="AQ157" i="8" s="1"/>
  <c r="AV157" i="8" a="1"/>
  <c r="AV157" i="8" s="1"/>
  <c r="AO155" i="8"/>
  <c r="AQ155" i="8" a="1"/>
  <c r="AQ155" i="8" s="1"/>
  <c r="AV155" i="8" a="1"/>
  <c r="AV155" i="8" s="1"/>
  <c r="AP157" i="8"/>
  <c r="AP158" i="8"/>
  <c r="AO143" i="8" l="1"/>
  <c r="AQ143" i="8" a="1"/>
  <c r="AQ143" i="8" s="1"/>
  <c r="AV143" i="8" a="1"/>
  <c r="AV143" i="8" s="1"/>
  <c r="AO152" i="8"/>
  <c r="AQ152" i="8" a="1"/>
  <c r="AQ152" i="8" s="1"/>
  <c r="AV152" i="8" a="1"/>
  <c r="AV152" i="8" s="1"/>
  <c r="AO151" i="8"/>
  <c r="AQ151" i="8" a="1"/>
  <c r="AQ151" i="8" s="1"/>
  <c r="AV151" i="8" a="1"/>
  <c r="AV151" i="8" s="1"/>
  <c r="AO149" i="8"/>
  <c r="AQ149" i="8" a="1"/>
  <c r="AQ149" i="8" s="1"/>
  <c r="AV149" i="8" a="1"/>
  <c r="AV149" i="8" s="1"/>
  <c r="AO145" i="8"/>
  <c r="AQ145" i="8" a="1"/>
  <c r="AQ145" i="8" s="1"/>
  <c r="AV145" i="8" a="1"/>
  <c r="AV145" i="8" s="1"/>
  <c r="AO141" i="8"/>
  <c r="AO142" i="8"/>
  <c r="AO144" i="8"/>
  <c r="AO146" i="8"/>
  <c r="AO147" i="8"/>
  <c r="AO148" i="8"/>
  <c r="AO150" i="8"/>
  <c r="AO153" i="8"/>
  <c r="AO154" i="8"/>
  <c r="AQ141" i="8" a="1"/>
  <c r="AQ141" i="8" s="1"/>
  <c r="AQ142" i="8" a="1"/>
  <c r="AQ142" i="8" s="1"/>
  <c r="AQ144" i="8" a="1"/>
  <c r="AQ144" i="8" s="1"/>
  <c r="AQ146" i="8" a="1"/>
  <c r="AQ146" i="8" s="1"/>
  <c r="AQ147" i="8" a="1"/>
  <c r="AQ147" i="8" s="1"/>
  <c r="AQ148" i="8" a="1"/>
  <c r="AQ148" i="8" s="1"/>
  <c r="AQ150" i="8" a="1"/>
  <c r="AQ150" i="8" s="1"/>
  <c r="AQ153" i="8" a="1"/>
  <c r="AQ153" i="8" s="1"/>
  <c r="AQ154" i="8" a="1"/>
  <c r="AQ154" i="8" s="1"/>
  <c r="AV141" i="8" a="1"/>
  <c r="AV141" i="8" s="1"/>
  <c r="AV142" i="8" a="1"/>
  <c r="AV142" i="8" s="1"/>
  <c r="AV144" i="8" a="1"/>
  <c r="AV144" i="8" s="1"/>
  <c r="AV146" i="8" a="1"/>
  <c r="AV146" i="8" s="1"/>
  <c r="AV147" i="8" a="1"/>
  <c r="AV147" i="8" s="1"/>
  <c r="AV148" i="8" a="1"/>
  <c r="AV148" i="8" s="1"/>
  <c r="AV150" i="8" a="1"/>
  <c r="AV150" i="8" s="1"/>
  <c r="AV153" i="8" a="1"/>
  <c r="AV153" i="8" s="1"/>
  <c r="AV154" i="8" a="1"/>
  <c r="AV154" i="8" s="1"/>
  <c r="B138" i="8"/>
  <c r="I138" i="8" a="1"/>
  <c r="I138" i="8" s="1"/>
  <c r="B136" i="8"/>
  <c r="I136" i="8" a="1"/>
  <c r="I136" i="8" s="1"/>
  <c r="B134" i="8"/>
  <c r="I134" i="8" a="1"/>
  <c r="I134" i="8" s="1"/>
  <c r="B132" i="8"/>
  <c r="I132" i="8" a="1"/>
  <c r="I132" i="8" s="1"/>
  <c r="B133" i="8"/>
  <c r="B135" i="8"/>
  <c r="B137" i="8"/>
  <c r="I133" i="8" a="1"/>
  <c r="I133" i="8" s="1"/>
  <c r="I135" i="8" a="1"/>
  <c r="I135" i="8" s="1"/>
  <c r="I137" i="8" a="1"/>
  <c r="I137" i="8" s="1"/>
  <c r="S36" i="2"/>
  <c r="S37" i="2"/>
  <c r="S38" i="2"/>
  <c r="S39" i="2"/>
  <c r="S40" i="2"/>
  <c r="S41" i="2"/>
  <c r="S42" i="2"/>
  <c r="S43" i="2"/>
  <c r="S44" i="2"/>
  <c r="S45" i="2"/>
  <c r="S46" i="2"/>
  <c r="S47" i="2"/>
  <c r="T36" i="2"/>
  <c r="T37" i="2"/>
  <c r="T38" i="2"/>
  <c r="T39" i="2"/>
  <c r="T40" i="2"/>
  <c r="T41" i="2"/>
  <c r="T42" i="2"/>
  <c r="T43" i="2"/>
  <c r="T45" i="2"/>
  <c r="T46" i="2"/>
  <c r="T47" i="2"/>
  <c r="AP149" i="8"/>
  <c r="AP142" i="8"/>
  <c r="AP148" i="8"/>
  <c r="AP144" i="8"/>
  <c r="AP146" i="8"/>
  <c r="C136" i="8"/>
  <c r="AP145" i="8"/>
  <c r="C134" i="8"/>
  <c r="AP143" i="8"/>
  <c r="AP147" i="8"/>
  <c r="C135" i="8"/>
  <c r="C133" i="8"/>
  <c r="CB27" i="8" l="1"/>
  <c r="CI27" i="8" a="1"/>
  <c r="CI27" i="8" s="1"/>
  <c r="CC27" i="8"/>
  <c r="O272" i="7" l="1"/>
  <c r="O273" i="7" s="1"/>
  <c r="O274" i="7" s="1"/>
  <c r="O275" i="7" s="1"/>
  <c r="O276" i="7" s="1"/>
  <c r="O277" i="7" s="1"/>
  <c r="O278" i="7" s="1"/>
  <c r="O279" i="7" s="1"/>
  <c r="O280" i="7" s="1"/>
  <c r="O281" i="7" s="1"/>
  <c r="O282" i="7" s="1"/>
  <c r="O283" i="7" s="1"/>
  <c r="O284" i="7" s="1"/>
  <c r="O285" i="7" s="1"/>
  <c r="O286" i="7" s="1"/>
  <c r="O287" i="7" s="1"/>
  <c r="O288" i="7" s="1"/>
  <c r="O289" i="7" s="1"/>
  <c r="O290" i="7" s="1"/>
  <c r="O291" i="7" s="1"/>
  <c r="O292" i="7" s="1"/>
  <c r="O293" i="7" s="1"/>
  <c r="O294" i="7" s="1"/>
  <c r="O295" i="7" s="1"/>
  <c r="W17" i="7" l="1"/>
  <c r="Y17" i="7"/>
  <c r="W18" i="7"/>
  <c r="Y18" i="7"/>
  <c r="W19" i="7"/>
  <c r="Y19" i="7"/>
  <c r="W20" i="7"/>
  <c r="Y20" i="7"/>
  <c r="W21" i="7"/>
  <c r="Y21" i="7"/>
  <c r="W22" i="7"/>
  <c r="Y22" i="7"/>
  <c r="W23" i="7"/>
  <c r="Y23" i="7"/>
  <c r="W24" i="7"/>
  <c r="Y24" i="7"/>
  <c r="AY28" i="7"/>
  <c r="B13" i="8"/>
  <c r="C13" i="8"/>
  <c r="I13" i="8" l="1" a="1"/>
  <c r="I13" i="8" s="1"/>
  <c r="AY26" i="7"/>
  <c r="B11" i="8"/>
  <c r="I11" i="8" a="1"/>
  <c r="I11" i="8" s="1"/>
  <c r="AY24" i="7"/>
  <c r="AY25" i="7"/>
  <c r="B127" i="8"/>
  <c r="I127" i="8" a="1"/>
  <c r="I127" i="8" s="1"/>
  <c r="B125" i="8"/>
  <c r="I125" i="8" a="1"/>
  <c r="I125" i="8" s="1"/>
  <c r="C11" i="8"/>
  <c r="B122" i="8" l="1"/>
  <c r="I122" i="8" a="1"/>
  <c r="I122" i="8" s="1"/>
  <c r="B78" i="8"/>
  <c r="I78" i="8" a="1"/>
  <c r="I78" i="8" s="1"/>
  <c r="B79" i="8"/>
  <c r="I79" i="8" a="1"/>
  <c r="I79" i="8" s="1"/>
  <c r="AY17" i="7"/>
  <c r="U93" i="8"/>
  <c r="W93" i="8" a="1"/>
  <c r="W93" i="8" s="1"/>
  <c r="AB93" i="8" a="1"/>
  <c r="AB93" i="8" s="1"/>
  <c r="U92" i="8"/>
  <c r="W92" i="8" a="1"/>
  <c r="W92" i="8" s="1"/>
  <c r="AB92" i="8" a="1"/>
  <c r="AB92" i="8" s="1"/>
  <c r="U91" i="8"/>
  <c r="W91" i="8" a="1"/>
  <c r="W91" i="8" s="1"/>
  <c r="AB91" i="8" a="1"/>
  <c r="AB91" i="8" s="1"/>
  <c r="BC138" i="7"/>
  <c r="BA138" i="7"/>
  <c r="AY138" i="7"/>
  <c r="U90" i="8"/>
  <c r="W90" i="8" a="1"/>
  <c r="W90" i="8" s="1"/>
  <c r="AB90" i="8" a="1"/>
  <c r="AB90" i="8" s="1"/>
  <c r="BC136" i="7"/>
  <c r="BA136" i="7"/>
  <c r="AY136" i="7"/>
  <c r="AY132" i="7"/>
  <c r="BA132" i="7"/>
  <c r="BC132" i="7"/>
  <c r="AO60" i="8"/>
  <c r="AQ60" i="8" a="1"/>
  <c r="AQ60" i="8" s="1"/>
  <c r="AV60" i="8" a="1"/>
  <c r="AV60" i="8" s="1"/>
  <c r="AO61" i="8"/>
  <c r="AQ61" i="8" a="1"/>
  <c r="AQ61" i="8" s="1"/>
  <c r="AV61" i="8" a="1"/>
  <c r="AV61" i="8" s="1"/>
  <c r="BC77" i="7"/>
  <c r="BA77" i="7"/>
  <c r="AY77" i="7"/>
  <c r="AO58" i="8"/>
  <c r="AQ58" i="8" a="1"/>
  <c r="AQ58" i="8" s="1"/>
  <c r="AV58" i="8" a="1"/>
  <c r="AV58" i="8" s="1"/>
  <c r="AO59" i="8"/>
  <c r="AQ59" i="8" a="1"/>
  <c r="AQ59" i="8" s="1"/>
  <c r="AV59" i="8" a="1"/>
  <c r="AV59" i="8" s="1"/>
  <c r="BC75" i="7"/>
  <c r="BA75" i="7"/>
  <c r="AY75" i="7"/>
  <c r="V90" i="8"/>
  <c r="V93" i="8"/>
  <c r="V91" i="8"/>
  <c r="V92" i="8"/>
  <c r="AF53" i="7" l="1"/>
  <c r="H1" i="1"/>
  <c r="AB2" i="1" l="1"/>
  <c r="BB12" i="22"/>
  <c r="BA12" i="22"/>
  <c r="BB11" i="22"/>
  <c r="BA11" i="22"/>
  <c r="I1" i="22" a="1"/>
  <c r="I1" i="22" s="1"/>
  <c r="G10" i="22" l="1"/>
  <c r="BD11" i="22"/>
  <c r="BE11" i="22"/>
  <c r="BD12" i="22"/>
  <c r="BE12" i="22"/>
  <c r="BF12" i="22"/>
  <c r="D15" i="22"/>
  <c r="D16" i="22"/>
  <c r="C17" i="22"/>
  <c r="G18" i="22"/>
  <c r="G19" i="22"/>
  <c r="G20" i="22"/>
  <c r="D21" i="22"/>
  <c r="D22" i="22"/>
  <c r="D23" i="22"/>
  <c r="D24" i="22"/>
  <c r="C25" i="22"/>
  <c r="D28" i="22"/>
  <c r="D29" i="22"/>
  <c r="D30" i="22"/>
  <c r="C31" i="22"/>
  <c r="G32" i="22"/>
  <c r="G33" i="22"/>
  <c r="G34" i="22"/>
  <c r="D35" i="22"/>
  <c r="H36" i="22"/>
  <c r="H37" i="22"/>
  <c r="H38" i="22"/>
  <c r="H41" i="22"/>
  <c r="H42" i="22"/>
  <c r="H43" i="22"/>
  <c r="B47" i="22"/>
  <c r="E50" i="22"/>
  <c r="BF11" i="22" l="1"/>
  <c r="F3" i="22"/>
  <c r="C5" i="22"/>
  <c r="C6" i="22"/>
  <c r="H10" i="22"/>
  <c r="D12" i="22"/>
  <c r="D13" i="22"/>
  <c r="C14" i="22"/>
  <c r="G15" i="22"/>
  <c r="G16" i="22"/>
  <c r="D17" i="22"/>
  <c r="H18" i="22"/>
  <c r="H19" i="22"/>
  <c r="H20" i="22"/>
  <c r="G21" i="22"/>
  <c r="G22" i="22"/>
  <c r="G23" i="22"/>
  <c r="G24" i="22"/>
  <c r="D25" i="22"/>
  <c r="D26" i="22"/>
  <c r="C27" i="22"/>
  <c r="G28" i="22"/>
  <c r="G29" i="22"/>
  <c r="G30" i="22"/>
  <c r="D31" i="22"/>
  <c r="H32" i="22"/>
  <c r="H33" i="22"/>
  <c r="H34" i="22"/>
  <c r="D40" i="22"/>
  <c r="C41" i="22"/>
  <c r="E47" i="22"/>
  <c r="F50" i="22"/>
  <c r="B4" i="22"/>
  <c r="H8" i="22"/>
  <c r="H9" i="22"/>
  <c r="J3" i="22"/>
  <c r="D5" i="22"/>
  <c r="D6" i="22"/>
  <c r="D7" i="22"/>
  <c r="D8" i="22"/>
  <c r="D9" i="22"/>
  <c r="C10" i="22"/>
  <c r="G12" i="22"/>
  <c r="G13" i="22"/>
  <c r="D14" i="22"/>
  <c r="H15" i="22"/>
  <c r="H16" i="22"/>
  <c r="H21" i="22"/>
  <c r="H22" i="22"/>
  <c r="H23" i="22"/>
  <c r="H24" i="22"/>
  <c r="G25" i="22"/>
  <c r="G26" i="22"/>
  <c r="D27" i="22"/>
  <c r="H28" i="22"/>
  <c r="H29" i="22"/>
  <c r="H30" i="22"/>
  <c r="D36" i="22"/>
  <c r="D37" i="22"/>
  <c r="D38" i="22"/>
  <c r="C39" i="22"/>
  <c r="G40" i="22"/>
  <c r="D41" i="22"/>
  <c r="D42" i="22"/>
  <c r="D43" i="22"/>
  <c r="C44" i="22"/>
  <c r="F47" i="22"/>
  <c r="B53" i="22"/>
  <c r="K2" i="22"/>
  <c r="H6" i="22"/>
  <c r="H7" i="22"/>
  <c r="J2" i="22"/>
  <c r="K3" i="22"/>
  <c r="F5" i="22"/>
  <c r="G6" i="22"/>
  <c r="G7" i="22"/>
  <c r="G8" i="22"/>
  <c r="G9" i="22"/>
  <c r="D10" i="22"/>
  <c r="D11" i="22"/>
  <c r="H12" i="22"/>
  <c r="H13" i="22"/>
  <c r="D18" i="22"/>
  <c r="D19" i="22"/>
  <c r="D20" i="22"/>
  <c r="C21" i="22"/>
  <c r="H25" i="22"/>
  <c r="H26" i="22"/>
  <c r="D32" i="22"/>
  <c r="D33" i="22"/>
  <c r="D34" i="22"/>
  <c r="C35" i="22"/>
  <c r="G36" i="22"/>
  <c r="G37" i="22"/>
  <c r="G38" i="22"/>
  <c r="D39" i="22"/>
  <c r="H40" i="22"/>
  <c r="G41" i="22"/>
  <c r="G42" i="22"/>
  <c r="G43" i="22"/>
  <c r="B46" i="22"/>
  <c r="B50" i="22"/>
  <c r="G5" i="22"/>
  <c r="AO52" i="8" l="1"/>
  <c r="AQ52" i="8" a="1"/>
  <c r="AQ52" i="8" s="1"/>
  <c r="AV52" i="8" a="1"/>
  <c r="AV52" i="8" s="1"/>
  <c r="AO51" i="8"/>
  <c r="AQ51" i="8" a="1"/>
  <c r="AQ51" i="8" s="1"/>
  <c r="AV51" i="8" a="1"/>
  <c r="AV51" i="8" s="1"/>
  <c r="AO46" i="8"/>
  <c r="AQ46" i="8" a="1"/>
  <c r="AQ46" i="8" s="1"/>
  <c r="AV46" i="8" a="1"/>
  <c r="AV46" i="8" s="1"/>
  <c r="AO45" i="8"/>
  <c r="AQ45" i="8" a="1"/>
  <c r="AQ45" i="8" s="1"/>
  <c r="AV45" i="8" a="1"/>
  <c r="AV45" i="8" s="1"/>
  <c r="AO33" i="8"/>
  <c r="AQ33" i="8" a="1"/>
  <c r="AQ33" i="8" s="1"/>
  <c r="AV33" i="8" a="1"/>
  <c r="AV33" i="8" s="1"/>
  <c r="AO32" i="8"/>
  <c r="AQ32" i="8" a="1"/>
  <c r="AQ32" i="8" s="1"/>
  <c r="AV32" i="8" a="1"/>
  <c r="AV32" i="8" s="1"/>
  <c r="AA67" i="7"/>
  <c r="Y67" i="7"/>
  <c r="W67" i="7"/>
  <c r="AA66" i="7"/>
  <c r="Y66" i="7"/>
  <c r="W66" i="7"/>
  <c r="AA97" i="7"/>
  <c r="U89" i="8"/>
  <c r="W89" i="8" a="1"/>
  <c r="W89" i="8" s="1"/>
  <c r="AB89" i="8" a="1"/>
  <c r="AB89" i="8" s="1"/>
  <c r="U88" i="8"/>
  <c r="W88" i="8" a="1"/>
  <c r="W88" i="8" s="1"/>
  <c r="AB88" i="8" a="1"/>
  <c r="AB88" i="8" s="1"/>
  <c r="U87" i="8"/>
  <c r="W87" i="8" a="1"/>
  <c r="W87" i="8" s="1"/>
  <c r="AB87" i="8" a="1"/>
  <c r="AB87" i="8" s="1"/>
  <c r="U86" i="8"/>
  <c r="W86" i="8" a="1"/>
  <c r="W86" i="8" s="1"/>
  <c r="AB86" i="8" a="1"/>
  <c r="AB86" i="8" s="1"/>
  <c r="U85" i="8"/>
  <c r="W85" i="8" a="1"/>
  <c r="W85" i="8" s="1"/>
  <c r="AB85" i="8" a="1"/>
  <c r="AB85" i="8" s="1"/>
  <c r="U84" i="8"/>
  <c r="W84" i="8" a="1"/>
  <c r="W84" i="8" s="1"/>
  <c r="AB84" i="8" a="1"/>
  <c r="AB84" i="8" s="1"/>
  <c r="AA196" i="7"/>
  <c r="Y196" i="7"/>
  <c r="W196" i="7"/>
  <c r="AA195" i="7"/>
  <c r="Y195" i="7"/>
  <c r="W195" i="7"/>
  <c r="AA192" i="7"/>
  <c r="Y192" i="7"/>
  <c r="W192" i="7"/>
  <c r="AA191" i="7"/>
  <c r="Y191" i="7"/>
  <c r="W191" i="7"/>
  <c r="AA194" i="7"/>
  <c r="L95" i="4"/>
  <c r="L96" i="4"/>
  <c r="B131" i="8" l="1"/>
  <c r="I131" i="8" a="1"/>
  <c r="I131" i="8" s="1"/>
  <c r="B130" i="8"/>
  <c r="I130" i="8" a="1"/>
  <c r="I130" i="8" s="1"/>
  <c r="Y46" i="7"/>
  <c r="W46" i="7"/>
  <c r="B129" i="8"/>
  <c r="I129" i="8" a="1"/>
  <c r="I129" i="8" s="1"/>
  <c r="B128" i="8"/>
  <c r="I128" i="8" a="1"/>
  <c r="I128" i="8" s="1"/>
  <c r="B126" i="8"/>
  <c r="Y43" i="7"/>
  <c r="W43" i="7"/>
  <c r="AM2" i="1"/>
  <c r="F2" i="21"/>
  <c r="F3" i="21"/>
  <c r="F4" i="21"/>
  <c r="Y4" i="1"/>
  <c r="X4" i="1"/>
  <c r="H3" i="21" l="1" a="1"/>
  <c r="H3" i="21" s="1"/>
  <c r="AW6" i="15" a="1"/>
  <c r="AW6" i="15" s="1"/>
  <c r="AW4" i="15" s="1"/>
  <c r="AA34" i="4" l="1"/>
  <c r="Q66" i="20"/>
  <c r="Q65" i="20"/>
  <c r="Q64" i="20"/>
  <c r="Q63" i="20"/>
  <c r="Q62" i="20"/>
  <c r="Q61" i="20"/>
  <c r="Q60" i="20"/>
  <c r="Q59" i="20"/>
  <c r="Q57" i="20"/>
  <c r="Q52" i="20"/>
  <c r="Q51" i="20"/>
  <c r="Q50" i="20"/>
  <c r="Q49" i="20"/>
  <c r="Q47" i="20"/>
  <c r="Q46" i="20"/>
  <c r="Q45" i="20"/>
  <c r="Q44" i="20"/>
  <c r="Z6" i="20"/>
  <c r="F248" i="20"/>
  <c r="F247" i="20"/>
  <c r="F246" i="20"/>
  <c r="F245" i="20"/>
  <c r="F244" i="20"/>
  <c r="F243" i="20"/>
  <c r="F242" i="20"/>
  <c r="F241" i="20"/>
  <c r="F240" i="20"/>
  <c r="F239" i="20"/>
  <c r="F238" i="20"/>
  <c r="F237" i="20"/>
  <c r="F236" i="20"/>
  <c r="F235" i="20"/>
  <c r="F234" i="20"/>
  <c r="F233" i="20"/>
  <c r="F232" i="20"/>
  <c r="F231" i="20"/>
  <c r="F230" i="20"/>
  <c r="F229" i="20"/>
  <c r="F228" i="20"/>
  <c r="F227" i="20"/>
  <c r="F226" i="20"/>
  <c r="F225" i="20"/>
  <c r="F224" i="20"/>
  <c r="F223" i="20"/>
  <c r="F222" i="20"/>
  <c r="F221" i="20"/>
  <c r="F220" i="20"/>
  <c r="F219" i="20"/>
  <c r="F218" i="20"/>
  <c r="F217" i="20"/>
  <c r="F216" i="20"/>
  <c r="F215" i="20"/>
  <c r="F214" i="20"/>
  <c r="F213" i="20"/>
  <c r="F212" i="20"/>
  <c r="F211" i="20"/>
  <c r="F210" i="20"/>
  <c r="F209" i="20"/>
  <c r="F208" i="20"/>
  <c r="F207" i="20"/>
  <c r="F206" i="20"/>
  <c r="F205" i="20"/>
  <c r="F204" i="20"/>
  <c r="F203" i="20"/>
  <c r="F202" i="20"/>
  <c r="F201" i="20"/>
  <c r="F200" i="20"/>
  <c r="F199" i="20"/>
  <c r="F198" i="20"/>
  <c r="F197" i="20"/>
  <c r="F196" i="20"/>
  <c r="F195" i="20"/>
  <c r="F194" i="20"/>
  <c r="F193" i="20"/>
  <c r="F192" i="20"/>
  <c r="F191" i="20"/>
  <c r="F190" i="20"/>
  <c r="F189" i="20"/>
  <c r="F188" i="20"/>
  <c r="F187" i="20"/>
  <c r="F186" i="20"/>
  <c r="F185" i="20"/>
  <c r="F184" i="20"/>
  <c r="F183" i="20"/>
  <c r="F182" i="20"/>
  <c r="F181" i="20"/>
  <c r="F180" i="20"/>
  <c r="F179" i="20"/>
  <c r="F178" i="20"/>
  <c r="F177" i="20"/>
  <c r="F176" i="20"/>
  <c r="F175" i="20"/>
  <c r="F174" i="20"/>
  <c r="F173" i="20"/>
  <c r="F172" i="20"/>
  <c r="F171" i="20"/>
  <c r="F170" i="20"/>
  <c r="F169" i="20"/>
  <c r="F168" i="20"/>
  <c r="F167" i="20"/>
  <c r="F166" i="20"/>
  <c r="F165" i="20"/>
  <c r="F164" i="20"/>
  <c r="F163" i="20"/>
  <c r="F162" i="20"/>
  <c r="F161" i="20"/>
  <c r="F160" i="20"/>
  <c r="F159" i="20"/>
  <c r="F158" i="20"/>
  <c r="F157" i="20"/>
  <c r="F156" i="20"/>
  <c r="F155" i="20"/>
  <c r="F154" i="20"/>
  <c r="F153" i="20"/>
  <c r="F152" i="20"/>
  <c r="F151" i="20"/>
  <c r="F150" i="20"/>
  <c r="F149" i="20"/>
  <c r="F148" i="20"/>
  <c r="F147" i="20"/>
  <c r="F146" i="20"/>
  <c r="F145" i="20"/>
  <c r="F144" i="20"/>
  <c r="F143" i="20"/>
  <c r="F142" i="20"/>
  <c r="F141" i="20"/>
  <c r="F140" i="20"/>
  <c r="F139" i="20"/>
  <c r="F138" i="20"/>
  <c r="F137" i="20"/>
  <c r="F136" i="20"/>
  <c r="F135" i="20"/>
  <c r="F134" i="20"/>
  <c r="F133" i="20"/>
  <c r="F132" i="20"/>
  <c r="F131" i="20"/>
  <c r="F130" i="20"/>
  <c r="F129" i="20"/>
  <c r="F128" i="20"/>
  <c r="F127" i="20"/>
  <c r="F126" i="20"/>
  <c r="F125" i="20"/>
  <c r="F124" i="20"/>
  <c r="F123" i="20"/>
  <c r="F122" i="20"/>
  <c r="F121" i="20"/>
  <c r="F120" i="20"/>
  <c r="F119" i="20"/>
  <c r="F118" i="20"/>
  <c r="F117" i="20"/>
  <c r="F116" i="20"/>
  <c r="F115" i="20"/>
  <c r="F114" i="20"/>
  <c r="F113" i="20"/>
  <c r="F112" i="20"/>
  <c r="F111" i="20"/>
  <c r="F110" i="20"/>
  <c r="F109" i="20"/>
  <c r="F108" i="20"/>
  <c r="F107" i="20"/>
  <c r="F106" i="20"/>
  <c r="F105" i="20"/>
  <c r="F104" i="20"/>
  <c r="F103" i="20"/>
  <c r="F102" i="20"/>
  <c r="F101" i="20"/>
  <c r="F100" i="20"/>
  <c r="F99" i="20"/>
  <c r="F98" i="20"/>
  <c r="F97" i="20"/>
  <c r="F96" i="20"/>
  <c r="F95" i="20"/>
  <c r="F94" i="20"/>
  <c r="F93" i="20"/>
  <c r="F92" i="20"/>
  <c r="F91" i="20"/>
  <c r="F90" i="20"/>
  <c r="F89" i="20"/>
  <c r="F88" i="20"/>
  <c r="F87" i="20"/>
  <c r="F86" i="20"/>
  <c r="F85" i="20"/>
  <c r="F84" i="20"/>
  <c r="F83" i="20"/>
  <c r="F82" i="20"/>
  <c r="F81" i="20"/>
  <c r="F80" i="20"/>
  <c r="F79" i="20"/>
  <c r="F78" i="20"/>
  <c r="F77" i="20"/>
  <c r="Q69" i="20"/>
  <c r="R37" i="20"/>
  <c r="Q37" i="20"/>
  <c r="R33" i="20"/>
  <c r="Q33" i="20"/>
  <c r="R29" i="20"/>
  <c r="Q29" i="20"/>
  <c r="R25" i="20"/>
  <c r="Q25" i="20"/>
  <c r="N21" i="20"/>
  <c r="R18" i="20"/>
  <c r="Q18" i="20"/>
  <c r="R14" i="20"/>
  <c r="Q14" i="20"/>
  <c r="R10" i="20"/>
  <c r="Q10" i="20"/>
  <c r="R6" i="20"/>
  <c r="Q6" i="20"/>
  <c r="AO5" i="20"/>
  <c r="AN5" i="20"/>
  <c r="AM5" i="20"/>
  <c r="AL5" i="20"/>
  <c r="AK5" i="20"/>
  <c r="AJ5" i="20"/>
  <c r="AY19" i="7"/>
  <c r="AY18" i="7"/>
  <c r="AY16" i="7"/>
  <c r="AY15" i="7"/>
  <c r="AY14" i="7"/>
  <c r="AY13" i="7"/>
  <c r="AY12" i="7"/>
  <c r="AY11" i="7"/>
  <c r="AR61" i="19"/>
  <c r="AK61" i="19"/>
  <c r="AD61" i="19"/>
  <c r="W61" i="19"/>
  <c r="P61" i="19"/>
  <c r="I61" i="19"/>
  <c r="AR60" i="19"/>
  <c r="AK60" i="19"/>
  <c r="AD60" i="19"/>
  <c r="W60" i="19"/>
  <c r="P60" i="19"/>
  <c r="I60" i="19"/>
  <c r="AK38" i="19"/>
  <c r="AK24" i="19" s="1"/>
  <c r="X37" i="19"/>
  <c r="W24" i="19" s="1"/>
  <c r="J37" i="19"/>
  <c r="I24" i="19" s="1"/>
  <c r="BT31" i="19"/>
  <c r="BM31" i="19"/>
  <c r="BF31" i="19"/>
  <c r="AY31" i="19"/>
  <c r="AR31" i="19"/>
  <c r="AK31" i="19"/>
  <c r="AD31" i="19"/>
  <c r="W31" i="19"/>
  <c r="P31" i="19"/>
  <c r="I31" i="19"/>
  <c r="BT30" i="19"/>
  <c r="BM30" i="19"/>
  <c r="BF30" i="19"/>
  <c r="AY30" i="19"/>
  <c r="AR30" i="19"/>
  <c r="AK30" i="19"/>
  <c r="AD30" i="19"/>
  <c r="W30" i="19"/>
  <c r="P30" i="19"/>
  <c r="I30" i="19"/>
  <c r="BT29" i="19"/>
  <c r="BM29" i="19"/>
  <c r="BF29" i="19"/>
  <c r="AY29" i="19"/>
  <c r="AR29" i="19"/>
  <c r="AK29" i="19"/>
  <c r="AD29" i="19"/>
  <c r="W29" i="19"/>
  <c r="P29" i="19"/>
  <c r="I29" i="19"/>
  <c r="BT28" i="19"/>
  <c r="BM28" i="19"/>
  <c r="BF28" i="19"/>
  <c r="AY28" i="19"/>
  <c r="AR28" i="19"/>
  <c r="AK28" i="19"/>
  <c r="AD28" i="19"/>
  <c r="W28" i="19"/>
  <c r="P28" i="19"/>
  <c r="I28" i="19"/>
  <c r="AR24" i="19"/>
  <c r="AD23" i="19"/>
  <c r="P23" i="19"/>
  <c r="A4" i="19"/>
  <c r="A3" i="19"/>
  <c r="K168" i="19"/>
  <c r="K143" i="19"/>
  <c r="K118" i="19"/>
  <c r="K93" i="19"/>
  <c r="K68" i="19"/>
  <c r="K43" i="19"/>
  <c r="V15" i="4"/>
  <c r="V14" i="4"/>
  <c r="V5" i="4" a="1"/>
  <c r="V5" i="4" s="1"/>
  <c r="CV4" i="8"/>
  <c r="CV5" i="8"/>
  <c r="CV6" i="8"/>
  <c r="CV7" i="8"/>
  <c r="CV8" i="8"/>
  <c r="CV9" i="8"/>
  <c r="CV10" i="8"/>
  <c r="CV11" i="8"/>
  <c r="CV12" i="8"/>
  <c r="CV13" i="8"/>
  <c r="CV14" i="8"/>
  <c r="CV15" i="8"/>
  <c r="CV16" i="8"/>
  <c r="CV17" i="8"/>
  <c r="CV18" i="8"/>
  <c r="CV19" i="8"/>
  <c r="CV20" i="8"/>
  <c r="CV21" i="8"/>
  <c r="CV22" i="8"/>
  <c r="CV23" i="8"/>
  <c r="CV24" i="8"/>
  <c r="CV25" i="8"/>
  <c r="CV26" i="8"/>
  <c r="CV27" i="8"/>
  <c r="CV28" i="8"/>
  <c r="CV29" i="8"/>
  <c r="CV30" i="8"/>
  <c r="CV31" i="8"/>
  <c r="CV32" i="8"/>
  <c r="CV33" i="8"/>
  <c r="CV34" i="8"/>
  <c r="CV35" i="8"/>
  <c r="CV36" i="8"/>
  <c r="CV37" i="8"/>
  <c r="CV38" i="8"/>
  <c r="DC4" i="8" a="1"/>
  <c r="DC4" i="8" s="1"/>
  <c r="DC5" i="8" a="1"/>
  <c r="DC5" i="8" s="1"/>
  <c r="DC6" i="8" a="1"/>
  <c r="DC6" i="8" s="1"/>
  <c r="DC7" i="8" a="1"/>
  <c r="DC7" i="8" s="1"/>
  <c r="DC8" i="8" a="1"/>
  <c r="DC8" i="8" s="1"/>
  <c r="DC9" i="8" a="1"/>
  <c r="DC9" i="8" s="1"/>
  <c r="DC10" i="8" a="1"/>
  <c r="DC10" i="8" s="1"/>
  <c r="DC11" i="8" a="1"/>
  <c r="DC11" i="8" s="1"/>
  <c r="DC12" i="8" a="1"/>
  <c r="DC12" i="8" s="1"/>
  <c r="DC13" i="8" a="1"/>
  <c r="DC13" i="8" s="1"/>
  <c r="DC14" i="8" a="1"/>
  <c r="DC14" i="8" s="1"/>
  <c r="DC15" i="8" a="1"/>
  <c r="DC15" i="8" s="1"/>
  <c r="DC16" i="8" a="1"/>
  <c r="DC16" i="8" s="1"/>
  <c r="DC17" i="8" a="1"/>
  <c r="DC17" i="8" s="1"/>
  <c r="DC18" i="8" a="1"/>
  <c r="DC18" i="8" s="1"/>
  <c r="DC19" i="8" a="1"/>
  <c r="DC19" i="8" s="1"/>
  <c r="DC20" i="8" a="1"/>
  <c r="DC20" i="8" s="1"/>
  <c r="DC21" i="8" a="1"/>
  <c r="DC21" i="8" s="1"/>
  <c r="DC22" i="8" a="1"/>
  <c r="DC22" i="8" s="1"/>
  <c r="DC23" i="8" a="1"/>
  <c r="DC23" i="8" s="1"/>
  <c r="DC24" i="8" a="1"/>
  <c r="DC24" i="8" s="1"/>
  <c r="DC25" i="8" a="1"/>
  <c r="DC25" i="8" s="1"/>
  <c r="DC26" i="8" a="1"/>
  <c r="DC26" i="8" s="1"/>
  <c r="DC27" i="8" a="1"/>
  <c r="DC27" i="8" s="1"/>
  <c r="DC28" i="8" a="1"/>
  <c r="DC28" i="8" s="1"/>
  <c r="DC29" i="8" a="1"/>
  <c r="DC29" i="8" s="1"/>
  <c r="DC30" i="8" a="1"/>
  <c r="DC30" i="8" s="1"/>
  <c r="DC31" i="8" a="1"/>
  <c r="DC31" i="8" s="1"/>
  <c r="DC32" i="8" a="1"/>
  <c r="DC32" i="8" s="1"/>
  <c r="DC33" i="8" a="1"/>
  <c r="DC33" i="8" s="1"/>
  <c r="DC34" i="8" a="1"/>
  <c r="DC34" i="8" s="1"/>
  <c r="DC35" i="8" a="1"/>
  <c r="DC35" i="8" s="1"/>
  <c r="DC36" i="8" a="1"/>
  <c r="DC36" i="8" s="1"/>
  <c r="DC37" i="8" a="1"/>
  <c r="DC37" i="8" s="1"/>
  <c r="DC38" i="8" a="1"/>
  <c r="DC38" i="8" s="1"/>
  <c r="CI4" i="8" a="1"/>
  <c r="CI4" i="8" s="1"/>
  <c r="CI5" i="8" a="1"/>
  <c r="CI5" i="8" s="1"/>
  <c r="CI6" i="8" a="1"/>
  <c r="CI6" i="8" s="1"/>
  <c r="CI8" i="8" a="1"/>
  <c r="CI8" i="8" s="1"/>
  <c r="CI9" i="8" a="1"/>
  <c r="CI9" i="8" s="1"/>
  <c r="CI10" i="8" a="1"/>
  <c r="CI10" i="8" s="1"/>
  <c r="CI11" i="8" a="1"/>
  <c r="CI11" i="8" s="1"/>
  <c r="CI12" i="8" a="1"/>
  <c r="CI12" i="8" s="1"/>
  <c r="CI13" i="8" a="1"/>
  <c r="CI13" i="8" s="1"/>
  <c r="CI14" i="8" a="1"/>
  <c r="CI14" i="8" s="1"/>
  <c r="CI15" i="8" a="1"/>
  <c r="CI15" i="8" s="1"/>
  <c r="CI16" i="8" a="1"/>
  <c r="CI16" i="8" s="1"/>
  <c r="CI17" i="8" a="1"/>
  <c r="CI17" i="8" s="1"/>
  <c r="CI18" i="8" a="1"/>
  <c r="CI18" i="8" s="1"/>
  <c r="CI19" i="8" a="1"/>
  <c r="CI19" i="8" s="1"/>
  <c r="CI20" i="8" a="1"/>
  <c r="CI20" i="8" s="1"/>
  <c r="CI21" i="8" a="1"/>
  <c r="CI21" i="8" s="1"/>
  <c r="CI22" i="8" a="1"/>
  <c r="CI22" i="8" s="1"/>
  <c r="CI23" i="8" a="1"/>
  <c r="CI23" i="8" s="1"/>
  <c r="CI24" i="8" a="1"/>
  <c r="CI24" i="8" s="1"/>
  <c r="CI25" i="8" a="1"/>
  <c r="CI25" i="8" s="1"/>
  <c r="CI26" i="8" a="1"/>
  <c r="CI26" i="8" s="1"/>
  <c r="CI28" i="8" a="1"/>
  <c r="CI28" i="8" s="1"/>
  <c r="CI29" i="8" a="1"/>
  <c r="CI29" i="8" s="1"/>
  <c r="CI30" i="8" a="1"/>
  <c r="CI30" i="8" s="1"/>
  <c r="CI31" i="8" a="1"/>
  <c r="CI31" i="8" s="1"/>
  <c r="CI32" i="8" a="1"/>
  <c r="CI32" i="8" s="1"/>
  <c r="CI33" i="8" a="1"/>
  <c r="CI33" i="8" s="1"/>
  <c r="CI34" i="8" a="1"/>
  <c r="CI34" i="8" s="1"/>
  <c r="CI35" i="8" a="1"/>
  <c r="CI35" i="8" s="1"/>
  <c r="CI36" i="8" a="1"/>
  <c r="CI36" i="8" s="1"/>
  <c r="CI37" i="8" a="1"/>
  <c r="CI37" i="8" s="1"/>
  <c r="CI38" i="8" a="1"/>
  <c r="CI38" i="8" s="1"/>
  <c r="CI39" i="8" a="1"/>
  <c r="CI39" i="8" s="1"/>
  <c r="CI40" i="8" a="1"/>
  <c r="CI40" i="8" s="1"/>
  <c r="CI41" i="8" a="1"/>
  <c r="CI41" i="8" s="1"/>
  <c r="CB4" i="8"/>
  <c r="CB5" i="8"/>
  <c r="CB6" i="8"/>
  <c r="CB7" i="8"/>
  <c r="CB8" i="8"/>
  <c r="CB9" i="8"/>
  <c r="CB10" i="8"/>
  <c r="CB11" i="8"/>
  <c r="CB12" i="8"/>
  <c r="CB13" i="8"/>
  <c r="CB14" i="8"/>
  <c r="CB15" i="8"/>
  <c r="CB16" i="8"/>
  <c r="CB17" i="8"/>
  <c r="CB18" i="8"/>
  <c r="CB19" i="8"/>
  <c r="CB20" i="8"/>
  <c r="CB21" i="8"/>
  <c r="CB22" i="8"/>
  <c r="CB23" i="8"/>
  <c r="CB24" i="8"/>
  <c r="CB25" i="8"/>
  <c r="CB26" i="8"/>
  <c r="CB28" i="8"/>
  <c r="CB29" i="8"/>
  <c r="CB30" i="8"/>
  <c r="CB31" i="8"/>
  <c r="CB32" i="8"/>
  <c r="CB33" i="8"/>
  <c r="CB34" i="8"/>
  <c r="CB35" i="8"/>
  <c r="CB36" i="8"/>
  <c r="CB37" i="8"/>
  <c r="CB38" i="8"/>
  <c r="CB39" i="8"/>
  <c r="CB40" i="8"/>
  <c r="CB41" i="8"/>
  <c r="BO4" i="8" a="1"/>
  <c r="BO4" i="8" s="1"/>
  <c r="BO5" i="8" a="1"/>
  <c r="BO5" i="8" s="1"/>
  <c r="BO6" i="8" a="1"/>
  <c r="BO6" i="8" s="1"/>
  <c r="BO7" i="8" a="1"/>
  <c r="BO7" i="8" s="1"/>
  <c r="BO8" i="8" a="1"/>
  <c r="BO8" i="8" s="1"/>
  <c r="BO9" i="8" a="1"/>
  <c r="BO9" i="8" s="1"/>
  <c r="BO10" i="8" a="1"/>
  <c r="BO10" i="8" s="1"/>
  <c r="BO11" i="8" a="1"/>
  <c r="BO11" i="8" s="1"/>
  <c r="BO12" i="8" a="1"/>
  <c r="BO12" i="8" s="1"/>
  <c r="BO13" i="8" a="1"/>
  <c r="BO13" i="8" s="1"/>
  <c r="BO14" i="8" a="1"/>
  <c r="BO14" i="8" s="1"/>
  <c r="BO15" i="8" a="1"/>
  <c r="BO15" i="8" s="1"/>
  <c r="BO16" i="8" a="1"/>
  <c r="BO16" i="8" s="1"/>
  <c r="BO17" i="8" a="1"/>
  <c r="BO17" i="8" s="1"/>
  <c r="BO18" i="8" a="1"/>
  <c r="BO18" i="8" s="1"/>
  <c r="BO19" i="8" a="1"/>
  <c r="BO19" i="8" s="1"/>
  <c r="BO20" i="8" a="1"/>
  <c r="BO20" i="8" s="1"/>
  <c r="BO21" i="8" a="1"/>
  <c r="BO21" i="8" s="1"/>
  <c r="BO22" i="8" a="1"/>
  <c r="BO22" i="8" s="1"/>
  <c r="BO23" i="8" a="1"/>
  <c r="BO23" i="8" s="1"/>
  <c r="BO24" i="8" a="1"/>
  <c r="BO24" i="8" s="1"/>
  <c r="BO25" i="8" a="1"/>
  <c r="BO25" i="8" s="1"/>
  <c r="BO26" i="8" a="1"/>
  <c r="BO26" i="8" s="1"/>
  <c r="BO27" i="8" a="1"/>
  <c r="BO27" i="8" s="1"/>
  <c r="BO28" i="8" a="1"/>
  <c r="BO28" i="8" s="1"/>
  <c r="BO29" i="8" a="1"/>
  <c r="BO29" i="8" s="1"/>
  <c r="BO30" i="8" a="1"/>
  <c r="BO30" i="8" s="1"/>
  <c r="BO31" i="8" a="1"/>
  <c r="BO31" i="8" s="1"/>
  <c r="BO32" i="8" a="1"/>
  <c r="BO32" i="8" s="1"/>
  <c r="BO33" i="8" a="1"/>
  <c r="BO33" i="8" s="1"/>
  <c r="BO34" i="8" a="1"/>
  <c r="BO34" i="8" s="1"/>
  <c r="BO35" i="8" a="1"/>
  <c r="BO35" i="8" s="1"/>
  <c r="BO36" i="8" a="1"/>
  <c r="BO36" i="8" s="1"/>
  <c r="BO37" i="8" a="1"/>
  <c r="BO37" i="8" s="1"/>
  <c r="BO38" i="8" a="1"/>
  <c r="BO38" i="8" s="1"/>
  <c r="BO39" i="8" a="1"/>
  <c r="BO39" i="8" s="1"/>
  <c r="BO40" i="8" a="1"/>
  <c r="BO40" i="8" s="1"/>
  <c r="BO41" i="8" a="1"/>
  <c r="BO41" i="8" s="1"/>
  <c r="BO42" i="8" a="1"/>
  <c r="BO42" i="8" s="1"/>
  <c r="BO43" i="8" a="1"/>
  <c r="BO43" i="8" s="1"/>
  <c r="BO44" i="8" a="1"/>
  <c r="BO44" i="8" s="1"/>
  <c r="BO45" i="8" a="1"/>
  <c r="BO45" i="8" s="1"/>
  <c r="BO46" i="8" a="1"/>
  <c r="BO46" i="8" s="1"/>
  <c r="BO47" i="8" a="1"/>
  <c r="BO47" i="8" s="1"/>
  <c r="BO48" i="8" a="1"/>
  <c r="BO48" i="8" s="1"/>
  <c r="BO49" i="8" a="1"/>
  <c r="BO49" i="8" s="1"/>
  <c r="BO50" i="8" a="1"/>
  <c r="BO50" i="8" s="1"/>
  <c r="BO51" i="8" a="1"/>
  <c r="BO51" i="8" s="1"/>
  <c r="BO52" i="8" a="1"/>
  <c r="BO52" i="8" s="1"/>
  <c r="BO53" i="8" a="1"/>
  <c r="BO53" i="8" s="1"/>
  <c r="BO54" i="8" a="1"/>
  <c r="BO54" i="8" s="1"/>
  <c r="BO55" i="8" a="1"/>
  <c r="BO55" i="8" s="1"/>
  <c r="BO56" i="8" a="1"/>
  <c r="BO56" i="8" s="1"/>
  <c r="BO57" i="8" a="1"/>
  <c r="BO57" i="8" s="1"/>
  <c r="BO58" i="8" a="1"/>
  <c r="BO58" i="8" s="1"/>
  <c r="BO59" i="8" a="1"/>
  <c r="BO59" i="8" s="1"/>
  <c r="BO60" i="8" a="1"/>
  <c r="BO60" i="8" s="1"/>
  <c r="BO61" i="8" a="1"/>
  <c r="BO61" i="8" s="1"/>
  <c r="BO62" i="8" a="1"/>
  <c r="BO62" i="8" s="1"/>
  <c r="BO63" i="8" a="1"/>
  <c r="BO63" i="8" s="1"/>
  <c r="BO64" i="8" a="1"/>
  <c r="BO64" i="8" s="1"/>
  <c r="BO65" i="8" a="1"/>
  <c r="BO65" i="8" s="1"/>
  <c r="BO66" i="8" a="1"/>
  <c r="BO66" i="8" s="1"/>
  <c r="BO67" i="8" a="1"/>
  <c r="BO67" i="8" s="1"/>
  <c r="BO68" i="8" a="1"/>
  <c r="BO68" i="8" s="1"/>
  <c r="BO69" i="8" a="1"/>
  <c r="BO69" i="8" s="1"/>
  <c r="BO70" i="8" a="1"/>
  <c r="BO70" i="8" s="1"/>
  <c r="BO71" i="8" a="1"/>
  <c r="BO71" i="8" s="1"/>
  <c r="BO72" i="8" a="1"/>
  <c r="BO72" i="8" s="1"/>
  <c r="BO73" i="8" a="1"/>
  <c r="BO73" i="8" s="1"/>
  <c r="BO74" i="8" a="1"/>
  <c r="BO74" i="8" s="1"/>
  <c r="BO75" i="8" a="1"/>
  <c r="BO75" i="8" s="1"/>
  <c r="BO76" i="8" a="1"/>
  <c r="BO76" i="8" s="1"/>
  <c r="BO77" i="8" a="1"/>
  <c r="BO77" i="8" s="1"/>
  <c r="BO78" i="8" a="1"/>
  <c r="BO78" i="8" s="1"/>
  <c r="BO79" i="8" a="1"/>
  <c r="BO79" i="8" s="1"/>
  <c r="BO80" i="8" a="1"/>
  <c r="BO80" i="8" s="1"/>
  <c r="BO81" i="8" a="1"/>
  <c r="BO81" i="8" s="1"/>
  <c r="BO82" i="8" a="1"/>
  <c r="BO82" i="8" s="1"/>
  <c r="BO83" i="8" a="1"/>
  <c r="BO83" i="8" s="1"/>
  <c r="BO84" i="8" a="1"/>
  <c r="BO84" i="8" s="1"/>
  <c r="BO85" i="8" a="1"/>
  <c r="BO85" i="8" s="1"/>
  <c r="BO86" i="8" a="1"/>
  <c r="BO86" i="8" s="1"/>
  <c r="BO87" i="8" a="1"/>
  <c r="BO87" i="8" s="1"/>
  <c r="BO88" i="8" a="1"/>
  <c r="BO88" i="8" s="1"/>
  <c r="BO89" i="8" a="1"/>
  <c r="BO89" i="8" s="1"/>
  <c r="BO90" i="8" a="1"/>
  <c r="BO90" i="8" s="1"/>
  <c r="BJ4" i="8" a="1"/>
  <c r="BJ4" i="8" s="1"/>
  <c r="BJ5" i="8" a="1"/>
  <c r="BJ5" i="8" s="1"/>
  <c r="BJ6" i="8" a="1"/>
  <c r="BJ6" i="8" s="1"/>
  <c r="BJ7" i="8" a="1"/>
  <c r="BJ7" i="8" s="1"/>
  <c r="BJ8" i="8" a="1"/>
  <c r="BJ8" i="8" s="1"/>
  <c r="BJ9" i="8" a="1"/>
  <c r="BJ9" i="8" s="1"/>
  <c r="BJ10" i="8" a="1"/>
  <c r="BJ10" i="8" s="1"/>
  <c r="BJ11" i="8" a="1"/>
  <c r="BJ11" i="8" s="1"/>
  <c r="BJ12" i="8" a="1"/>
  <c r="BJ12" i="8" s="1"/>
  <c r="BJ13" i="8" a="1"/>
  <c r="BJ13" i="8" s="1"/>
  <c r="BJ14" i="8" a="1"/>
  <c r="BJ14" i="8" s="1"/>
  <c r="BJ15" i="8" a="1"/>
  <c r="BJ15" i="8" s="1"/>
  <c r="BJ16" i="8" a="1"/>
  <c r="BJ16" i="8" s="1"/>
  <c r="BJ17" i="8" a="1"/>
  <c r="BJ17" i="8" s="1"/>
  <c r="BJ18" i="8" a="1"/>
  <c r="BJ18" i="8" s="1"/>
  <c r="BJ19" i="8" a="1"/>
  <c r="BJ19" i="8" s="1"/>
  <c r="BJ20" i="8" a="1"/>
  <c r="BJ20" i="8" s="1"/>
  <c r="BJ21" i="8" a="1"/>
  <c r="BJ21" i="8" s="1"/>
  <c r="BJ22" i="8" a="1"/>
  <c r="BJ22" i="8" s="1"/>
  <c r="BJ23" i="8" a="1"/>
  <c r="BJ23" i="8" s="1"/>
  <c r="BJ24" i="8" a="1"/>
  <c r="BJ24" i="8" s="1"/>
  <c r="BJ25" i="8" a="1"/>
  <c r="BJ25" i="8" s="1"/>
  <c r="BJ26" i="8" a="1"/>
  <c r="BJ26" i="8" s="1"/>
  <c r="BJ27" i="8" a="1"/>
  <c r="BJ27" i="8" s="1"/>
  <c r="BJ28" i="8" a="1"/>
  <c r="BJ28" i="8" s="1"/>
  <c r="BJ29" i="8" a="1"/>
  <c r="BJ29" i="8" s="1"/>
  <c r="BJ30" i="8" a="1"/>
  <c r="BJ30" i="8" s="1"/>
  <c r="BJ31" i="8" a="1"/>
  <c r="BJ31" i="8" s="1"/>
  <c r="BJ32" i="8" a="1"/>
  <c r="BJ32" i="8" s="1"/>
  <c r="BJ33" i="8" a="1"/>
  <c r="BJ33" i="8" s="1"/>
  <c r="BJ34" i="8" a="1"/>
  <c r="BJ34" i="8" s="1"/>
  <c r="BJ35" i="8" a="1"/>
  <c r="BJ35" i="8" s="1"/>
  <c r="BJ36" i="8" a="1"/>
  <c r="BJ36" i="8" s="1"/>
  <c r="BJ37" i="8" a="1"/>
  <c r="BJ37" i="8" s="1"/>
  <c r="BJ38" i="8" a="1"/>
  <c r="BJ38" i="8" s="1"/>
  <c r="BJ39" i="8" a="1"/>
  <c r="BJ39" i="8" s="1"/>
  <c r="BJ40" i="8" a="1"/>
  <c r="BJ40" i="8" s="1"/>
  <c r="BJ41" i="8" a="1"/>
  <c r="BJ41" i="8" s="1"/>
  <c r="BJ42" i="8" a="1"/>
  <c r="BJ42" i="8" s="1"/>
  <c r="BJ43" i="8" a="1"/>
  <c r="BJ43" i="8" s="1"/>
  <c r="BJ44" i="8" a="1"/>
  <c r="BJ44" i="8" s="1"/>
  <c r="BJ45" i="8" a="1"/>
  <c r="BJ45" i="8" s="1"/>
  <c r="BJ46" i="8" a="1"/>
  <c r="BJ46" i="8" s="1"/>
  <c r="BJ47" i="8" a="1"/>
  <c r="BJ47" i="8" s="1"/>
  <c r="BJ48" i="8" a="1"/>
  <c r="BJ48" i="8" s="1"/>
  <c r="BJ49" i="8" a="1"/>
  <c r="BJ49" i="8" s="1"/>
  <c r="BJ50" i="8" a="1"/>
  <c r="BJ50" i="8" s="1"/>
  <c r="BJ51" i="8" a="1"/>
  <c r="BJ51" i="8" s="1"/>
  <c r="BJ52" i="8" a="1"/>
  <c r="BJ52" i="8" s="1"/>
  <c r="BJ53" i="8" a="1"/>
  <c r="BJ53" i="8" s="1"/>
  <c r="BJ54" i="8" a="1"/>
  <c r="BJ54" i="8" s="1"/>
  <c r="BJ55" i="8" a="1"/>
  <c r="BJ55" i="8" s="1"/>
  <c r="BJ56" i="8" a="1"/>
  <c r="BJ56" i="8" s="1"/>
  <c r="BJ57" i="8" a="1"/>
  <c r="BJ57" i="8" s="1"/>
  <c r="BJ58" i="8" a="1"/>
  <c r="BJ58" i="8" s="1"/>
  <c r="BJ59" i="8" a="1"/>
  <c r="BJ59" i="8" s="1"/>
  <c r="BJ60" i="8" a="1"/>
  <c r="BJ60" i="8" s="1"/>
  <c r="BJ61" i="8" a="1"/>
  <c r="BJ61" i="8" s="1"/>
  <c r="BJ62" i="8" a="1"/>
  <c r="BJ62" i="8" s="1"/>
  <c r="BJ63" i="8" a="1"/>
  <c r="BJ63" i="8" s="1"/>
  <c r="BJ64" i="8" a="1"/>
  <c r="BJ64" i="8" s="1"/>
  <c r="BJ65" i="8" a="1"/>
  <c r="BJ65" i="8" s="1"/>
  <c r="BJ66" i="8" a="1"/>
  <c r="BJ66" i="8" s="1"/>
  <c r="BJ67" i="8" a="1"/>
  <c r="BJ67" i="8" s="1"/>
  <c r="BJ68" i="8" a="1"/>
  <c r="BJ68" i="8" s="1"/>
  <c r="BJ69" i="8" a="1"/>
  <c r="BJ69" i="8" s="1"/>
  <c r="BJ70" i="8" a="1"/>
  <c r="BJ70" i="8" s="1"/>
  <c r="BJ71" i="8" a="1"/>
  <c r="BJ71" i="8" s="1"/>
  <c r="BJ72" i="8" a="1"/>
  <c r="BJ72" i="8" s="1"/>
  <c r="BJ73" i="8" a="1"/>
  <c r="BJ73" i="8" s="1"/>
  <c r="BJ74" i="8" a="1"/>
  <c r="BJ74" i="8" s="1"/>
  <c r="BJ75" i="8" a="1"/>
  <c r="BJ75" i="8" s="1"/>
  <c r="BJ76" i="8" a="1"/>
  <c r="BJ76" i="8" s="1"/>
  <c r="BJ77" i="8" a="1"/>
  <c r="BJ77" i="8" s="1"/>
  <c r="BJ78" i="8" a="1"/>
  <c r="BJ78" i="8" s="1"/>
  <c r="BJ79" i="8" a="1"/>
  <c r="BJ79" i="8" s="1"/>
  <c r="BJ80" i="8" a="1"/>
  <c r="BJ80" i="8" s="1"/>
  <c r="BJ81" i="8" a="1"/>
  <c r="BJ81" i="8" s="1"/>
  <c r="BJ82" i="8" a="1"/>
  <c r="BJ82" i="8" s="1"/>
  <c r="BJ83" i="8" a="1"/>
  <c r="BJ83" i="8" s="1"/>
  <c r="BJ84" i="8" a="1"/>
  <c r="BJ84" i="8" s="1"/>
  <c r="BJ85" i="8" a="1"/>
  <c r="BJ85" i="8" s="1"/>
  <c r="BJ86" i="8" a="1"/>
  <c r="BJ86" i="8" s="1"/>
  <c r="BJ87" i="8" a="1"/>
  <c r="BJ87" i="8" s="1"/>
  <c r="BJ88" i="8" a="1"/>
  <c r="BJ88" i="8" s="1"/>
  <c r="BJ89" i="8" a="1"/>
  <c r="BJ89" i="8" s="1"/>
  <c r="BJ90" i="8" a="1"/>
  <c r="BJ90" i="8" s="1"/>
  <c r="BH4" i="8"/>
  <c r="BH5" i="8"/>
  <c r="BH6" i="8"/>
  <c r="BH7" i="8"/>
  <c r="BH8" i="8"/>
  <c r="BH9" i="8"/>
  <c r="BH10" i="8"/>
  <c r="BH11" i="8"/>
  <c r="BH12" i="8"/>
  <c r="BH13" i="8"/>
  <c r="BH14" i="8"/>
  <c r="BH15" i="8"/>
  <c r="BH16" i="8"/>
  <c r="BH17" i="8"/>
  <c r="BH18" i="8"/>
  <c r="BH19" i="8"/>
  <c r="BH20" i="8"/>
  <c r="BH21" i="8"/>
  <c r="BH22" i="8"/>
  <c r="BH23" i="8"/>
  <c r="BH24" i="8"/>
  <c r="BH25" i="8"/>
  <c r="BH26" i="8"/>
  <c r="BH27" i="8"/>
  <c r="BH28" i="8"/>
  <c r="BH29" i="8"/>
  <c r="BH30" i="8"/>
  <c r="BH31" i="8"/>
  <c r="BH32" i="8"/>
  <c r="BH33" i="8"/>
  <c r="BH34" i="8"/>
  <c r="BH35" i="8"/>
  <c r="BH36" i="8"/>
  <c r="BH37" i="8"/>
  <c r="BH38" i="8"/>
  <c r="BH39" i="8"/>
  <c r="BH40" i="8"/>
  <c r="BH41" i="8"/>
  <c r="BH42" i="8"/>
  <c r="BH43" i="8"/>
  <c r="BH44" i="8"/>
  <c r="BH45" i="8"/>
  <c r="BH46" i="8"/>
  <c r="BH47" i="8"/>
  <c r="BH48" i="8"/>
  <c r="BH49" i="8"/>
  <c r="BH50" i="8"/>
  <c r="BH51" i="8"/>
  <c r="BH52" i="8"/>
  <c r="BH53" i="8"/>
  <c r="BH54" i="8"/>
  <c r="BH55" i="8"/>
  <c r="BH56" i="8"/>
  <c r="BH57" i="8"/>
  <c r="BH58" i="8"/>
  <c r="BH59" i="8"/>
  <c r="BH60" i="8"/>
  <c r="BH61" i="8"/>
  <c r="BH62" i="8"/>
  <c r="BH63" i="8"/>
  <c r="BH64" i="8"/>
  <c r="BH65" i="8"/>
  <c r="BH66" i="8"/>
  <c r="BH67" i="8"/>
  <c r="BH68" i="8"/>
  <c r="BH69" i="8"/>
  <c r="BH70" i="8"/>
  <c r="BH71" i="8"/>
  <c r="BH72" i="8"/>
  <c r="BH73" i="8"/>
  <c r="BH74" i="8"/>
  <c r="BH75" i="8"/>
  <c r="BH76" i="8"/>
  <c r="BH77" i="8"/>
  <c r="BH78" i="8"/>
  <c r="BH79" i="8"/>
  <c r="BH80" i="8"/>
  <c r="BH81" i="8"/>
  <c r="BH82" i="8"/>
  <c r="BH83" i="8"/>
  <c r="BH84" i="8"/>
  <c r="BH85" i="8"/>
  <c r="BH86" i="8"/>
  <c r="BH87" i="8"/>
  <c r="BH88" i="8"/>
  <c r="BH89" i="8"/>
  <c r="BH90" i="8"/>
  <c r="AQ62" i="8" a="1"/>
  <c r="AQ62" i="8" s="1"/>
  <c r="AQ64" i="8" a="1"/>
  <c r="AQ64" i="8" s="1"/>
  <c r="AQ65" i="8" a="1"/>
  <c r="AQ65" i="8" s="1"/>
  <c r="AQ67" i="8" a="1"/>
  <c r="AQ67" i="8" s="1"/>
  <c r="AQ77" i="8" a="1"/>
  <c r="AQ77" i="8" s="1"/>
  <c r="AQ79" i="8" a="1"/>
  <c r="AQ79" i="8" s="1"/>
  <c r="AQ80" i="8" a="1"/>
  <c r="AQ80" i="8" s="1"/>
  <c r="AQ82" i="8" a="1"/>
  <c r="AQ82" i="8" s="1"/>
  <c r="AQ84" i="8" a="1"/>
  <c r="AQ84" i="8" s="1"/>
  <c r="AQ86" i="8" a="1"/>
  <c r="AQ86" i="8" s="1"/>
  <c r="AQ88" i="8" a="1"/>
  <c r="AQ88" i="8" s="1"/>
  <c r="AQ90" i="8" a="1"/>
  <c r="AQ90" i="8" s="1"/>
  <c r="AQ92" i="8" a="1"/>
  <c r="AQ92" i="8" s="1"/>
  <c r="AQ96" i="8" a="1"/>
  <c r="AQ96" i="8" s="1"/>
  <c r="AQ104" i="8" a="1"/>
  <c r="AQ104" i="8" s="1"/>
  <c r="AQ108" i="8" a="1"/>
  <c r="AQ108" i="8" s="1"/>
  <c r="AQ110" i="8" a="1"/>
  <c r="AQ110" i="8" s="1"/>
  <c r="AQ112" i="8" a="1"/>
  <c r="AQ112" i="8" s="1"/>
  <c r="AQ116" i="8" a="1"/>
  <c r="AQ116" i="8" s="1"/>
  <c r="AQ118" i="8" a="1"/>
  <c r="AQ118" i="8" s="1"/>
  <c r="AQ120" i="8" a="1"/>
  <c r="AQ120" i="8" s="1"/>
  <c r="AQ122" i="8" a="1"/>
  <c r="AQ122" i="8" s="1"/>
  <c r="AQ124" i="8" a="1"/>
  <c r="AQ124" i="8" s="1"/>
  <c r="AQ126" i="8" a="1"/>
  <c r="AQ126" i="8" s="1"/>
  <c r="AQ114" i="8" a="1"/>
  <c r="AQ114" i="8" s="1"/>
  <c r="AQ134" i="8" a="1"/>
  <c r="AQ134" i="8" s="1"/>
  <c r="AQ136" i="8" a="1"/>
  <c r="AQ136" i="8" s="1"/>
  <c r="AQ138" i="8" a="1"/>
  <c r="AQ138" i="8" s="1"/>
  <c r="AQ4" i="8" a="1"/>
  <c r="AQ4" i="8" s="1"/>
  <c r="AQ6" i="8" a="1"/>
  <c r="AQ6" i="8" s="1"/>
  <c r="AQ8" i="8" a="1"/>
  <c r="AQ8" i="8" s="1"/>
  <c r="AQ10" i="8" a="1"/>
  <c r="AQ10" i="8" s="1"/>
  <c r="AQ12" i="8" a="1"/>
  <c r="AQ12" i="8" s="1"/>
  <c r="AQ14" i="8" a="1"/>
  <c r="AQ14" i="8" s="1"/>
  <c r="AQ16" i="8" a="1"/>
  <c r="AQ16" i="8" s="1"/>
  <c r="AQ18" i="8" a="1"/>
  <c r="AQ18" i="8" s="1"/>
  <c r="AQ21" i="8" a="1"/>
  <c r="AQ21" i="8" s="1"/>
  <c r="AQ24" i="8" a="1"/>
  <c r="AQ24" i="8" s="1"/>
  <c r="AQ30" i="8" a="1"/>
  <c r="AQ30" i="8" s="1"/>
  <c r="AQ31" i="8" a="1"/>
  <c r="AQ31" i="8" s="1"/>
  <c r="AQ41" i="8" a="1"/>
  <c r="AQ41" i="8" s="1"/>
  <c r="AQ43" i="8" a="1"/>
  <c r="AQ43" i="8" s="1"/>
  <c r="AQ47" i="8" a="1"/>
  <c r="AQ47" i="8" s="1"/>
  <c r="AQ49" i="8" a="1"/>
  <c r="AQ49" i="8" s="1"/>
  <c r="AQ63" i="8" a="1"/>
  <c r="AQ63" i="8" s="1"/>
  <c r="AQ68" i="8" a="1"/>
  <c r="AQ68" i="8" s="1"/>
  <c r="AQ70" i="8" a="1"/>
  <c r="AQ70" i="8" s="1"/>
  <c r="AQ76" i="8" a="1"/>
  <c r="AQ76" i="8" s="1"/>
  <c r="AQ78" i="8" a="1"/>
  <c r="AQ78" i="8" s="1"/>
  <c r="AQ81" i="8" a="1"/>
  <c r="AQ81" i="8" s="1"/>
  <c r="AQ83" i="8" a="1"/>
  <c r="AQ83" i="8" s="1"/>
  <c r="AQ85" i="8" a="1"/>
  <c r="AQ85" i="8" s="1"/>
  <c r="AQ87" i="8" a="1"/>
  <c r="AQ87" i="8" s="1"/>
  <c r="AQ89" i="8" a="1"/>
  <c r="AQ89" i="8" s="1"/>
  <c r="AQ91" i="8" a="1"/>
  <c r="AQ91" i="8" s="1"/>
  <c r="AQ93" i="8" a="1"/>
  <c r="AQ93" i="8" s="1"/>
  <c r="AQ97" i="8" a="1"/>
  <c r="AQ97" i="8" s="1"/>
  <c r="AQ105" i="8" a="1"/>
  <c r="AQ105" i="8" s="1"/>
  <c r="AQ109" i="8" a="1"/>
  <c r="AQ109" i="8" s="1"/>
  <c r="AQ111" i="8" a="1"/>
  <c r="AQ111" i="8" s="1"/>
  <c r="AQ113" i="8" a="1"/>
  <c r="AQ113" i="8" s="1"/>
  <c r="AQ117" i="8" a="1"/>
  <c r="AQ117" i="8" s="1"/>
  <c r="AQ119" i="8" a="1"/>
  <c r="AQ119" i="8" s="1"/>
  <c r="AQ121" i="8" a="1"/>
  <c r="AQ121" i="8" s="1"/>
  <c r="AQ123" i="8" a="1"/>
  <c r="AQ123" i="8" s="1"/>
  <c r="AQ125" i="8" a="1"/>
  <c r="AQ125" i="8" s="1"/>
  <c r="AQ127" i="8" a="1"/>
  <c r="AQ127" i="8" s="1"/>
  <c r="AQ115" i="8" a="1"/>
  <c r="AQ115" i="8" s="1"/>
  <c r="AQ135" i="8" a="1"/>
  <c r="AQ135" i="8" s="1"/>
  <c r="AQ137" i="8" a="1"/>
  <c r="AQ137" i="8" s="1"/>
  <c r="AQ139" i="8" a="1"/>
  <c r="AQ139" i="8" s="1"/>
  <c r="AQ5" i="8" a="1"/>
  <c r="AQ5" i="8" s="1"/>
  <c r="AQ7" i="8" a="1"/>
  <c r="AQ7" i="8" s="1"/>
  <c r="AQ9" i="8" a="1"/>
  <c r="AQ9" i="8" s="1"/>
  <c r="AQ11" i="8" a="1"/>
  <c r="AQ11" i="8" s="1"/>
  <c r="AQ13" i="8" a="1"/>
  <c r="AQ13" i="8" s="1"/>
  <c r="AQ15" i="8" a="1"/>
  <c r="AQ15" i="8" s="1"/>
  <c r="AQ17" i="8" a="1"/>
  <c r="AQ17" i="8" s="1"/>
  <c r="AQ19" i="8" a="1"/>
  <c r="AQ19" i="8" s="1"/>
  <c r="AQ22" i="8" a="1"/>
  <c r="AQ22" i="8" s="1"/>
  <c r="AQ25" i="8" a="1"/>
  <c r="AQ25" i="8" s="1"/>
  <c r="AQ42" i="8" a="1"/>
  <c r="AQ42" i="8" s="1"/>
  <c r="AQ44" i="8" a="1"/>
  <c r="AQ44" i="8" s="1"/>
  <c r="AQ48" i="8" a="1"/>
  <c r="AQ48" i="8" s="1"/>
  <c r="AQ50" i="8" a="1"/>
  <c r="AQ50" i="8" s="1"/>
  <c r="AQ66" i="8" a="1"/>
  <c r="AQ66" i="8" s="1"/>
  <c r="AQ69" i="8" a="1"/>
  <c r="AQ69" i="8" s="1"/>
  <c r="AQ71" i="8" a="1"/>
  <c r="AQ71" i="8" s="1"/>
  <c r="AQ20" i="8" a="1"/>
  <c r="AQ20" i="8" s="1"/>
  <c r="AQ23" i="8" a="1"/>
  <c r="AQ23" i="8" s="1"/>
  <c r="AQ26" i="8" a="1"/>
  <c r="AQ26" i="8" s="1"/>
  <c r="AQ72" i="8" a="1"/>
  <c r="AQ72" i="8" s="1"/>
  <c r="AQ34" i="8" a="1"/>
  <c r="AQ34" i="8" s="1"/>
  <c r="AQ35" i="8" a="1"/>
  <c r="AQ35" i="8" s="1"/>
  <c r="AQ36" i="8" a="1"/>
  <c r="AQ36" i="8" s="1"/>
  <c r="AQ37" i="8" a="1"/>
  <c r="AQ37" i="8" s="1"/>
  <c r="AQ38" i="8" a="1"/>
  <c r="AQ38" i="8" s="1"/>
  <c r="AQ39" i="8" a="1"/>
  <c r="AQ39" i="8" s="1"/>
  <c r="AQ56" i="8" a="1"/>
  <c r="AQ56" i="8" s="1"/>
  <c r="AQ57" i="8" a="1"/>
  <c r="AQ57" i="8" s="1"/>
  <c r="AQ94" i="8" a="1"/>
  <c r="AQ94" i="8" s="1"/>
  <c r="AQ128" i="8" a="1"/>
  <c r="AQ128" i="8" s="1"/>
  <c r="AQ130" i="8" a="1"/>
  <c r="AQ130" i="8" s="1"/>
  <c r="AQ131" i="8" a="1"/>
  <c r="AQ131" i="8" s="1"/>
  <c r="AQ132" i="8" a="1"/>
  <c r="AQ132" i="8" s="1"/>
  <c r="AQ100" i="8" a="1"/>
  <c r="AQ100" i="8" s="1"/>
  <c r="AQ140" i="8" a="1"/>
  <c r="AQ140" i="8" s="1"/>
  <c r="AQ53" i="8" a="1"/>
  <c r="AQ53" i="8" s="1"/>
  <c r="AQ40" i="8" a="1"/>
  <c r="AQ40" i="8" s="1"/>
  <c r="AQ129" i="8" a="1"/>
  <c r="AQ129" i="8" s="1"/>
  <c r="AQ133" i="8" a="1"/>
  <c r="AQ133" i="8" s="1"/>
  <c r="AQ101" i="8" a="1"/>
  <c r="AQ101" i="8" s="1"/>
  <c r="AQ55" i="8" a="1"/>
  <c r="AQ55" i="8" s="1"/>
  <c r="AQ29" i="8" a="1"/>
  <c r="AQ29" i="8" s="1"/>
  <c r="AQ73" i="8" a="1"/>
  <c r="AQ73" i="8" s="1"/>
  <c r="AQ74" i="8" a="1"/>
  <c r="AQ74" i="8" s="1"/>
  <c r="AQ95" i="8" a="1"/>
  <c r="AQ95" i="8" s="1"/>
  <c r="AQ102" i="8" a="1"/>
  <c r="AQ102" i="8" s="1"/>
  <c r="AQ103" i="8" a="1"/>
  <c r="AQ103" i="8" s="1"/>
  <c r="AQ54" i="8" a="1"/>
  <c r="AQ54" i="8" s="1"/>
  <c r="AQ75" i="8" a="1"/>
  <c r="AQ75" i="8" s="1"/>
  <c r="AQ27" i="8" a="1"/>
  <c r="AQ27" i="8" s="1"/>
  <c r="AQ28" i="8" a="1"/>
  <c r="AQ28" i="8" s="1"/>
  <c r="AO62" i="8"/>
  <c r="AO64" i="8"/>
  <c r="AO65" i="8"/>
  <c r="AO67" i="8"/>
  <c r="AO77" i="8"/>
  <c r="AO79" i="8"/>
  <c r="AO80" i="8"/>
  <c r="AO82" i="8"/>
  <c r="AO84" i="8"/>
  <c r="AO86" i="8"/>
  <c r="AO88" i="8"/>
  <c r="AO90" i="8"/>
  <c r="AO92" i="8"/>
  <c r="AO96" i="8"/>
  <c r="AO98" i="8"/>
  <c r="AO104" i="8"/>
  <c r="AO106" i="8"/>
  <c r="AO108" i="8"/>
  <c r="AO110" i="8"/>
  <c r="AO112" i="8"/>
  <c r="AO116" i="8"/>
  <c r="AO118" i="8"/>
  <c r="AO120" i="8"/>
  <c r="AO122" i="8"/>
  <c r="AO124" i="8"/>
  <c r="AO126" i="8"/>
  <c r="AO114" i="8"/>
  <c r="AO134" i="8"/>
  <c r="AO136" i="8"/>
  <c r="AO138" i="8"/>
  <c r="AO4" i="8"/>
  <c r="AO6" i="8"/>
  <c r="AO8" i="8"/>
  <c r="AO10" i="8"/>
  <c r="AO12" i="8"/>
  <c r="AO14" i="8"/>
  <c r="AO16" i="8"/>
  <c r="AO18" i="8"/>
  <c r="AO21" i="8"/>
  <c r="AO24" i="8"/>
  <c r="AO30" i="8"/>
  <c r="AO31" i="8"/>
  <c r="AO41" i="8"/>
  <c r="AO43" i="8"/>
  <c r="AO47" i="8"/>
  <c r="AO49" i="8"/>
  <c r="AO63" i="8"/>
  <c r="AO68" i="8"/>
  <c r="AO70" i="8"/>
  <c r="AO76" i="8"/>
  <c r="AO78" i="8"/>
  <c r="AO81" i="8"/>
  <c r="AO83" i="8"/>
  <c r="AO85" i="8"/>
  <c r="AO87" i="8"/>
  <c r="AO89" i="8"/>
  <c r="AO91" i="8"/>
  <c r="AO93" i="8"/>
  <c r="AO97" i="8"/>
  <c r="AO99" i="8"/>
  <c r="AO105" i="8"/>
  <c r="AO107" i="8"/>
  <c r="AO109" i="8"/>
  <c r="AO111" i="8"/>
  <c r="AO113" i="8"/>
  <c r="AO117" i="8"/>
  <c r="AO119" i="8"/>
  <c r="AO121" i="8"/>
  <c r="AO123" i="8"/>
  <c r="AO125" i="8"/>
  <c r="AO127" i="8"/>
  <c r="AO115" i="8"/>
  <c r="AO135" i="8"/>
  <c r="AO137" i="8"/>
  <c r="AO139" i="8"/>
  <c r="AO5" i="8"/>
  <c r="AO7" i="8"/>
  <c r="AO9" i="8"/>
  <c r="AO11" i="8"/>
  <c r="AO13" i="8"/>
  <c r="AO15" i="8"/>
  <c r="AO17" i="8"/>
  <c r="AO19" i="8"/>
  <c r="AO22" i="8"/>
  <c r="AO25" i="8"/>
  <c r="AO42" i="8"/>
  <c r="AO44" i="8"/>
  <c r="AO48" i="8"/>
  <c r="AO50" i="8"/>
  <c r="AO66" i="8"/>
  <c r="AO69" i="8"/>
  <c r="AO71" i="8"/>
  <c r="AO20" i="8"/>
  <c r="AO23" i="8"/>
  <c r="AO26" i="8"/>
  <c r="AO72" i="8"/>
  <c r="AO34" i="8"/>
  <c r="AO35" i="8"/>
  <c r="AO36" i="8"/>
  <c r="AO37" i="8"/>
  <c r="AO38" i="8"/>
  <c r="AO39" i="8"/>
  <c r="AO56" i="8"/>
  <c r="AO57" i="8"/>
  <c r="AO94" i="8"/>
  <c r="AO128" i="8"/>
  <c r="AO130" i="8"/>
  <c r="AO131" i="8"/>
  <c r="AO132" i="8"/>
  <c r="AO100" i="8"/>
  <c r="AO140" i="8"/>
  <c r="AO53" i="8"/>
  <c r="AO40" i="8"/>
  <c r="AO129" i="8"/>
  <c r="AO133" i="8"/>
  <c r="AO101" i="8"/>
  <c r="AO55" i="8"/>
  <c r="AO29" i="8"/>
  <c r="AO73" i="8"/>
  <c r="AO74" i="8"/>
  <c r="AO95" i="8"/>
  <c r="AO102" i="8"/>
  <c r="AO103" i="8"/>
  <c r="AO54" i="8"/>
  <c r="AO75" i="8"/>
  <c r="AO27" i="8"/>
  <c r="AO28" i="8"/>
  <c r="AV62" i="8" a="1"/>
  <c r="AV62" i="8" s="1"/>
  <c r="AV64" i="8" a="1"/>
  <c r="AV64" i="8" s="1"/>
  <c r="AV65" i="8" a="1"/>
  <c r="AV65" i="8" s="1"/>
  <c r="AV67" i="8" a="1"/>
  <c r="AV67" i="8" s="1"/>
  <c r="AV77" i="8" a="1"/>
  <c r="AV77" i="8" s="1"/>
  <c r="AV79" i="8" a="1"/>
  <c r="AV79" i="8" s="1"/>
  <c r="AV80" i="8" a="1"/>
  <c r="AV80" i="8" s="1"/>
  <c r="AV82" i="8" a="1"/>
  <c r="AV82" i="8" s="1"/>
  <c r="AV84" i="8" a="1"/>
  <c r="AV84" i="8" s="1"/>
  <c r="AV86" i="8" a="1"/>
  <c r="AV86" i="8" s="1"/>
  <c r="AV88" i="8" a="1"/>
  <c r="AV88" i="8" s="1"/>
  <c r="AV90" i="8" a="1"/>
  <c r="AV90" i="8" s="1"/>
  <c r="AV92" i="8" a="1"/>
  <c r="AV92" i="8" s="1"/>
  <c r="AV96" i="8" a="1"/>
  <c r="AV96" i="8" s="1"/>
  <c r="AV98" i="8" a="1"/>
  <c r="AV98" i="8" s="1"/>
  <c r="AV104" i="8" a="1"/>
  <c r="AV104" i="8" s="1"/>
  <c r="AV106" i="8" a="1"/>
  <c r="AV106" i="8" s="1"/>
  <c r="AV108" i="8" a="1"/>
  <c r="AV108" i="8" s="1"/>
  <c r="AV110" i="8" a="1"/>
  <c r="AV110" i="8" s="1"/>
  <c r="AV112" i="8" a="1"/>
  <c r="AV112" i="8" s="1"/>
  <c r="AV116" i="8" a="1"/>
  <c r="AV116" i="8" s="1"/>
  <c r="AV118" i="8" a="1"/>
  <c r="AV118" i="8" s="1"/>
  <c r="AV120" i="8" a="1"/>
  <c r="AV120" i="8" s="1"/>
  <c r="AV122" i="8" a="1"/>
  <c r="AV122" i="8" s="1"/>
  <c r="AV124" i="8" a="1"/>
  <c r="AV124" i="8" s="1"/>
  <c r="AV126" i="8" a="1"/>
  <c r="AV126" i="8" s="1"/>
  <c r="AV114" i="8" a="1"/>
  <c r="AV114" i="8" s="1"/>
  <c r="AV134" i="8" a="1"/>
  <c r="AV134" i="8" s="1"/>
  <c r="AV136" i="8" a="1"/>
  <c r="AV136" i="8" s="1"/>
  <c r="AV138" i="8" a="1"/>
  <c r="AV138" i="8" s="1"/>
  <c r="AV4" i="8" a="1"/>
  <c r="AV4" i="8" s="1"/>
  <c r="AV6" i="8" a="1"/>
  <c r="AV6" i="8" s="1"/>
  <c r="AV8" i="8" a="1"/>
  <c r="AV8" i="8" s="1"/>
  <c r="AV10" i="8" a="1"/>
  <c r="AV10" i="8" s="1"/>
  <c r="AV12" i="8" a="1"/>
  <c r="AV12" i="8" s="1"/>
  <c r="AV14" i="8" a="1"/>
  <c r="AV14" i="8" s="1"/>
  <c r="AV16" i="8" a="1"/>
  <c r="AV16" i="8" s="1"/>
  <c r="AV18" i="8" a="1"/>
  <c r="AV18" i="8" s="1"/>
  <c r="AV21" i="8" a="1"/>
  <c r="AV21" i="8" s="1"/>
  <c r="AV24" i="8" a="1"/>
  <c r="AV24" i="8" s="1"/>
  <c r="AV30" i="8" a="1"/>
  <c r="AV30" i="8" s="1"/>
  <c r="AV31" i="8" a="1"/>
  <c r="AV31" i="8" s="1"/>
  <c r="AV41" i="8" a="1"/>
  <c r="AV41" i="8" s="1"/>
  <c r="AV43" i="8" a="1"/>
  <c r="AV43" i="8" s="1"/>
  <c r="AV47" i="8" a="1"/>
  <c r="AV47" i="8" s="1"/>
  <c r="AV49" i="8" a="1"/>
  <c r="AV49" i="8" s="1"/>
  <c r="AV63" i="8" a="1"/>
  <c r="AV63" i="8" s="1"/>
  <c r="AV68" i="8" a="1"/>
  <c r="AV68" i="8" s="1"/>
  <c r="AV70" i="8" a="1"/>
  <c r="AV70" i="8" s="1"/>
  <c r="AV76" i="8" a="1"/>
  <c r="AV76" i="8" s="1"/>
  <c r="AV78" i="8" a="1"/>
  <c r="AV78" i="8" s="1"/>
  <c r="AV81" i="8" a="1"/>
  <c r="AV81" i="8" s="1"/>
  <c r="AV83" i="8" a="1"/>
  <c r="AV83" i="8" s="1"/>
  <c r="AV85" i="8" a="1"/>
  <c r="AV85" i="8" s="1"/>
  <c r="AV87" i="8" a="1"/>
  <c r="AV87" i="8" s="1"/>
  <c r="AV89" i="8" a="1"/>
  <c r="AV89" i="8" s="1"/>
  <c r="AV91" i="8" a="1"/>
  <c r="AV91" i="8" s="1"/>
  <c r="AV93" i="8" a="1"/>
  <c r="AV93" i="8" s="1"/>
  <c r="AV97" i="8" a="1"/>
  <c r="AV97" i="8" s="1"/>
  <c r="AV99" i="8" a="1"/>
  <c r="AV99" i="8" s="1"/>
  <c r="AV105" i="8" a="1"/>
  <c r="AV105" i="8" s="1"/>
  <c r="AV109" i="8" a="1"/>
  <c r="AV109" i="8" s="1"/>
  <c r="AV111" i="8" a="1"/>
  <c r="AV111" i="8" s="1"/>
  <c r="AV113" i="8" a="1"/>
  <c r="AV113" i="8" s="1"/>
  <c r="AV117" i="8" a="1"/>
  <c r="AV117" i="8" s="1"/>
  <c r="AV119" i="8" a="1"/>
  <c r="AV119" i="8" s="1"/>
  <c r="AV121" i="8" a="1"/>
  <c r="AV121" i="8" s="1"/>
  <c r="AV123" i="8" a="1"/>
  <c r="AV123" i="8" s="1"/>
  <c r="AV125" i="8" a="1"/>
  <c r="AV125" i="8" s="1"/>
  <c r="AV127" i="8" a="1"/>
  <c r="AV127" i="8" s="1"/>
  <c r="AV115" i="8" a="1"/>
  <c r="AV115" i="8" s="1"/>
  <c r="AV135" i="8" a="1"/>
  <c r="AV135" i="8" s="1"/>
  <c r="AV137" i="8" a="1"/>
  <c r="AV137" i="8" s="1"/>
  <c r="AV139" i="8" a="1"/>
  <c r="AV139" i="8" s="1"/>
  <c r="AV5" i="8" a="1"/>
  <c r="AV5" i="8" s="1"/>
  <c r="AV7" i="8" a="1"/>
  <c r="AV7" i="8" s="1"/>
  <c r="AV9" i="8" a="1"/>
  <c r="AV9" i="8" s="1"/>
  <c r="AV11" i="8" a="1"/>
  <c r="AV11" i="8" s="1"/>
  <c r="AV13" i="8" a="1"/>
  <c r="AV13" i="8" s="1"/>
  <c r="AV15" i="8" a="1"/>
  <c r="AV15" i="8" s="1"/>
  <c r="AV17" i="8" a="1"/>
  <c r="AV17" i="8" s="1"/>
  <c r="AV19" i="8" a="1"/>
  <c r="AV19" i="8" s="1"/>
  <c r="AV22" i="8" a="1"/>
  <c r="AV22" i="8" s="1"/>
  <c r="AV25" i="8" a="1"/>
  <c r="AV25" i="8" s="1"/>
  <c r="AV42" i="8" a="1"/>
  <c r="AV42" i="8" s="1"/>
  <c r="AV44" i="8" a="1"/>
  <c r="AV44" i="8" s="1"/>
  <c r="AV48" i="8" a="1"/>
  <c r="AV48" i="8" s="1"/>
  <c r="AV50" i="8" a="1"/>
  <c r="AV50" i="8" s="1"/>
  <c r="AV66" i="8" a="1"/>
  <c r="AV66" i="8" s="1"/>
  <c r="AV69" i="8" a="1"/>
  <c r="AV69" i="8" s="1"/>
  <c r="AV71" i="8" a="1"/>
  <c r="AV71" i="8" s="1"/>
  <c r="AV20" i="8" a="1"/>
  <c r="AV20" i="8" s="1"/>
  <c r="AV23" i="8" a="1"/>
  <c r="AV23" i="8" s="1"/>
  <c r="AV26" i="8" a="1"/>
  <c r="AV26" i="8" s="1"/>
  <c r="AV72" i="8" a="1"/>
  <c r="AV72" i="8" s="1"/>
  <c r="AV34" i="8" a="1"/>
  <c r="AV34" i="8" s="1"/>
  <c r="AV35" i="8" a="1"/>
  <c r="AV35" i="8" s="1"/>
  <c r="AV36" i="8" a="1"/>
  <c r="AV36" i="8" s="1"/>
  <c r="AV37" i="8" a="1"/>
  <c r="AV37" i="8" s="1"/>
  <c r="AV38" i="8" a="1"/>
  <c r="AV38" i="8" s="1"/>
  <c r="AV39" i="8" a="1"/>
  <c r="AV39" i="8" s="1"/>
  <c r="AV56" i="8" a="1"/>
  <c r="AV56" i="8" s="1"/>
  <c r="AV57" i="8" a="1"/>
  <c r="AV57" i="8" s="1"/>
  <c r="AV94" i="8" a="1"/>
  <c r="AV94" i="8" s="1"/>
  <c r="AV128" i="8" a="1"/>
  <c r="AV128" i="8" s="1"/>
  <c r="AV130" i="8" a="1"/>
  <c r="AV130" i="8" s="1"/>
  <c r="AV131" i="8" a="1"/>
  <c r="AV131" i="8" s="1"/>
  <c r="AV132" i="8" a="1"/>
  <c r="AV132" i="8" s="1"/>
  <c r="AV100" i="8" a="1"/>
  <c r="AV100" i="8" s="1"/>
  <c r="AV140" i="8" a="1"/>
  <c r="AV140" i="8" s="1"/>
  <c r="AV53" i="8" a="1"/>
  <c r="AV53" i="8" s="1"/>
  <c r="AV40" i="8" a="1"/>
  <c r="AV40" i="8" s="1"/>
  <c r="AV129" i="8" a="1"/>
  <c r="AV129" i="8" s="1"/>
  <c r="AV133" i="8" a="1"/>
  <c r="AV133" i="8" s="1"/>
  <c r="AV101" i="8" a="1"/>
  <c r="AV101" i="8" s="1"/>
  <c r="AV55" i="8" a="1"/>
  <c r="AV55" i="8" s="1"/>
  <c r="AV29" i="8" a="1"/>
  <c r="AV29" i="8" s="1"/>
  <c r="AV73" i="8" a="1"/>
  <c r="AV73" i="8" s="1"/>
  <c r="AV74" i="8" a="1"/>
  <c r="AV74" i="8" s="1"/>
  <c r="AV95" i="8" a="1"/>
  <c r="AV95" i="8" s="1"/>
  <c r="AV102" i="8" a="1"/>
  <c r="AV102" i="8" s="1"/>
  <c r="AV103" i="8" a="1"/>
  <c r="AV103" i="8" s="1"/>
  <c r="AV54" i="8" a="1"/>
  <c r="AV54" i="8" s="1"/>
  <c r="AV75" i="8" a="1"/>
  <c r="AV75" i="8" s="1"/>
  <c r="AV27" i="8" a="1"/>
  <c r="AV27" i="8" s="1"/>
  <c r="AV28" i="8" a="1"/>
  <c r="AV28" i="8" s="1"/>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4" i="8"/>
  <c r="U35" i="8"/>
  <c r="U36" i="8"/>
  <c r="U37" i="8"/>
  <c r="U38" i="8"/>
  <c r="U39" i="8"/>
  <c r="U40" i="8"/>
  <c r="U41" i="8"/>
  <c r="U42" i="8"/>
  <c r="U43" i="8"/>
  <c r="U44" i="8"/>
  <c r="U45" i="8"/>
  <c r="U46" i="8"/>
  <c r="U47" i="8"/>
  <c r="U48" i="8"/>
  <c r="U49" i="8"/>
  <c r="U50" i="8"/>
  <c r="U51" i="8"/>
  <c r="U52" i="8"/>
  <c r="U53" i="8"/>
  <c r="U54" i="8"/>
  <c r="U55" i="8"/>
  <c r="U56" i="8"/>
  <c r="U57" i="8"/>
  <c r="U58" i="8"/>
  <c r="U59" i="8"/>
  <c r="U60" i="8"/>
  <c r="U61" i="8"/>
  <c r="U62" i="8"/>
  <c r="U63" i="8"/>
  <c r="U64" i="8"/>
  <c r="U65" i="8"/>
  <c r="U66" i="8"/>
  <c r="U67" i="8"/>
  <c r="U68" i="8"/>
  <c r="U69" i="8"/>
  <c r="U70" i="8"/>
  <c r="U71" i="8"/>
  <c r="U72" i="8"/>
  <c r="U73" i="8"/>
  <c r="U74" i="8"/>
  <c r="U75" i="8"/>
  <c r="U76" i="8"/>
  <c r="U77" i="8"/>
  <c r="U78" i="8"/>
  <c r="U79" i="8"/>
  <c r="U80" i="8"/>
  <c r="U81" i="8"/>
  <c r="U82" i="8"/>
  <c r="U83" i="8"/>
  <c r="W5" i="8" a="1"/>
  <c r="W5" i="8" s="1"/>
  <c r="W6" i="8" a="1"/>
  <c r="W6" i="8" s="1"/>
  <c r="W7" i="8" a="1"/>
  <c r="W7" i="8" s="1"/>
  <c r="W8" i="8" a="1"/>
  <c r="W8" i="8" s="1"/>
  <c r="W9" i="8" a="1"/>
  <c r="W9" i="8" s="1"/>
  <c r="W10" i="8" a="1"/>
  <c r="W10" i="8" s="1"/>
  <c r="W11" i="8" a="1"/>
  <c r="W11" i="8" s="1"/>
  <c r="W12" i="8" a="1"/>
  <c r="W12" i="8" s="1"/>
  <c r="W13" i="8" a="1"/>
  <c r="W13" i="8" s="1"/>
  <c r="W14" i="8" a="1"/>
  <c r="W14" i="8" s="1"/>
  <c r="W15" i="8" a="1"/>
  <c r="W15" i="8" s="1"/>
  <c r="W16" i="8" a="1"/>
  <c r="W16" i="8" s="1"/>
  <c r="W17" i="8" a="1"/>
  <c r="W17" i="8" s="1"/>
  <c r="W18" i="8" a="1"/>
  <c r="W18" i="8" s="1"/>
  <c r="W20" i="8" a="1"/>
  <c r="W20" i="8" s="1"/>
  <c r="W22" i="8" a="1"/>
  <c r="W22" i="8" s="1"/>
  <c r="W23" i="8" a="1"/>
  <c r="W23" i="8" s="1"/>
  <c r="W24" i="8" a="1"/>
  <c r="W24" i="8" s="1"/>
  <c r="W25" i="8" a="1"/>
  <c r="W25" i="8" s="1"/>
  <c r="W26" i="8" a="1"/>
  <c r="W26" i="8" s="1"/>
  <c r="W27" i="8" a="1"/>
  <c r="W27" i="8" s="1"/>
  <c r="W28" i="8" a="1"/>
  <c r="W28" i="8" s="1"/>
  <c r="W29" i="8" a="1"/>
  <c r="W29" i="8" s="1"/>
  <c r="W30" i="8" a="1"/>
  <c r="W30" i="8" s="1"/>
  <c r="W31" i="8" a="1"/>
  <c r="W31" i="8" s="1"/>
  <c r="W32" i="8" a="1"/>
  <c r="W32" i="8" s="1"/>
  <c r="W33" i="8" a="1"/>
  <c r="W33" i="8" s="1"/>
  <c r="W34" i="8" a="1"/>
  <c r="W34" i="8" s="1"/>
  <c r="W35" i="8" a="1"/>
  <c r="W35" i="8" s="1"/>
  <c r="W36" i="8" a="1"/>
  <c r="W36" i="8" s="1"/>
  <c r="W37" i="8" a="1"/>
  <c r="W37" i="8" s="1"/>
  <c r="W38" i="8" a="1"/>
  <c r="W38" i="8" s="1"/>
  <c r="W39" i="8" a="1"/>
  <c r="W39" i="8" s="1"/>
  <c r="W41" i="8" a="1"/>
  <c r="W41" i="8" s="1"/>
  <c r="W42" i="8" a="1"/>
  <c r="W42" i="8" s="1"/>
  <c r="W43" i="8" a="1"/>
  <c r="W43" i="8" s="1"/>
  <c r="W44" i="8" a="1"/>
  <c r="W44" i="8" s="1"/>
  <c r="W45" i="8" a="1"/>
  <c r="W45" i="8" s="1"/>
  <c r="W46" i="8" a="1"/>
  <c r="W46" i="8" s="1"/>
  <c r="W47" i="8" a="1"/>
  <c r="W47" i="8" s="1"/>
  <c r="W48" i="8" a="1"/>
  <c r="W48" i="8" s="1"/>
  <c r="W49" i="8" a="1"/>
  <c r="W49" i="8" s="1"/>
  <c r="W50" i="8" a="1"/>
  <c r="W50" i="8" s="1"/>
  <c r="W51" i="8" a="1"/>
  <c r="W51" i="8" s="1"/>
  <c r="W53" i="8" a="1"/>
  <c r="W53" i="8" s="1"/>
  <c r="W55" i="8" a="1"/>
  <c r="W55" i="8" s="1"/>
  <c r="W56" i="8" a="1"/>
  <c r="W56" i="8" s="1"/>
  <c r="W57" i="8" a="1"/>
  <c r="W57" i="8" s="1"/>
  <c r="W58" i="8" a="1"/>
  <c r="W58" i="8" s="1"/>
  <c r="W59" i="8" a="1"/>
  <c r="W59" i="8" s="1"/>
  <c r="W60" i="8" a="1"/>
  <c r="W60" i="8" s="1"/>
  <c r="W61" i="8" a="1"/>
  <c r="W61" i="8" s="1"/>
  <c r="W62" i="8" a="1"/>
  <c r="W62" i="8" s="1"/>
  <c r="W63" i="8" a="1"/>
  <c r="W63" i="8" s="1"/>
  <c r="W64" i="8" a="1"/>
  <c r="W64" i="8" s="1"/>
  <c r="W65" i="8" a="1"/>
  <c r="W65" i="8" s="1"/>
  <c r="W66" i="8" a="1"/>
  <c r="W66" i="8" s="1"/>
  <c r="W67" i="8" a="1"/>
  <c r="W67" i="8" s="1"/>
  <c r="W68" i="8" a="1"/>
  <c r="W68" i="8" s="1"/>
  <c r="W69" i="8" a="1"/>
  <c r="W69" i="8" s="1"/>
  <c r="W70" i="8" a="1"/>
  <c r="W70" i="8" s="1"/>
  <c r="W71" i="8" a="1"/>
  <c r="W71" i="8" s="1"/>
  <c r="W72" i="8" a="1"/>
  <c r="W72" i="8" s="1"/>
  <c r="W75" i="8" a="1"/>
  <c r="W75" i="8" s="1"/>
  <c r="W76" i="8" a="1"/>
  <c r="W76" i="8" s="1"/>
  <c r="W77" i="8" a="1"/>
  <c r="W77" i="8" s="1"/>
  <c r="W78" i="8" a="1"/>
  <c r="W78" i="8" s="1"/>
  <c r="W79" i="8" a="1"/>
  <c r="W79" i="8" s="1"/>
  <c r="W80" i="8" a="1"/>
  <c r="W80" i="8" s="1"/>
  <c r="W81" i="8" a="1"/>
  <c r="W81" i="8" s="1"/>
  <c r="W82" i="8" a="1"/>
  <c r="W82" i="8" s="1"/>
  <c r="W83" i="8" a="1"/>
  <c r="W83" i="8" s="1"/>
  <c r="AB5" i="8" a="1"/>
  <c r="AB5" i="8" s="1"/>
  <c r="AB6" i="8" a="1"/>
  <c r="AB6" i="8" s="1"/>
  <c r="AB7" i="8" a="1"/>
  <c r="AB7" i="8" s="1"/>
  <c r="AB8" i="8" a="1"/>
  <c r="AB8" i="8" s="1"/>
  <c r="AB9" i="8" a="1"/>
  <c r="AB9" i="8" s="1"/>
  <c r="AB10" i="8" a="1"/>
  <c r="AB10" i="8" s="1"/>
  <c r="AB11" i="8" a="1"/>
  <c r="AB11" i="8" s="1"/>
  <c r="AB12" i="8" a="1"/>
  <c r="AB12" i="8" s="1"/>
  <c r="AB13" i="8" a="1"/>
  <c r="AB13" i="8" s="1"/>
  <c r="AB14" i="8" a="1"/>
  <c r="AB14" i="8" s="1"/>
  <c r="AB15" i="8" a="1"/>
  <c r="AB15" i="8" s="1"/>
  <c r="AB16" i="8" a="1"/>
  <c r="AB16" i="8" s="1"/>
  <c r="AB17" i="8" a="1"/>
  <c r="AB17" i="8" s="1"/>
  <c r="AB18" i="8" a="1"/>
  <c r="AB18" i="8" s="1"/>
  <c r="AB19" i="8" a="1"/>
  <c r="AB19" i="8" s="1"/>
  <c r="AB20" i="8" a="1"/>
  <c r="AB20" i="8" s="1"/>
  <c r="AB21" i="8" a="1"/>
  <c r="AB21" i="8" s="1"/>
  <c r="AB22" i="8" a="1"/>
  <c r="AB22" i="8" s="1"/>
  <c r="AB23" i="8" a="1"/>
  <c r="AB23" i="8" s="1"/>
  <c r="AB24" i="8" a="1"/>
  <c r="AB24" i="8" s="1"/>
  <c r="AB25" i="8" a="1"/>
  <c r="AB25" i="8" s="1"/>
  <c r="AB26" i="8" a="1"/>
  <c r="AB26" i="8" s="1"/>
  <c r="AB27" i="8" a="1"/>
  <c r="AB27" i="8" s="1"/>
  <c r="AB28" i="8" a="1"/>
  <c r="AB28" i="8" s="1"/>
  <c r="AB29" i="8" a="1"/>
  <c r="AB29" i="8" s="1"/>
  <c r="AB30" i="8" a="1"/>
  <c r="AB30" i="8" s="1"/>
  <c r="AB31" i="8" a="1"/>
  <c r="AB31" i="8" s="1"/>
  <c r="AB32" i="8" a="1"/>
  <c r="AB32" i="8" s="1"/>
  <c r="AB33" i="8" a="1"/>
  <c r="AB33" i="8" s="1"/>
  <c r="AB34" i="8" a="1"/>
  <c r="AB34" i="8" s="1"/>
  <c r="AB35" i="8" a="1"/>
  <c r="AB35" i="8" s="1"/>
  <c r="AB36" i="8" a="1"/>
  <c r="AB36" i="8" s="1"/>
  <c r="AB37" i="8" a="1"/>
  <c r="AB37" i="8" s="1"/>
  <c r="AB38" i="8" a="1"/>
  <c r="AB38" i="8" s="1"/>
  <c r="AB39" i="8" a="1"/>
  <c r="AB39" i="8" s="1"/>
  <c r="AB40" i="8" a="1"/>
  <c r="AB40" i="8" s="1"/>
  <c r="AB41" i="8" a="1"/>
  <c r="AB41" i="8" s="1"/>
  <c r="AB42" i="8" a="1"/>
  <c r="AB42" i="8" s="1"/>
  <c r="AB43" i="8" a="1"/>
  <c r="AB43" i="8" s="1"/>
  <c r="AB44" i="8" a="1"/>
  <c r="AB44" i="8" s="1"/>
  <c r="AB45" i="8" a="1"/>
  <c r="AB45" i="8" s="1"/>
  <c r="AB46" i="8" a="1"/>
  <c r="AB46" i="8" s="1"/>
  <c r="AB47" i="8" a="1"/>
  <c r="AB47" i="8" s="1"/>
  <c r="AB48" i="8" a="1"/>
  <c r="AB48" i="8" s="1"/>
  <c r="AB49" i="8" a="1"/>
  <c r="AB49" i="8" s="1"/>
  <c r="AB50" i="8" a="1"/>
  <c r="AB50" i="8" s="1"/>
  <c r="AB51" i="8" a="1"/>
  <c r="AB51" i="8" s="1"/>
  <c r="AB52" i="8" a="1"/>
  <c r="AB52" i="8" s="1"/>
  <c r="AB53" i="8" a="1"/>
  <c r="AB53" i="8" s="1"/>
  <c r="AB54" i="8" a="1"/>
  <c r="AB54" i="8" s="1"/>
  <c r="AB55" i="8" a="1"/>
  <c r="AB55" i="8" s="1"/>
  <c r="AB56" i="8" a="1"/>
  <c r="AB56" i="8" s="1"/>
  <c r="AB57" i="8" a="1"/>
  <c r="AB57" i="8" s="1"/>
  <c r="AB58" i="8" a="1"/>
  <c r="AB58" i="8" s="1"/>
  <c r="AB59" i="8" a="1"/>
  <c r="AB59" i="8" s="1"/>
  <c r="AB60" i="8" a="1"/>
  <c r="AB60" i="8" s="1"/>
  <c r="AB61" i="8" a="1"/>
  <c r="AB61" i="8" s="1"/>
  <c r="AB62" i="8" a="1"/>
  <c r="AB62" i="8" s="1"/>
  <c r="AB63" i="8" a="1"/>
  <c r="AB63" i="8" s="1"/>
  <c r="AB64" i="8" a="1"/>
  <c r="AB64" i="8" s="1"/>
  <c r="AB65" i="8" a="1"/>
  <c r="AB65" i="8" s="1"/>
  <c r="AB66" i="8" a="1"/>
  <c r="AB66" i="8" s="1"/>
  <c r="AB67" i="8" a="1"/>
  <c r="AB67" i="8" s="1"/>
  <c r="AB68" i="8" a="1"/>
  <c r="AB68" i="8" s="1"/>
  <c r="AB69" i="8" a="1"/>
  <c r="AB69" i="8" s="1"/>
  <c r="AB70" i="8" a="1"/>
  <c r="AB70" i="8" s="1"/>
  <c r="AB71" i="8" a="1"/>
  <c r="AB71" i="8" s="1"/>
  <c r="AB72" i="8" a="1"/>
  <c r="AB72" i="8" s="1"/>
  <c r="AB73" i="8" a="1"/>
  <c r="AB73" i="8" s="1"/>
  <c r="AB74" i="8" a="1"/>
  <c r="AB74" i="8" s="1"/>
  <c r="AB75" i="8" a="1"/>
  <c r="AB75" i="8" s="1"/>
  <c r="AB76" i="8" a="1"/>
  <c r="AB76" i="8" s="1"/>
  <c r="AB77" i="8" a="1"/>
  <c r="AB77" i="8" s="1"/>
  <c r="AB78" i="8" a="1"/>
  <c r="AB78" i="8" s="1"/>
  <c r="AB79" i="8" a="1"/>
  <c r="AB79" i="8" s="1"/>
  <c r="AB80" i="8" a="1"/>
  <c r="AB80" i="8" s="1"/>
  <c r="AB81" i="8" a="1"/>
  <c r="AB81" i="8" s="1"/>
  <c r="AB82" i="8" a="1"/>
  <c r="AB82" i="8" s="1"/>
  <c r="AB83" i="8" a="1"/>
  <c r="AB83" i="8" s="1"/>
  <c r="AB4" i="8" a="1"/>
  <c r="AB4" i="8" s="1"/>
  <c r="W4" i="8" a="1"/>
  <c r="W4" i="8" s="1"/>
  <c r="U4" i="8"/>
  <c r="I24" i="8" a="1"/>
  <c r="I24" i="8" s="1"/>
  <c r="I110" i="8" a="1"/>
  <c r="I110" i="8" s="1"/>
  <c r="I111" i="8" a="1"/>
  <c r="I111" i="8" s="1"/>
  <c r="I112" i="8" a="1"/>
  <c r="I112" i="8" s="1"/>
  <c r="I113" i="8" a="1"/>
  <c r="I113" i="8" s="1"/>
  <c r="I114" i="8" a="1"/>
  <c r="I114" i="8" s="1"/>
  <c r="I39" i="8" a="1"/>
  <c r="I39" i="8" s="1"/>
  <c r="I124" i="8" a="1"/>
  <c r="I124" i="8" s="1"/>
  <c r="I126" i="8" a="1"/>
  <c r="I126" i="8" s="1"/>
  <c r="I72" i="8" a="1"/>
  <c r="I72" i="8" s="1"/>
  <c r="I76" i="8" a="1"/>
  <c r="I76" i="8" s="1"/>
  <c r="I121" i="8" a="1"/>
  <c r="I121" i="8" s="1"/>
  <c r="I77" i="8" a="1"/>
  <c r="I77" i="8" s="1"/>
  <c r="I123" i="8" a="1"/>
  <c r="I123" i="8" s="1"/>
  <c r="I102" i="8" a="1"/>
  <c r="I102" i="8" s="1"/>
  <c r="I104" i="8" a="1"/>
  <c r="I104" i="8" s="1"/>
  <c r="I105" i="8" a="1"/>
  <c r="I105" i="8" s="1"/>
  <c r="I106" i="8" a="1"/>
  <c r="I106" i="8" s="1"/>
  <c r="I107" i="8" a="1"/>
  <c r="I107" i="8" s="1"/>
  <c r="I75" i="8" a="1"/>
  <c r="I75" i="8" s="1"/>
  <c r="I73" i="8" a="1"/>
  <c r="I73" i="8" s="1"/>
  <c r="I4" i="8" a="1"/>
  <c r="I4" i="8" s="1"/>
  <c r="I5" i="8" a="1"/>
  <c r="I5" i="8" s="1"/>
  <c r="I6" i="8" a="1"/>
  <c r="I6" i="8" s="1"/>
  <c r="I7" i="8" a="1"/>
  <c r="I7" i="8" s="1"/>
  <c r="I9" i="8" a="1"/>
  <c r="I9" i="8" s="1"/>
  <c r="I15" i="8" a="1"/>
  <c r="I15" i="8" s="1"/>
  <c r="I17" i="8" a="1"/>
  <c r="I17" i="8" s="1"/>
  <c r="I18" i="8" a="1"/>
  <c r="I18" i="8" s="1"/>
  <c r="I19" i="8" a="1"/>
  <c r="I19" i="8" s="1"/>
  <c r="I20" i="8" a="1"/>
  <c r="I20" i="8" s="1"/>
  <c r="I21" i="8" a="1"/>
  <c r="I21" i="8" s="1"/>
  <c r="I22" i="8" a="1"/>
  <c r="I22" i="8" s="1"/>
  <c r="I23" i="8" a="1"/>
  <c r="I23" i="8" s="1"/>
  <c r="I25" i="8" a="1"/>
  <c r="I25" i="8" s="1"/>
  <c r="I26" i="8" a="1"/>
  <c r="I26" i="8" s="1"/>
  <c r="I28" i="8" a="1"/>
  <c r="I28" i="8" s="1"/>
  <c r="I29" i="8" a="1"/>
  <c r="I29" i="8" s="1"/>
  <c r="I32" i="8" a="1"/>
  <c r="I32" i="8" s="1"/>
  <c r="I33" i="8" a="1"/>
  <c r="I33" i="8" s="1"/>
  <c r="I35" i="8" a="1"/>
  <c r="I35" i="8" s="1"/>
  <c r="I36" i="8" a="1"/>
  <c r="I36" i="8" s="1"/>
  <c r="I37" i="8" a="1"/>
  <c r="I37" i="8" s="1"/>
  <c r="I38" i="8" a="1"/>
  <c r="I38" i="8" s="1"/>
  <c r="I40" i="8" a="1"/>
  <c r="I40" i="8" s="1"/>
  <c r="I41" i="8" a="1"/>
  <c r="I41" i="8" s="1"/>
  <c r="I42" i="8" a="1"/>
  <c r="I42" i="8" s="1"/>
  <c r="I43" i="8" a="1"/>
  <c r="I43" i="8" s="1"/>
  <c r="I44" i="8" a="1"/>
  <c r="I44" i="8" s="1"/>
  <c r="I45" i="8" a="1"/>
  <c r="I45" i="8" s="1"/>
  <c r="I46" i="8" a="1"/>
  <c r="I46" i="8" s="1"/>
  <c r="I49" i="8" a="1"/>
  <c r="I49" i="8" s="1"/>
  <c r="I52" i="8" a="1"/>
  <c r="I52" i="8" s="1"/>
  <c r="I55" i="8" a="1"/>
  <c r="I55" i="8" s="1"/>
  <c r="I58" i="8" a="1"/>
  <c r="I58" i="8" s="1"/>
  <c r="I59" i="8" a="1"/>
  <c r="I59" i="8" s="1"/>
  <c r="I60" i="8" a="1"/>
  <c r="I60" i="8" s="1"/>
  <c r="I63" i="8" a="1"/>
  <c r="I63" i="8" s="1"/>
  <c r="I66" i="8" a="1"/>
  <c r="I66" i="8" s="1"/>
  <c r="I71" i="8" a="1"/>
  <c r="I71" i="8" s="1"/>
  <c r="I74" i="8" a="1"/>
  <c r="I74" i="8" s="1"/>
  <c r="I80" i="8" a="1"/>
  <c r="I80" i="8" s="1"/>
  <c r="I82" i="8" a="1"/>
  <c r="I82" i="8" s="1"/>
  <c r="I83" i="8" a="1"/>
  <c r="I83" i="8" s="1"/>
  <c r="I84" i="8" a="1"/>
  <c r="I84" i="8" s="1"/>
  <c r="I87" i="8" a="1"/>
  <c r="I87" i="8" s="1"/>
  <c r="I8" i="8" a="1"/>
  <c r="I8" i="8" s="1"/>
  <c r="I10" i="8" a="1"/>
  <c r="I10" i="8" s="1"/>
  <c r="I12" i="8" a="1"/>
  <c r="I12" i="8" s="1"/>
  <c r="I101" i="8" a="1"/>
  <c r="I101" i="8" s="1"/>
  <c r="I103" i="8" a="1"/>
  <c r="I103" i="8" s="1"/>
  <c r="I30" i="8" a="1"/>
  <c r="I30" i="8" s="1"/>
  <c r="I31" i="8" a="1"/>
  <c r="I31" i="8" s="1"/>
  <c r="I34" i="8" a="1"/>
  <c r="I34" i="8" s="1"/>
  <c r="I48" i="8" a="1"/>
  <c r="I48" i="8" s="1"/>
  <c r="I47" i="8" a="1"/>
  <c r="I47" i="8" s="1"/>
  <c r="I54" i="8" a="1"/>
  <c r="I54" i="8" s="1"/>
  <c r="I53" i="8" a="1"/>
  <c r="I53" i="8" s="1"/>
  <c r="I57" i="8" a="1"/>
  <c r="I57" i="8" s="1"/>
  <c r="I56" i="8" a="1"/>
  <c r="I56" i="8" s="1"/>
  <c r="I62" i="8" a="1"/>
  <c r="I62" i="8" s="1"/>
  <c r="I61" i="8" a="1"/>
  <c r="I61" i="8" s="1"/>
  <c r="I65" i="8" a="1"/>
  <c r="I65" i="8" s="1"/>
  <c r="I64" i="8" a="1"/>
  <c r="I64" i="8" s="1"/>
  <c r="I68" i="8" a="1"/>
  <c r="I68" i="8" s="1"/>
  <c r="I67" i="8" a="1"/>
  <c r="I67" i="8" s="1"/>
  <c r="I70" i="8" a="1"/>
  <c r="I70" i="8" s="1"/>
  <c r="I69" i="8" a="1"/>
  <c r="I69" i="8" s="1"/>
  <c r="I51" i="8" a="1"/>
  <c r="I51" i="8" s="1"/>
  <c r="I50" i="8" a="1"/>
  <c r="I50" i="8" s="1"/>
  <c r="I81" i="8" a="1"/>
  <c r="I81" i="8" s="1"/>
  <c r="I86" i="8" a="1"/>
  <c r="I86" i="8" s="1"/>
  <c r="I85" i="8" a="1"/>
  <c r="I85" i="8" s="1"/>
  <c r="I89" i="8" a="1"/>
  <c r="I89" i="8" s="1"/>
  <c r="I88" i="8" a="1"/>
  <c r="I88" i="8" s="1"/>
  <c r="I91" i="8" a="1"/>
  <c r="I91" i="8" s="1"/>
  <c r="I90" i="8" a="1"/>
  <c r="I90" i="8" s="1"/>
  <c r="I93" i="8" a="1"/>
  <c r="I93" i="8" s="1"/>
  <c r="I92" i="8" a="1"/>
  <c r="I92" i="8" s="1"/>
  <c r="I94" i="8" a="1"/>
  <c r="I94" i="8" s="1"/>
  <c r="I96" i="8" a="1"/>
  <c r="I96" i="8" s="1"/>
  <c r="I95" i="8" a="1"/>
  <c r="I95" i="8" s="1"/>
  <c r="I97" i="8" a="1"/>
  <c r="I97" i="8" s="1"/>
  <c r="I99" i="8" a="1"/>
  <c r="I99" i="8" s="1"/>
  <c r="I98" i="8" a="1"/>
  <c r="I98" i="8" s="1"/>
  <c r="I100" i="8" a="1"/>
  <c r="I100" i="8" s="1"/>
  <c r="I108" i="8" a="1"/>
  <c r="I108" i="8" s="1"/>
  <c r="I109" i="8" a="1"/>
  <c r="I109" i="8" s="1"/>
  <c r="I116" i="8" a="1"/>
  <c r="I116" i="8" s="1"/>
  <c r="I115" i="8" a="1"/>
  <c r="I115" i="8" s="1"/>
  <c r="I118" i="8" a="1"/>
  <c r="I118" i="8" s="1"/>
  <c r="I117" i="8" a="1"/>
  <c r="I117" i="8" s="1"/>
  <c r="I120" i="8" a="1"/>
  <c r="I120" i="8" s="1"/>
  <c r="I119" i="8" a="1"/>
  <c r="I119" i="8" s="1"/>
  <c r="I27" i="8" a="1"/>
  <c r="I27" i="8" s="1"/>
  <c r="I14" i="8" a="1"/>
  <c r="I14" i="8" s="1"/>
  <c r="I16" i="8" a="1"/>
  <c r="I16" i="8" s="1"/>
  <c r="B110" i="8"/>
  <c r="B111" i="8"/>
  <c r="B112" i="8"/>
  <c r="B113" i="8"/>
  <c r="B114" i="8"/>
  <c r="B39" i="8"/>
  <c r="B124" i="8"/>
  <c r="B72" i="8"/>
  <c r="B76" i="8"/>
  <c r="B121" i="8"/>
  <c r="B77" i="8"/>
  <c r="B123" i="8"/>
  <c r="B102" i="8"/>
  <c r="B104" i="8"/>
  <c r="B105" i="8"/>
  <c r="B106" i="8"/>
  <c r="B107" i="8"/>
  <c r="B75" i="8"/>
  <c r="B73" i="8"/>
  <c r="B4" i="8"/>
  <c r="B5" i="8"/>
  <c r="B6" i="8"/>
  <c r="B7" i="8"/>
  <c r="B9" i="8"/>
  <c r="B15" i="8"/>
  <c r="B17" i="8"/>
  <c r="B18" i="8"/>
  <c r="B19" i="8"/>
  <c r="B20" i="8"/>
  <c r="B21" i="8"/>
  <c r="B22" i="8"/>
  <c r="B23" i="8"/>
  <c r="B25" i="8"/>
  <c r="B26" i="8"/>
  <c r="B28" i="8"/>
  <c r="B29" i="8"/>
  <c r="B32" i="8"/>
  <c r="B33" i="8"/>
  <c r="B35" i="8"/>
  <c r="B36" i="8"/>
  <c r="B37" i="8"/>
  <c r="B38" i="8"/>
  <c r="B40" i="8"/>
  <c r="B41" i="8"/>
  <c r="B42" i="8"/>
  <c r="B43" i="8"/>
  <c r="B44" i="8"/>
  <c r="B45" i="8"/>
  <c r="B46" i="8"/>
  <c r="B49" i="8"/>
  <c r="B52" i="8"/>
  <c r="B55" i="8"/>
  <c r="B58" i="8"/>
  <c r="B59" i="8"/>
  <c r="B60" i="8"/>
  <c r="B63" i="8"/>
  <c r="B66" i="8"/>
  <c r="B71" i="8"/>
  <c r="B74" i="8"/>
  <c r="B80" i="8"/>
  <c r="B82" i="8"/>
  <c r="B83" i="8"/>
  <c r="B84" i="8"/>
  <c r="B87" i="8"/>
  <c r="B8" i="8"/>
  <c r="B10" i="8"/>
  <c r="B12" i="8"/>
  <c r="B101" i="8"/>
  <c r="B103" i="8"/>
  <c r="B30" i="8"/>
  <c r="B31" i="8"/>
  <c r="B34" i="8"/>
  <c r="B48" i="8"/>
  <c r="B47" i="8"/>
  <c r="B54" i="8"/>
  <c r="B53" i="8"/>
  <c r="B57" i="8"/>
  <c r="B56" i="8"/>
  <c r="B62" i="8"/>
  <c r="B61" i="8"/>
  <c r="B65" i="8"/>
  <c r="B64" i="8"/>
  <c r="B68" i="8"/>
  <c r="B67" i="8"/>
  <c r="B70" i="8"/>
  <c r="B69" i="8"/>
  <c r="B51" i="8"/>
  <c r="B50" i="8"/>
  <c r="B81" i="8"/>
  <c r="B86" i="8"/>
  <c r="B85" i="8"/>
  <c r="B89" i="8"/>
  <c r="B88" i="8"/>
  <c r="B91" i="8"/>
  <c r="B90" i="8"/>
  <c r="B93" i="8"/>
  <c r="B92" i="8"/>
  <c r="B94" i="8"/>
  <c r="B96" i="8"/>
  <c r="B95" i="8"/>
  <c r="B97" i="8"/>
  <c r="B99" i="8"/>
  <c r="B98" i="8"/>
  <c r="B100" i="8"/>
  <c r="B108" i="8"/>
  <c r="B109" i="8"/>
  <c r="B116" i="8"/>
  <c r="B115" i="8"/>
  <c r="B118" i="8"/>
  <c r="B117" i="8"/>
  <c r="B120" i="8"/>
  <c r="B119" i="8"/>
  <c r="B27" i="8"/>
  <c r="B14" i="8"/>
  <c r="B16" i="8"/>
  <c r="B24" i="8"/>
  <c r="V7" i="4" l="1"/>
  <c r="Q6" i="16" a="1"/>
  <c r="Q6" i="16" s="1"/>
  <c r="Q5" i="16" s="1"/>
  <c r="F4" i="16"/>
  <c r="G4" i="16" s="1" a="1"/>
  <c r="G4" i="16" s="1"/>
  <c r="L272" i="7"/>
  <c r="L271" i="7" a="1"/>
  <c r="L271" i="7" s="1"/>
  <c r="O205" i="7"/>
  <c r="O206" i="7" s="1"/>
  <c r="O207" i="7" s="1"/>
  <c r="O208" i="7" s="1"/>
  <c r="O209" i="7" s="1"/>
  <c r="O210" i="7" s="1"/>
  <c r="O211" i="7" s="1"/>
  <c r="O212" i="7" s="1"/>
  <c r="O213" i="7" s="1"/>
  <c r="O214" i="7" s="1"/>
  <c r="O215" i="7" s="1"/>
  <c r="O216" i="7" s="1"/>
  <c r="O217" i="7" s="1"/>
  <c r="O218" i="7" s="1"/>
  <c r="O219" i="7" s="1"/>
  <c r="O220" i="7" s="1"/>
  <c r="O221" i="7" s="1"/>
  <c r="O222" i="7" s="1"/>
  <c r="O223" i="7" s="1"/>
  <c r="O224" i="7" s="1"/>
  <c r="O225" i="7" s="1"/>
  <c r="O226" i="7" s="1"/>
  <c r="O227" i="7" s="1"/>
  <c r="O228" i="7" s="1"/>
  <c r="O229" i="7" s="1"/>
  <c r="O230" i="7" s="1"/>
  <c r="O231" i="7" s="1"/>
  <c r="O232" i="7" s="1"/>
  <c r="O233" i="7" s="1"/>
  <c r="O234" i="7" s="1"/>
  <c r="O235" i="7" s="1"/>
  <c r="O236" i="7" s="1"/>
  <c r="O237" i="7" s="1"/>
  <c r="O238" i="7" s="1"/>
  <c r="O239" i="7" s="1"/>
  <c r="O240" i="7" s="1"/>
  <c r="O241" i="7" s="1"/>
  <c r="O242" i="7" s="1"/>
  <c r="O243" i="7" s="1"/>
  <c r="O244" i="7" s="1"/>
  <c r="O245" i="7" s="1"/>
  <c r="O246" i="7" s="1"/>
  <c r="O247" i="7" s="1"/>
  <c r="O248" i="7" s="1"/>
  <c r="O249" i="7" s="1"/>
  <c r="O250" i="7" s="1"/>
  <c r="O251" i="7" s="1"/>
  <c r="O252" i="7" s="1"/>
  <c r="O253" i="7" s="1"/>
  <c r="O254" i="7" s="1"/>
  <c r="O255" i="7" s="1"/>
  <c r="O256" i="7" s="1"/>
  <c r="O257" i="7" s="1"/>
  <c r="O258" i="7" s="1"/>
  <c r="O259" i="7" s="1"/>
  <c r="L205" i="7"/>
  <c r="L204" i="7" a="1"/>
  <c r="L204" i="7" s="1"/>
  <c r="AY146" i="7"/>
  <c r="BA146" i="7"/>
  <c r="BC134" i="7"/>
  <c r="BC133" i="7"/>
  <c r="BC131" i="7"/>
  <c r="BC130" i="7"/>
  <c r="BC129" i="7"/>
  <c r="BA134" i="7"/>
  <c r="BA133" i="7"/>
  <c r="BA130" i="7"/>
  <c r="BA129" i="7"/>
  <c r="AY134" i="7"/>
  <c r="AY133" i="7"/>
  <c r="AY130" i="7"/>
  <c r="AY129" i="7"/>
  <c r="AA190" i="7"/>
  <c r="AA189" i="7"/>
  <c r="AA188" i="7"/>
  <c r="AA187" i="7"/>
  <c r="AA186" i="7"/>
  <c r="AA183" i="7"/>
  <c r="AA182" i="7"/>
  <c r="AA180" i="7"/>
  <c r="AA177" i="7"/>
  <c r="AA176" i="7"/>
  <c r="AA170" i="7"/>
  <c r="AA169" i="7"/>
  <c r="AA168" i="7"/>
  <c r="AA167" i="7"/>
  <c r="AA166" i="7"/>
  <c r="AA162" i="7"/>
  <c r="AA161" i="7"/>
  <c r="AA160" i="7"/>
  <c r="AA159" i="7"/>
  <c r="AA158" i="7"/>
  <c r="AA157" i="7"/>
  <c r="AA156" i="7"/>
  <c r="AA155" i="7"/>
  <c r="AA154" i="7"/>
  <c r="AA152" i="7"/>
  <c r="AA151" i="7"/>
  <c r="AA150" i="7"/>
  <c r="AA149" i="7"/>
  <c r="AA148" i="7"/>
  <c r="AA147" i="7"/>
  <c r="AA146" i="7"/>
  <c r="AA145" i="7"/>
  <c r="AA143" i="7"/>
  <c r="AA142" i="7"/>
  <c r="Y188" i="7"/>
  <c r="Y187" i="7"/>
  <c r="Y186" i="7"/>
  <c r="Y183" i="7"/>
  <c r="Y182" i="7"/>
  <c r="Y180" i="7"/>
  <c r="Y177" i="7"/>
  <c r="Y176" i="7"/>
  <c r="Y173" i="7"/>
  <c r="Y171" i="7"/>
  <c r="Y162" i="7"/>
  <c r="Y161" i="7"/>
  <c r="Y160" i="7"/>
  <c r="Y159" i="7"/>
  <c r="Y158" i="7"/>
  <c r="Y157" i="7"/>
  <c r="Y156" i="7"/>
  <c r="Y155" i="7"/>
  <c r="Y154" i="7"/>
  <c r="Y152" i="7"/>
  <c r="Y151" i="7"/>
  <c r="Y150" i="7"/>
  <c r="Y149" i="7"/>
  <c r="Y148" i="7"/>
  <c r="W188" i="7"/>
  <c r="W187" i="7"/>
  <c r="W186" i="7"/>
  <c r="W183" i="7"/>
  <c r="W182" i="7"/>
  <c r="W180" i="7"/>
  <c r="W177" i="7"/>
  <c r="W176" i="7"/>
  <c r="W173" i="7"/>
  <c r="W171" i="7"/>
  <c r="W168" i="7"/>
  <c r="W167" i="7"/>
  <c r="W166" i="7"/>
  <c r="W162" i="7"/>
  <c r="W161" i="7"/>
  <c r="W160" i="7"/>
  <c r="W159" i="7"/>
  <c r="W158" i="7"/>
  <c r="W157" i="7"/>
  <c r="W156" i="7"/>
  <c r="W155" i="7"/>
  <c r="W147" i="7"/>
  <c r="W146" i="7"/>
  <c r="W145" i="7"/>
  <c r="W143" i="7"/>
  <c r="W142" i="7"/>
  <c r="O135" i="7"/>
  <c r="O136" i="7" s="1"/>
  <c r="O137" i="7" s="1"/>
  <c r="O138" i="7" s="1"/>
  <c r="O139" i="7" s="1"/>
  <c r="O140" i="7" s="1"/>
  <c r="O141" i="7" s="1"/>
  <c r="O142" i="7" s="1"/>
  <c r="O143" i="7" s="1"/>
  <c r="O144" i="7" s="1"/>
  <c r="O145" i="7" s="1"/>
  <c r="O146" i="7" s="1"/>
  <c r="O147" i="7" s="1"/>
  <c r="O148" i="7" s="1"/>
  <c r="O149" i="7" s="1"/>
  <c r="O150" i="7" s="1"/>
  <c r="O151" i="7" s="1"/>
  <c r="O152" i="7" s="1"/>
  <c r="O153" i="7" s="1"/>
  <c r="O154" i="7" s="1"/>
  <c r="O155" i="7" s="1"/>
  <c r="O156" i="7" s="1"/>
  <c r="O157" i="7" s="1"/>
  <c r="O158" i="7" s="1"/>
  <c r="O159" i="7" s="1"/>
  <c r="O160" i="7" s="1"/>
  <c r="O161" i="7" s="1"/>
  <c r="O162" i="7" s="1"/>
  <c r="O163" i="7" s="1"/>
  <c r="O164" i="7" s="1"/>
  <c r="O165" i="7" s="1"/>
  <c r="O166" i="7" s="1"/>
  <c r="O167" i="7" s="1"/>
  <c r="O168" i="7" s="1"/>
  <c r="O169" i="7" s="1"/>
  <c r="O170" i="7" s="1"/>
  <c r="O171" i="7" s="1"/>
  <c r="O172" i="7" s="1"/>
  <c r="O173" i="7" s="1"/>
  <c r="O174" i="7" s="1"/>
  <c r="O175" i="7" s="1"/>
  <c r="O176" i="7" s="1"/>
  <c r="O177" i="7" s="1"/>
  <c r="O178" i="7" s="1"/>
  <c r="O179" i="7" s="1"/>
  <c r="O180" i="7" s="1"/>
  <c r="O181" i="7" s="1"/>
  <c r="O182" i="7" s="1"/>
  <c r="O183" i="7" s="1"/>
  <c r="O184" i="7" s="1"/>
  <c r="O185" i="7" s="1"/>
  <c r="O186" i="7" s="1"/>
  <c r="O187" i="7" s="1"/>
  <c r="O188" i="7" s="1"/>
  <c r="O189" i="7" s="1"/>
  <c r="O190" i="7" s="1"/>
  <c r="O191" i="7" s="1"/>
  <c r="O192" i="7" s="1"/>
  <c r="O193" i="7" s="1"/>
  <c r="O194" i="7" s="1"/>
  <c r="O195" i="7" s="1"/>
  <c r="O196" i="7" s="1"/>
  <c r="L135" i="7"/>
  <c r="L134" i="7" a="1"/>
  <c r="L134" i="7" s="1"/>
  <c r="BC83" i="7"/>
  <c r="BC86" i="7"/>
  <c r="BA83" i="7"/>
  <c r="BA86" i="7"/>
  <c r="BA85" i="7"/>
  <c r="BA84" i="7"/>
  <c r="AY83" i="7"/>
  <c r="AY86" i="7"/>
  <c r="AY85" i="7"/>
  <c r="AY84" i="7"/>
  <c r="BC73" i="7"/>
  <c r="BC72" i="7"/>
  <c r="BC71" i="7"/>
  <c r="BC70" i="7"/>
  <c r="BC65" i="7"/>
  <c r="BC64" i="7"/>
  <c r="BC63" i="7"/>
  <c r="BC62" i="7"/>
  <c r="BC60" i="7"/>
  <c r="BC59" i="7"/>
  <c r="BC58" i="7"/>
  <c r="BC57" i="7"/>
  <c r="BC56" i="7"/>
  <c r="BA73" i="7"/>
  <c r="BA72" i="7"/>
  <c r="BA70" i="7"/>
  <c r="BA69" i="7"/>
  <c r="BA68" i="7"/>
  <c r="BA67" i="7"/>
  <c r="BA66" i="7"/>
  <c r="BA65" i="7"/>
  <c r="BA64" i="7"/>
  <c r="BA63" i="7"/>
  <c r="BA55" i="7"/>
  <c r="AY73" i="7"/>
  <c r="AY72" i="7"/>
  <c r="AY71" i="7"/>
  <c r="AY70" i="7"/>
  <c r="AY69" i="7"/>
  <c r="AY68" i="7"/>
  <c r="AY67" i="7"/>
  <c r="AY66" i="7"/>
  <c r="AY64" i="7"/>
  <c r="AY63" i="7"/>
  <c r="AY55" i="7"/>
  <c r="AA65" i="7"/>
  <c r="AA64" i="7"/>
  <c r="AA63" i="7"/>
  <c r="AA62" i="7"/>
  <c r="AA96" i="7"/>
  <c r="AA95" i="7"/>
  <c r="AA86" i="7"/>
  <c r="AA85" i="7"/>
  <c r="AA84" i="7"/>
  <c r="AA76" i="7"/>
  <c r="AA75" i="7"/>
  <c r="AA74" i="7"/>
  <c r="AA59" i="7"/>
  <c r="AA58" i="7"/>
  <c r="AA57" i="7"/>
  <c r="AA56" i="7"/>
  <c r="AA61" i="7"/>
  <c r="AA60" i="7"/>
  <c r="AA73" i="7"/>
  <c r="AA72" i="7"/>
  <c r="AA71" i="7"/>
  <c r="AA70" i="7"/>
  <c r="AA69" i="7"/>
  <c r="AA68" i="7"/>
  <c r="AA101" i="7"/>
  <c r="AA100" i="7"/>
  <c r="AA99" i="7"/>
  <c r="AA98" i="7"/>
  <c r="Y65" i="7"/>
  <c r="Y64" i="7"/>
  <c r="Y63" i="7"/>
  <c r="Y62" i="7"/>
  <c r="Y83" i="7"/>
  <c r="Y82" i="7"/>
  <c r="Y81" i="7"/>
  <c r="Y80" i="7"/>
  <c r="Y79" i="7"/>
  <c r="Y78" i="7"/>
  <c r="Y77" i="7"/>
  <c r="Y94" i="7"/>
  <c r="Y93" i="7"/>
  <c r="Y92" i="7"/>
  <c r="Y91" i="7"/>
  <c r="Y90" i="7"/>
  <c r="Y89" i="7"/>
  <c r="Y88" i="7"/>
  <c r="Y87" i="7"/>
  <c r="Y59" i="7"/>
  <c r="Y58" i="7"/>
  <c r="Y57" i="7"/>
  <c r="Y56" i="7"/>
  <c r="Y61" i="7"/>
  <c r="Y60" i="7"/>
  <c r="Y73" i="7"/>
  <c r="Y72" i="7"/>
  <c r="Y71" i="7"/>
  <c r="Y70" i="7"/>
  <c r="Y69" i="7"/>
  <c r="Y68" i="7"/>
  <c r="Y106" i="7"/>
  <c r="Y105" i="7"/>
  <c r="Y104" i="7"/>
  <c r="Y103" i="7"/>
  <c r="W65" i="7"/>
  <c r="W64" i="7"/>
  <c r="W63" i="7"/>
  <c r="W62" i="7"/>
  <c r="W83" i="7"/>
  <c r="W82" i="7"/>
  <c r="W81" i="7"/>
  <c r="W80" i="7"/>
  <c r="W79" i="7"/>
  <c r="W78" i="7"/>
  <c r="W77" i="7"/>
  <c r="W76" i="7"/>
  <c r="W75" i="7"/>
  <c r="W74" i="7"/>
  <c r="W94" i="7"/>
  <c r="W93" i="7"/>
  <c r="W92" i="7"/>
  <c r="W91" i="7"/>
  <c r="W90" i="7"/>
  <c r="W89" i="7"/>
  <c r="W88" i="7"/>
  <c r="W87" i="7"/>
  <c r="W59" i="7"/>
  <c r="W58" i="7"/>
  <c r="W57" i="7"/>
  <c r="W56" i="7"/>
  <c r="W61" i="7"/>
  <c r="W60" i="7"/>
  <c r="W101" i="7"/>
  <c r="W100" i="7"/>
  <c r="W99" i="7"/>
  <c r="W98" i="7"/>
  <c r="W106" i="7"/>
  <c r="W105" i="7"/>
  <c r="W104" i="7"/>
  <c r="W103" i="7"/>
  <c r="O108" i="7"/>
  <c r="O109" i="7" s="1"/>
  <c r="O110" i="7" s="1"/>
  <c r="O111" i="7" s="1"/>
  <c r="O112" i="7" s="1"/>
  <c r="L108" i="7"/>
  <c r="L107" i="7" a="1"/>
  <c r="L107" i="7" s="1"/>
  <c r="S8" i="2" l="1"/>
  <c r="S9" i="2"/>
  <c r="S10" i="2"/>
  <c r="S11" i="2"/>
  <c r="S12" i="2"/>
  <c r="S13" i="2"/>
  <c r="S14" i="2"/>
  <c r="S15" i="2"/>
  <c r="S16" i="2"/>
  <c r="S17" i="2"/>
  <c r="S18" i="2"/>
  <c r="S19" i="2"/>
  <c r="S20" i="2"/>
  <c r="S21" i="2"/>
  <c r="S22" i="2"/>
  <c r="S23" i="2"/>
  <c r="S24" i="2"/>
  <c r="S25" i="2"/>
  <c r="S26" i="2"/>
  <c r="S27" i="2"/>
  <c r="S28" i="2"/>
  <c r="S29" i="2"/>
  <c r="S30" i="2"/>
  <c r="S31" i="2"/>
  <c r="S32" i="2"/>
  <c r="S33" i="2"/>
  <c r="S34" i="2"/>
  <c r="S35" i="2"/>
  <c r="T8" i="2"/>
  <c r="T9" i="2"/>
  <c r="T16" i="2"/>
  <c r="T18" i="2"/>
  <c r="T21" i="2"/>
  <c r="T22" i="2"/>
  <c r="T26" i="2"/>
  <c r="T27" i="2"/>
  <c r="T29" i="2"/>
  <c r="T30" i="2"/>
  <c r="T31" i="2"/>
  <c r="T32" i="2"/>
  <c r="AA34" i="7"/>
  <c r="AA33" i="7"/>
  <c r="Y45" i="7"/>
  <c r="Y44" i="7"/>
  <c r="Y42" i="7"/>
  <c r="Y32" i="7"/>
  <c r="Y31" i="7"/>
  <c r="Y30" i="7"/>
  <c r="Y29" i="7"/>
  <c r="Y28" i="7"/>
  <c r="Y27" i="7"/>
  <c r="Y25" i="7"/>
  <c r="Y16" i="7"/>
  <c r="Y15" i="7"/>
  <c r="Y14" i="7"/>
  <c r="W45" i="7"/>
  <c r="W44" i="7"/>
  <c r="W42" i="7"/>
  <c r="W32" i="7"/>
  <c r="W31" i="7"/>
  <c r="W30" i="7"/>
  <c r="W29" i="7"/>
  <c r="W28" i="7"/>
  <c r="W27" i="7"/>
  <c r="W25" i="7"/>
  <c r="W16" i="7"/>
  <c r="W15" i="7"/>
  <c r="W14" i="7"/>
  <c r="O7" i="7"/>
  <c r="O8" i="7" s="1"/>
  <c r="O9" i="7" s="1"/>
  <c r="L5" i="2" a="1"/>
  <c r="L5" i="2" s="1"/>
  <c r="L7" i="7"/>
  <c r="L6" i="7" a="1"/>
  <c r="L6" i="7" s="1"/>
  <c r="C27" i="17"/>
  <c r="AS112" i="7" l="1" a="1"/>
  <c r="AS112" i="7" s="1"/>
  <c r="AS113" i="7" a="1"/>
  <c r="AS113" i="7" s="1"/>
  <c r="AS114" i="7" a="1"/>
  <c r="AS114" i="7" s="1"/>
  <c r="AS109" i="7" a="1"/>
  <c r="AS109" i="7" s="1"/>
  <c r="AS115" i="7" a="1"/>
  <c r="AS115" i="7" s="1"/>
  <c r="AS110" i="7" a="1"/>
  <c r="AS110" i="7" s="1"/>
  <c r="AS116" i="7" a="1"/>
  <c r="AS116" i="7" s="1"/>
  <c r="AS111" i="7" a="1"/>
  <c r="AS111" i="7" s="1"/>
  <c r="AS102" i="7" a="1"/>
  <c r="AS102" i="7" s="1"/>
  <c r="AS98" i="7" a="1"/>
  <c r="AS98" i="7" s="1"/>
  <c r="AS99" i="7" a="1"/>
  <c r="AS99" i="7" s="1"/>
  <c r="AS97" i="7" a="1"/>
  <c r="AS97" i="7" s="1"/>
  <c r="AS100" i="7" a="1"/>
  <c r="AS100" i="7" s="1"/>
  <c r="AS101" i="7" a="1"/>
  <c r="AS101" i="7" s="1"/>
  <c r="AS103" i="7" a="1"/>
  <c r="AS103" i="7" s="1"/>
  <c r="Q22" i="7" a="1"/>
  <c r="Q22" i="7" s="1"/>
  <c r="Q20" i="7" a="1"/>
  <c r="Q20" i="7" s="1"/>
  <c r="Q17" i="7" a="1"/>
  <c r="Q17" i="7" s="1"/>
  <c r="Q19" i="7" a="1"/>
  <c r="Q19" i="7" s="1"/>
  <c r="Q21" i="7" a="1"/>
  <c r="Q21" i="7" s="1"/>
  <c r="Q23" i="7" a="1"/>
  <c r="Q23" i="7" s="1"/>
  <c r="Q18" i="7" a="1"/>
  <c r="Q18" i="7" s="1"/>
  <c r="Q24" i="7" a="1"/>
  <c r="Q24" i="7" s="1"/>
  <c r="AS25" i="7" a="1"/>
  <c r="AS25" i="7" s="1"/>
  <c r="AS26" i="7" a="1"/>
  <c r="AS26" i="7" s="1"/>
  <c r="AS27" i="7" a="1"/>
  <c r="AS27" i="7" s="1"/>
  <c r="AS28" i="7" a="1"/>
  <c r="AS28" i="7" s="1"/>
  <c r="AS17" i="7" a="1"/>
  <c r="AS17" i="7" s="1"/>
  <c r="Q137" i="7" a="1"/>
  <c r="Q137" i="7" s="1"/>
  <c r="Q112" i="7" a="1"/>
  <c r="Q112" i="7" s="1"/>
  <c r="AS135" i="7" a="1"/>
  <c r="AS135" i="7" s="1"/>
  <c r="AS132" i="7" a="1"/>
  <c r="AS132" i="7" s="1"/>
  <c r="AS137" i="7" a="1"/>
  <c r="AS137" i="7" s="1"/>
  <c r="AS138" i="7" a="1"/>
  <c r="AS138" i="7" s="1"/>
  <c r="Q11" i="7" a="1"/>
  <c r="Q11" i="7" s="1"/>
  <c r="AS136" i="7" a="1"/>
  <c r="AS136" i="7" s="1"/>
  <c r="AS24" i="7" a="1"/>
  <c r="AS24" i="7" s="1"/>
  <c r="AS74" i="7" a="1"/>
  <c r="AS74" i="7" s="1"/>
  <c r="AS76" i="7" a="1"/>
  <c r="AS76" i="7" s="1"/>
  <c r="AS77" i="7" a="1"/>
  <c r="AS77" i="7" s="1"/>
  <c r="AS75" i="7" a="1"/>
  <c r="AS75" i="7" s="1"/>
  <c r="Q97" i="7" a="1"/>
  <c r="Q97" i="7" s="1"/>
  <c r="Q67" i="7" a="1"/>
  <c r="Q67" i="7" s="1"/>
  <c r="Q66" i="7" a="1"/>
  <c r="Q66" i="7" s="1"/>
  <c r="Q196" i="7" a="1"/>
  <c r="Q196" i="7" s="1"/>
  <c r="Q193" i="7" a="1"/>
  <c r="Q193" i="7" s="1"/>
  <c r="Q195" i="7" a="1"/>
  <c r="Q195" i="7" s="1"/>
  <c r="Q194" i="7" a="1"/>
  <c r="Q194" i="7" s="1"/>
  <c r="Q43" i="7" a="1"/>
  <c r="Q43" i="7" s="1"/>
  <c r="Q46" i="7" a="1"/>
  <c r="Q46" i="7" s="1"/>
  <c r="L8" i="7"/>
  <c r="L273" i="7"/>
  <c r="L206" i="7"/>
  <c r="L136" i="7"/>
  <c r="L109" i="7"/>
  <c r="AS7" i="7" a="1"/>
  <c r="AS7" i="7" s="1"/>
  <c r="AS217" i="7" a="1"/>
  <c r="AS217" i="7" s="1"/>
  <c r="AS223" i="7" a="1"/>
  <c r="AS223" i="7" s="1"/>
  <c r="AS198" i="7" a="1"/>
  <c r="AS198" i="7" s="1"/>
  <c r="AS202" i="7" a="1"/>
  <c r="AS202" i="7" s="1"/>
  <c r="Q206" i="7" a="1"/>
  <c r="Q206" i="7" s="1"/>
  <c r="Q210" i="7" a="1"/>
  <c r="Q210" i="7" s="1"/>
  <c r="Q213" i="7" a="1"/>
  <c r="Q213" i="7" s="1"/>
  <c r="Q216" i="7" a="1"/>
  <c r="Q216" i="7" s="1"/>
  <c r="Q222" i="7" a="1"/>
  <c r="Q222" i="7" s="1"/>
  <c r="Q225" i="7" a="1"/>
  <c r="Q225" i="7" s="1"/>
  <c r="Q228" i="7" a="1"/>
  <c r="Q228" i="7" s="1"/>
  <c r="Q231" i="7" a="1"/>
  <c r="Q231" i="7" s="1"/>
  <c r="Q234" i="7" a="1"/>
  <c r="Q234" i="7" s="1"/>
  <c r="Q237" i="7" a="1"/>
  <c r="Q237" i="7" s="1"/>
  <c r="Q243" i="7" a="1"/>
  <c r="Q243" i="7" s="1"/>
  <c r="Q248" i="7" a="1"/>
  <c r="Q248" i="7" s="1"/>
  <c r="Q254" i="7" a="1"/>
  <c r="Q254" i="7" s="1"/>
  <c r="Q257" i="7" a="1"/>
  <c r="Q257" i="7" s="1"/>
  <c r="AS146" i="7" a="1"/>
  <c r="AS146" i="7" s="1"/>
  <c r="AS131" i="7" a="1"/>
  <c r="AS131" i="7" s="1"/>
  <c r="AS133" i="7" a="1"/>
  <c r="AS133" i="7" s="1"/>
  <c r="Q135" i="7" a="1"/>
  <c r="Q135" i="7" s="1"/>
  <c r="Q142" i="7" a="1"/>
  <c r="Q142" i="7" s="1"/>
  <c r="Q146" i="7" a="1"/>
  <c r="Q146" i="7" s="1"/>
  <c r="Q153" i="7" a="1"/>
  <c r="Q153" i="7" s="1"/>
  <c r="Q157" i="7" a="1"/>
  <c r="Q157" i="7" s="1"/>
  <c r="Q160" i="7" a="1"/>
  <c r="Q160" i="7" s="1"/>
  <c r="Q164" i="7" a="1"/>
  <c r="Q164" i="7" s="1"/>
  <c r="Q167" i="7" a="1"/>
  <c r="Q167" i="7" s="1"/>
  <c r="Q171" i="7" a="1"/>
  <c r="Q171" i="7" s="1"/>
  <c r="Q174" i="7" a="1"/>
  <c r="Q174" i="7" s="1"/>
  <c r="Q178" i="7" a="1"/>
  <c r="Q178" i="7" s="1"/>
  <c r="Q185" i="7" a="1"/>
  <c r="Q185" i="7" s="1"/>
  <c r="Q190" i="7" a="1"/>
  <c r="Q190" i="7" s="1"/>
  <c r="AS220" i="7" a="1"/>
  <c r="AS220" i="7" s="1"/>
  <c r="AS199" i="7" a="1"/>
  <c r="AS199" i="7" s="1"/>
  <c r="AS203" i="7" a="1"/>
  <c r="AS203" i="7" s="1"/>
  <c r="Q204" i="7" a="1"/>
  <c r="Q204" i="7" s="1"/>
  <c r="Q207" i="7" a="1"/>
  <c r="Q207" i="7" s="1"/>
  <c r="Q211" i="7" a="1"/>
  <c r="Q211" i="7" s="1"/>
  <c r="Q217" i="7" a="1"/>
  <c r="Q217" i="7" s="1"/>
  <c r="Q220" i="7" a="1"/>
  <c r="Q220" i="7" s="1"/>
  <c r="Q223" i="7" a="1"/>
  <c r="Q223" i="7" s="1"/>
  <c r="Q226" i="7" a="1"/>
  <c r="Q226" i="7" s="1"/>
  <c r="Q229" i="7" a="1"/>
  <c r="Q229" i="7" s="1"/>
  <c r="Q235" i="7" a="1"/>
  <c r="Q235" i="7" s="1"/>
  <c r="Q240" i="7" a="1"/>
  <c r="Q240" i="7" s="1"/>
  <c r="Q246" i="7" a="1"/>
  <c r="Q246" i="7" s="1"/>
  <c r="Q249" i="7" a="1"/>
  <c r="Q249" i="7" s="1"/>
  <c r="Q252" i="7" a="1"/>
  <c r="Q252" i="7" s="1"/>
  <c r="Q255" i="7" a="1"/>
  <c r="Q255" i="7" s="1"/>
  <c r="Q258" i="7" a="1"/>
  <c r="Q258" i="7" s="1"/>
  <c r="AS134" i="7" a="1"/>
  <c r="AS134" i="7" s="1"/>
  <c r="Q136" i="7" a="1"/>
  <c r="Q136" i="7" s="1"/>
  <c r="Q140" i="7" a="1"/>
  <c r="Q140" i="7" s="1"/>
  <c r="Q143" i="7" a="1"/>
  <c r="Q143" i="7" s="1"/>
  <c r="Q147" i="7" a="1"/>
  <c r="Q147" i="7" s="1"/>
  <c r="Q150" i="7" a="1"/>
  <c r="Q150" i="7" s="1"/>
  <c r="Q154" i="7" a="1"/>
  <c r="Q154" i="7" s="1"/>
  <c r="Q161" i="7" a="1"/>
  <c r="Q161" i="7" s="1"/>
  <c r="Q165" i="7" a="1"/>
  <c r="Q165" i="7" s="1"/>
  <c r="Q168" i="7" a="1"/>
  <c r="Q168" i="7" s="1"/>
  <c r="Q172" i="7" a="1"/>
  <c r="Q172" i="7" s="1"/>
  <c r="Q175" i="7" a="1"/>
  <c r="Q175" i="7" s="1"/>
  <c r="Q179" i="7" a="1"/>
  <c r="Q179" i="7" s="1"/>
  <c r="Q182" i="7" a="1"/>
  <c r="Q182" i="7" s="1"/>
  <c r="Q186" i="7" a="1"/>
  <c r="Q186" i="7" s="1"/>
  <c r="Q191" i="7" a="1"/>
  <c r="Q191" i="7" s="1"/>
  <c r="AS219" i="7" a="1"/>
  <c r="AS219" i="7" s="1"/>
  <c r="AS225" i="7" a="1"/>
  <c r="AS225" i="7" s="1"/>
  <c r="AS201" i="7" a="1"/>
  <c r="AS201" i="7" s="1"/>
  <c r="Q212" i="7" a="1"/>
  <c r="Q212" i="7" s="1"/>
  <c r="Q219" i="7" a="1"/>
  <c r="Q219" i="7" s="1"/>
  <c r="Q224" i="7" a="1"/>
  <c r="Q224" i="7" s="1"/>
  <c r="Q230" i="7" a="1"/>
  <c r="Q230" i="7" s="1"/>
  <c r="Q236" i="7" a="1"/>
  <c r="Q236" i="7" s="1"/>
  <c r="Q242" i="7" a="1"/>
  <c r="Q242" i="7" s="1"/>
  <c r="Q139" i="7" a="1"/>
  <c r="Q139" i="7" s="1"/>
  <c r="Q145" i="7" a="1"/>
  <c r="Q145" i="7" s="1"/>
  <c r="Q152" i="7" a="1"/>
  <c r="Q152" i="7" s="1"/>
  <c r="Q159" i="7" a="1"/>
  <c r="Q159" i="7" s="1"/>
  <c r="Q166" i="7" a="1"/>
  <c r="Q166" i="7" s="1"/>
  <c r="Q181" i="7" a="1"/>
  <c r="Q181" i="7" s="1"/>
  <c r="Q188" i="7" a="1"/>
  <c r="Q188" i="7" s="1"/>
  <c r="AS91" i="7" a="1"/>
  <c r="AS91" i="7" s="1"/>
  <c r="AS94" i="7" a="1"/>
  <c r="AS94" i="7" s="1"/>
  <c r="AS83" i="7" a="1"/>
  <c r="AS83" i="7" s="1"/>
  <c r="AS58" i="7" a="1"/>
  <c r="AS58" i="7" s="1"/>
  <c r="AS62" i="7" a="1"/>
  <c r="AS62" i="7" s="1"/>
  <c r="AS65" i="7" a="1"/>
  <c r="AS65" i="7" s="1"/>
  <c r="AS67" i="7" a="1"/>
  <c r="AS67" i="7" s="1"/>
  <c r="AS71" i="7" a="1"/>
  <c r="AS71" i="7" s="1"/>
  <c r="Q109" i="7" a="1"/>
  <c r="Q109" i="7" s="1"/>
  <c r="Q121" i="7" a="1"/>
  <c r="Q121" i="7" s="1"/>
  <c r="Q105" i="7" a="1"/>
  <c r="Q105" i="7" s="1"/>
  <c r="Q122" i="7" a="1"/>
  <c r="Q122" i="7" s="1"/>
  <c r="Q69" i="7" a="1"/>
  <c r="Q69" i="7" s="1"/>
  <c r="Q73" i="7" a="1"/>
  <c r="Q73" i="7" s="1"/>
  <c r="Q57" i="7" a="1"/>
  <c r="Q57" i="7" s="1"/>
  <c r="Q90" i="7" a="1"/>
  <c r="Q90" i="7" s="1"/>
  <c r="Q94" i="7" a="1"/>
  <c r="Q94" i="7" s="1"/>
  <c r="Q74" i="7" a="1"/>
  <c r="Q74" i="7" s="1"/>
  <c r="Q85" i="7" a="1"/>
  <c r="Q85" i="7" s="1"/>
  <c r="Q78" i="7" a="1"/>
  <c r="Q78" i="7" s="1"/>
  <c r="Q82" i="7" a="1"/>
  <c r="Q82" i="7" s="1"/>
  <c r="Q114" i="7" a="1"/>
  <c r="Q114" i="7" s="1"/>
  <c r="Q118" i="7" a="1"/>
  <c r="Q118" i="7" s="1"/>
  <c r="Q63" i="7" a="1"/>
  <c r="Q63" i="7" s="1"/>
  <c r="AS221" i="7" a="1"/>
  <c r="AS221" i="7" s="1"/>
  <c r="AS204" i="7" a="1"/>
  <c r="AS204" i="7" s="1"/>
  <c r="Q208" i="7" a="1"/>
  <c r="Q208" i="7" s="1"/>
  <c r="Q214" i="7" a="1"/>
  <c r="Q214" i="7" s="1"/>
  <c r="Q221" i="7" a="1"/>
  <c r="Q221" i="7" s="1"/>
  <c r="Q227" i="7" a="1"/>
  <c r="Q227" i="7" s="1"/>
  <c r="Q232" i="7" a="1"/>
  <c r="Q232" i="7" s="1"/>
  <c r="Q238" i="7" a="1"/>
  <c r="Q238" i="7" s="1"/>
  <c r="Q244" i="7" a="1"/>
  <c r="Q244" i="7" s="1"/>
  <c r="Q250" i="7" a="1"/>
  <c r="Q250" i="7" s="1"/>
  <c r="AS129" i="7" a="1"/>
  <c r="AS129" i="7" s="1"/>
  <c r="Q141" i="7" a="1"/>
  <c r="Q141" i="7" s="1"/>
  <c r="Q148" i="7" a="1"/>
  <c r="Q148" i="7" s="1"/>
  <c r="Q155" i="7" a="1"/>
  <c r="Q155" i="7" s="1"/>
  <c r="Q162" i="7" a="1"/>
  <c r="Q162" i="7" s="1"/>
  <c r="Q169" i="7" a="1"/>
  <c r="Q169" i="7" s="1"/>
  <c r="Q176" i="7" a="1"/>
  <c r="Q176" i="7" s="1"/>
  <c r="Q183" i="7" a="1"/>
  <c r="Q183" i="7" s="1"/>
  <c r="AS92" i="7" a="1"/>
  <c r="AS92" i="7" s="1"/>
  <c r="AS95" i="7" a="1"/>
  <c r="AS95" i="7" s="1"/>
  <c r="AS86" i="7" a="1"/>
  <c r="AS86" i="7" s="1"/>
  <c r="AS55" i="7" a="1"/>
  <c r="AS55" i="7" s="1"/>
  <c r="AS59" i="7" a="1"/>
  <c r="AS59" i="7" s="1"/>
  <c r="AS68" i="7" a="1"/>
  <c r="AS68" i="7" s="1"/>
  <c r="Q110" i="7" a="1"/>
  <c r="Q110" i="7" s="1"/>
  <c r="Q106" i="7" a="1"/>
  <c r="Q106" i="7" s="1"/>
  <c r="Q100" i="7" a="1"/>
  <c r="Q100" i="7" s="1"/>
  <c r="Q70" i="7" a="1"/>
  <c r="Q70" i="7" s="1"/>
  <c r="Q60" i="7" a="1"/>
  <c r="Q60" i="7" s="1"/>
  <c r="Q58" i="7" a="1"/>
  <c r="Q58" i="7" s="1"/>
  <c r="Q88" i="7" a="1"/>
  <c r="Q88" i="7" s="1"/>
  <c r="Q91" i="7" a="1"/>
  <c r="Q91" i="7" s="1"/>
  <c r="Q123" i="7" a="1"/>
  <c r="Q123" i="7" s="1"/>
  <c r="Q75" i="7" a="1"/>
  <c r="Q75" i="7" s="1"/>
  <c r="Q86" i="7" a="1"/>
  <c r="Q86" i="7" s="1"/>
  <c r="Q79" i="7" a="1"/>
  <c r="Q79" i="7" s="1"/>
  <c r="Q83" i="7" a="1"/>
  <c r="Q83" i="7" s="1"/>
  <c r="Q115" i="7" a="1"/>
  <c r="Q115" i="7" s="1"/>
  <c r="Q119" i="7" a="1"/>
  <c r="Q119" i="7" s="1"/>
  <c r="Q64" i="7" a="1"/>
  <c r="Q64" i="7" s="1"/>
  <c r="AS222" i="7" a="1"/>
  <c r="AS222" i="7" s="1"/>
  <c r="Q215" i="7" a="1"/>
  <c r="Q215" i="7" s="1"/>
  <c r="Q239" i="7" a="1"/>
  <c r="Q239" i="7" s="1"/>
  <c r="Q251" i="7" a="1"/>
  <c r="Q251" i="7" s="1"/>
  <c r="AS130" i="7" a="1"/>
  <c r="AS130" i="7" s="1"/>
  <c r="Q134" i="7" a="1"/>
  <c r="Q134" i="7" s="1"/>
  <c r="Q149" i="7" a="1"/>
  <c r="Q149" i="7" s="1"/>
  <c r="Q163" i="7" a="1"/>
  <c r="Q163" i="7" s="1"/>
  <c r="Q177" i="7" a="1"/>
  <c r="Q177" i="7" s="1"/>
  <c r="Q189" i="7" a="1"/>
  <c r="Q189" i="7" s="1"/>
  <c r="AS93" i="7" a="1"/>
  <c r="AS93" i="7" s="1"/>
  <c r="AS84" i="7" a="1"/>
  <c r="AS84" i="7" s="1"/>
  <c r="AS57" i="7" a="1"/>
  <c r="AS57" i="7" s="1"/>
  <c r="AS64" i="7" a="1"/>
  <c r="AS64" i="7" s="1"/>
  <c r="AS70" i="7" a="1"/>
  <c r="AS70" i="7" s="1"/>
  <c r="Q102" i="7" a="1"/>
  <c r="Q102" i="7" s="1"/>
  <c r="Q99" i="7" a="1"/>
  <c r="Q99" i="7" s="1"/>
  <c r="Q72" i="7" a="1"/>
  <c r="Q72" i="7" s="1"/>
  <c r="Q87" i="7" a="1"/>
  <c r="Q87" i="7" s="1"/>
  <c r="Q93" i="7" a="1"/>
  <c r="Q93" i="7" s="1"/>
  <c r="Q84" i="7" a="1"/>
  <c r="Q84" i="7" s="1"/>
  <c r="Q81" i="7" a="1"/>
  <c r="Q81" i="7" s="1"/>
  <c r="Q117" i="7" a="1"/>
  <c r="Q117" i="7" s="1"/>
  <c r="AS224" i="7" a="1"/>
  <c r="AS224" i="7" s="1"/>
  <c r="AS200" i="7" a="1"/>
  <c r="AS200" i="7" s="1"/>
  <c r="Q205" i="7" a="1"/>
  <c r="Q205" i="7" s="1"/>
  <c r="Q218" i="7" a="1"/>
  <c r="Q218" i="7" s="1"/>
  <c r="Q241" i="7" a="1"/>
  <c r="Q241" i="7" s="1"/>
  <c r="Q253" i="7" a="1"/>
  <c r="Q253" i="7" s="1"/>
  <c r="Q138" i="7" a="1"/>
  <c r="Q138" i="7" s="1"/>
  <c r="Q151" i="7" a="1"/>
  <c r="Q151" i="7" s="1"/>
  <c r="Q180" i="7" a="1"/>
  <c r="Q180" i="7" s="1"/>
  <c r="Q192" i="7" a="1"/>
  <c r="Q192" i="7" s="1"/>
  <c r="AS96" i="7" a="1"/>
  <c r="AS96" i="7" s="1"/>
  <c r="AS85" i="7" a="1"/>
  <c r="AS85" i="7" s="1"/>
  <c r="AS60" i="7" a="1"/>
  <c r="AS60" i="7" s="1"/>
  <c r="AS72" i="7" a="1"/>
  <c r="AS72" i="7" s="1"/>
  <c r="Q107" i="7" a="1"/>
  <c r="Q107" i="7" s="1"/>
  <c r="Q103" i="7" a="1"/>
  <c r="Q103" i="7" s="1"/>
  <c r="Q101" i="7" a="1"/>
  <c r="Q101" i="7" s="1"/>
  <c r="Q61" i="7" a="1"/>
  <c r="Q61" i="7" s="1"/>
  <c r="Q89" i="7" a="1"/>
  <c r="Q89" i="7" s="1"/>
  <c r="Q124" i="7" a="1"/>
  <c r="Q124" i="7" s="1"/>
  <c r="Q77" i="7" a="1"/>
  <c r="Q77" i="7" s="1"/>
  <c r="Q95" i="7" a="1"/>
  <c r="Q95" i="7" s="1"/>
  <c r="Q120" i="7" a="1"/>
  <c r="Q120" i="7" s="1"/>
  <c r="AS216" i="7" a="1"/>
  <c r="AS216" i="7" s="1"/>
  <c r="AS205" i="7" a="1"/>
  <c r="AS205" i="7" s="1"/>
  <c r="Q209" i="7" a="1"/>
  <c r="Q209" i="7" s="1"/>
  <c r="Q233" i="7" a="1"/>
  <c r="Q233" i="7" s="1"/>
  <c r="Q245" i="7" a="1"/>
  <c r="Q245" i="7" s="1"/>
  <c r="Q256" i="7" a="1"/>
  <c r="Q256" i="7" s="1"/>
  <c r="Q156" i="7" a="1"/>
  <c r="Q156" i="7" s="1"/>
  <c r="Q170" i="7" a="1"/>
  <c r="Q170" i="7" s="1"/>
  <c r="Q184" i="7" a="1"/>
  <c r="Q184" i="7" s="1"/>
  <c r="AS61" i="7" a="1"/>
  <c r="AS61" i="7" s="1"/>
  <c r="AS66" i="7" a="1"/>
  <c r="AS66" i="7" s="1"/>
  <c r="AS73" i="7" a="1"/>
  <c r="AS73" i="7" s="1"/>
  <c r="Q108" i="7" a="1"/>
  <c r="Q108" i="7" s="1"/>
  <c r="Q104" i="7" a="1"/>
  <c r="Q104" i="7" s="1"/>
  <c r="Q68" i="7" a="1"/>
  <c r="Q68" i="7" s="1"/>
  <c r="Q56" i="7" a="1"/>
  <c r="Q56" i="7" s="1"/>
  <c r="Q125" i="7" a="1"/>
  <c r="Q125" i="7" s="1"/>
  <c r="Q113" i="7" a="1"/>
  <c r="Q113" i="7" s="1"/>
  <c r="Q96" i="7" a="1"/>
  <c r="Q96" i="7" s="1"/>
  <c r="Q62" i="7" a="1"/>
  <c r="Q62" i="7" s="1"/>
  <c r="Q247" i="7" a="1"/>
  <c r="Q247" i="7" s="1"/>
  <c r="Q144" i="7" a="1"/>
  <c r="Q144" i="7" s="1"/>
  <c r="AS82" i="7" a="1"/>
  <c r="AS82" i="7" s="1"/>
  <c r="AS56" i="7" a="1"/>
  <c r="AS56" i="7" s="1"/>
  <c r="Q59" i="7" a="1"/>
  <c r="Q59" i="7" s="1"/>
  <c r="Q116" i="7" a="1"/>
  <c r="Q116" i="7" s="1"/>
  <c r="Q259" i="7" a="1"/>
  <c r="Q259" i="7" s="1"/>
  <c r="Q158" i="7" a="1"/>
  <c r="Q158" i="7" s="1"/>
  <c r="AS63" i="7" a="1"/>
  <c r="AS63" i="7" s="1"/>
  <c r="Q111" i="7" a="1"/>
  <c r="Q111" i="7" s="1"/>
  <c r="Q92" i="7" a="1"/>
  <c r="Q92" i="7" s="1"/>
  <c r="Q65" i="7" a="1"/>
  <c r="Q65" i="7" s="1"/>
  <c r="Q187" i="7" a="1"/>
  <c r="Q187" i="7" s="1"/>
  <c r="Q80" i="7" a="1"/>
  <c r="Q80" i="7" s="1"/>
  <c r="AS218" i="7" a="1"/>
  <c r="AS218" i="7" s="1"/>
  <c r="Q173" i="7" a="1"/>
  <c r="Q173" i="7" s="1"/>
  <c r="AS69" i="7" a="1"/>
  <c r="AS69" i="7" s="1"/>
  <c r="Q98" i="7" a="1"/>
  <c r="Q98" i="7" s="1"/>
  <c r="Q76" i="7" a="1"/>
  <c r="Q76" i="7" s="1"/>
  <c r="Q71" i="7" a="1"/>
  <c r="Q71" i="7" s="1"/>
  <c r="AS6" i="7" a="1"/>
  <c r="AS6" i="7" s="1"/>
  <c r="Q36" i="7" a="1"/>
  <c r="Q36" i="7" s="1"/>
  <c r="Q6" i="7" a="1"/>
  <c r="Q6" i="7" s="1"/>
  <c r="Q32" i="7" a="1"/>
  <c r="Q32" i="7" s="1"/>
  <c r="AS18" i="7" a="1"/>
  <c r="AS18" i="7" s="1"/>
  <c r="Q45" i="7" a="1"/>
  <c r="Q45" i="7" s="1"/>
  <c r="Q28" i="7" a="1"/>
  <c r="Q28" i="7" s="1"/>
  <c r="Q14" i="7" a="1"/>
  <c r="Q14" i="7" s="1"/>
  <c r="AS13" i="7" a="1"/>
  <c r="AS13" i="7" s="1"/>
  <c r="Q40" i="7" a="1"/>
  <c r="Q40" i="7" s="1"/>
  <c r="Q10" i="7" a="1"/>
  <c r="Q10" i="7" s="1"/>
  <c r="AS9" i="7" a="1"/>
  <c r="AS9" i="7" s="1"/>
  <c r="Q44" i="7" a="1"/>
  <c r="Q44" i="7" s="1"/>
  <c r="Q39" i="7" a="1"/>
  <c r="Q39" i="7" s="1"/>
  <c r="Q35" i="7" a="1"/>
  <c r="Q35" i="7" s="1"/>
  <c r="Q31" i="7" a="1"/>
  <c r="Q31" i="7" s="1"/>
  <c r="Q27" i="7" a="1"/>
  <c r="Q27" i="7" s="1"/>
  <c r="Q9" i="7" a="1"/>
  <c r="Q9" i="7" s="1"/>
  <c r="AS15" i="7" a="1"/>
  <c r="AS15" i="7" s="1"/>
  <c r="AS12" i="7" a="1"/>
  <c r="AS12" i="7" s="1"/>
  <c r="AS8" i="7" a="1"/>
  <c r="AS8" i="7" s="1"/>
  <c r="Q42" i="7" a="1"/>
  <c r="Q42" i="7" s="1"/>
  <c r="Q38" i="7" a="1"/>
  <c r="Q38" i="7" s="1"/>
  <c r="Q34" i="7" a="1"/>
  <c r="Q34" i="7" s="1"/>
  <c r="Q30" i="7" a="1"/>
  <c r="Q30" i="7" s="1"/>
  <c r="Q26" i="7" a="1"/>
  <c r="Q26" i="7" s="1"/>
  <c r="Q16" i="7" a="1"/>
  <c r="Q16" i="7" s="1"/>
  <c r="Q13" i="7" a="1"/>
  <c r="Q13" i="7" s="1"/>
  <c r="Q8" i="7" a="1"/>
  <c r="Q8" i="7" s="1"/>
  <c r="AS14" i="7" a="1"/>
  <c r="AS14" i="7" s="1"/>
  <c r="AS11" i="7" a="1"/>
  <c r="AS11" i="7" s="1"/>
  <c r="Q41" i="7" a="1"/>
  <c r="Q41" i="7" s="1"/>
  <c r="Q37" i="7" a="1"/>
  <c r="Q37" i="7" s="1"/>
  <c r="Q33" i="7" a="1"/>
  <c r="Q33" i="7" s="1"/>
  <c r="Q29" i="7" a="1"/>
  <c r="Q29" i="7" s="1"/>
  <c r="Q25" i="7" a="1"/>
  <c r="Q25" i="7" s="1"/>
  <c r="Q15" i="7" a="1"/>
  <c r="Q15" i="7" s="1"/>
  <c r="Q12" i="7" a="1"/>
  <c r="Q12" i="7" s="1"/>
  <c r="Q7" i="7" a="1"/>
  <c r="Q7" i="7" s="1"/>
  <c r="AS19" i="7" a="1"/>
  <c r="AS19" i="7" s="1"/>
  <c r="AS16" i="7" a="1"/>
  <c r="AS16" i="7" s="1"/>
  <c r="AS10" i="7" a="1"/>
  <c r="AS10" i="7" s="1"/>
  <c r="BL2" i="10" l="1"/>
  <c r="BL3" i="10"/>
  <c r="BL4" i="10"/>
  <c r="BL5" i="10"/>
  <c r="BL6" i="10"/>
  <c r="BL7" i="10"/>
  <c r="BL8" i="10"/>
  <c r="BL9" i="10"/>
  <c r="BL10" i="10"/>
  <c r="BK2" i="10"/>
  <c r="BK3" i="10"/>
  <c r="BK4" i="10"/>
  <c r="BK5" i="10"/>
  <c r="BK6" i="10"/>
  <c r="BK7" i="10"/>
  <c r="BK8" i="10"/>
  <c r="BK9" i="10"/>
  <c r="BK10" i="10"/>
  <c r="AA3" i="10"/>
  <c r="AA4" i="10"/>
  <c r="AA5" i="10"/>
  <c r="AA6" i="10"/>
  <c r="AA7" i="10"/>
  <c r="AA8" i="10"/>
  <c r="AA9" i="10"/>
  <c r="AA10" i="10"/>
  <c r="AA2" i="10"/>
  <c r="AZ119" i="19" a="1"/>
  <c r="AL144" i="19" a="1"/>
  <c r="AZ94" i="19" a="1"/>
  <c r="J53" i="19" a="1"/>
  <c r="J79" i="19" a="1"/>
  <c r="J93" i="19" a="1"/>
  <c r="AL107" i="19" a="1"/>
  <c r="BN107" i="19" a="1"/>
  <c r="AZ103" i="19" a="1"/>
  <c r="AZ56" i="19" a="1"/>
  <c r="AL131" i="19" a="1"/>
  <c r="J72" i="19" a="1"/>
  <c r="X79" i="19" a="1"/>
  <c r="J102" i="19" a="1"/>
  <c r="BN47" i="19" a="1"/>
  <c r="X105" i="19" a="1"/>
  <c r="AZ57" i="19" a="1"/>
  <c r="BN124" i="19" a="1"/>
  <c r="BN50" i="19" a="1"/>
  <c r="J128" i="19" a="1"/>
  <c r="AZ79" i="19" a="1"/>
  <c r="BN69" i="19" a="1"/>
  <c r="BN68" i="19" a="1"/>
  <c r="J173" i="19" a="1"/>
  <c r="AZ143" i="19" a="1"/>
  <c r="AL153" i="19" a="1"/>
  <c r="J143" i="19" a="1"/>
  <c r="AL126" i="19" a="1"/>
  <c r="AL43" i="19" a="1"/>
  <c r="AZ99" i="19" a="1"/>
  <c r="BN148" i="19" a="1"/>
  <c r="X94" i="19" a="1"/>
  <c r="X143" i="19" a="1"/>
  <c r="BN82" i="19" a="1"/>
  <c r="AZ144" i="19" a="1"/>
  <c r="J74" i="19" a="1"/>
  <c r="AL51" i="19" a="1"/>
  <c r="J145" i="19" a="1"/>
  <c r="AZ97" i="19" a="1"/>
  <c r="J172" i="19" a="1"/>
  <c r="BN43" i="19" a="1"/>
  <c r="AZ69" i="19" a="1"/>
  <c r="BN105" i="19" a="1"/>
  <c r="AZ72" i="19" a="1"/>
  <c r="X127" i="19" a="1"/>
  <c r="J103" i="19" a="1"/>
  <c r="X81" i="19" a="1"/>
  <c r="AZ123" i="19" a="1"/>
  <c r="J154" i="19" a="1"/>
  <c r="AL99" i="19" a="1"/>
  <c r="X57" i="19" a="1"/>
  <c r="AL44" i="19" a="1"/>
  <c r="AZ156" i="19" a="1"/>
  <c r="AZ96" i="19" a="1"/>
  <c r="AZ47" i="19" a="1"/>
  <c r="BN48" i="19" a="1"/>
  <c r="AL80" i="19" a="1"/>
  <c r="AL70" i="19" a="1"/>
  <c r="X72" i="19" a="1"/>
  <c r="AZ127" i="19" a="1"/>
  <c r="J150" i="19" a="1"/>
  <c r="X47" i="19" a="1"/>
  <c r="X152" i="19" a="1"/>
  <c r="AL122" i="19" a="1"/>
  <c r="AZ100" i="19" a="1"/>
  <c r="BN75" i="19" a="1"/>
  <c r="J151" i="19" a="1"/>
  <c r="X122" i="19" a="1"/>
  <c r="AZ44" i="19" a="1"/>
  <c r="BN128" i="19" a="1"/>
  <c r="AL57" i="19" a="1"/>
  <c r="X74" i="19" a="1"/>
  <c r="AL102" i="19" a="1"/>
  <c r="AL94" i="19" a="1"/>
  <c r="AZ52" i="19" a="1"/>
  <c r="BN80" i="19" a="1"/>
  <c r="AL56" i="19" a="1"/>
  <c r="AL73" i="19" a="1"/>
  <c r="BN57" i="19" a="1"/>
  <c r="X103" i="19" a="1"/>
  <c r="AZ76" i="19" a="1"/>
  <c r="BN157" i="19" a="1"/>
  <c r="AL145" i="19" a="1"/>
  <c r="X151" i="19" a="1"/>
  <c r="X80" i="19" a="1"/>
  <c r="AZ107" i="19" a="1"/>
  <c r="AZ120" i="19" a="1"/>
  <c r="AL121" i="19" a="1"/>
  <c r="X144" i="19" a="1"/>
  <c r="BN118" i="19" a="1"/>
  <c r="AZ95" i="19" a="1"/>
  <c r="J71" i="19" a="1"/>
  <c r="AL74" i="19" a="1"/>
  <c r="BN122" i="19" a="1"/>
  <c r="J174" i="19" a="1"/>
  <c r="AL78" i="19" a="1"/>
  <c r="BN129" i="19" a="1"/>
  <c r="AZ73" i="19" a="1"/>
  <c r="BN93" i="19" a="1"/>
  <c r="AZ122" i="19" a="1"/>
  <c r="AZ146" i="19" a="1"/>
  <c r="BN74" i="19" a="1"/>
  <c r="BN153" i="19" a="1"/>
  <c r="J105" i="19" a="1"/>
  <c r="J125" i="19" a="1"/>
  <c r="BN101" i="19" a="1"/>
  <c r="AZ78" i="19" a="1"/>
  <c r="AZ77" i="19" a="1"/>
  <c r="AL152" i="19" a="1"/>
  <c r="AZ128" i="19" a="1"/>
  <c r="X106" i="19" a="1"/>
  <c r="AZ154" i="19" a="1"/>
  <c r="AL128" i="19" a="1"/>
  <c r="BN98" i="19" a="1"/>
  <c r="AZ55" i="19" a="1"/>
  <c r="AZ81" i="19" a="1"/>
  <c r="X129" i="19" a="1"/>
  <c r="X119" i="19" a="1"/>
  <c r="J144" i="19" a="1"/>
  <c r="X148" i="19" a="1"/>
  <c r="AL98" i="19" a="1"/>
  <c r="AL101" i="19" a="1"/>
  <c r="J46" i="19" a="1"/>
  <c r="J132" i="19" a="1"/>
  <c r="J76" i="19" a="1"/>
  <c r="X54" i="19" a="1"/>
  <c r="J175" i="19" a="1"/>
  <c r="AZ74" i="19" a="1"/>
  <c r="J119" i="19" a="1"/>
  <c r="AZ152" i="19" a="1"/>
  <c r="AZ80" i="19" a="1"/>
  <c r="X97" i="19" a="1"/>
  <c r="AZ147" i="19" a="1"/>
  <c r="AL103" i="19" a="1"/>
  <c r="X156" i="19" a="1"/>
  <c r="AL95" i="19" a="1"/>
  <c r="BN149" i="19" a="1"/>
  <c r="J170" i="19" a="1"/>
  <c r="BN151" i="19" a="1"/>
  <c r="BN103" i="19" a="1"/>
  <c r="AL52" i="19" a="1"/>
  <c r="AL49" i="19" a="1"/>
  <c r="J155" i="19" a="1"/>
  <c r="X43" i="19" a="1"/>
  <c r="AZ153" i="19" a="1"/>
  <c r="AL55" i="19" a="1"/>
  <c r="AL104" i="19" a="1"/>
  <c r="BN77" i="19" a="1"/>
  <c r="AZ75" i="19" a="1"/>
  <c r="X70" i="19" a="1"/>
  <c r="X107" i="19" a="1"/>
  <c r="AZ70" i="19" a="1"/>
  <c r="BN150" i="19" a="1"/>
  <c r="AL76" i="19" a="1"/>
  <c r="X131" i="19" a="1"/>
  <c r="J70" i="19" a="1"/>
  <c r="X102" i="19" a="1"/>
  <c r="AL155" i="19" a="1"/>
  <c r="X75" i="19" a="1"/>
  <c r="X45" i="19" a="1"/>
  <c r="J47" i="19" a="1"/>
  <c r="X120" i="19" a="1"/>
  <c r="X124" i="19" a="1"/>
  <c r="J126" i="19" a="1"/>
  <c r="BN55" i="19" a="1"/>
  <c r="X98" i="19" a="1"/>
  <c r="BN56" i="19" a="1"/>
  <c r="BN81" i="19" a="1"/>
  <c r="BN121" i="19" a="1"/>
  <c r="AZ71" i="19" a="1"/>
  <c r="X51" i="19" a="1"/>
  <c r="AZ102" i="19" a="1"/>
  <c r="AL146" i="19" a="1"/>
  <c r="X125" i="19" a="1"/>
  <c r="AZ118" i="19" a="1"/>
  <c r="X71" i="19" a="1"/>
  <c r="BN125" i="19" a="1"/>
  <c r="J171" i="19" a="1"/>
  <c r="J56" i="19" a="1"/>
  <c r="X56" i="19" a="1"/>
  <c r="J127" i="19" a="1"/>
  <c r="BN143" i="19" a="1"/>
  <c r="X123" i="19" a="1"/>
  <c r="J57" i="19" a="1"/>
  <c r="X50" i="19" a="1"/>
  <c r="BN78" i="19" a="1"/>
  <c r="AZ53" i="19" a="1"/>
  <c r="AZ131" i="19" a="1"/>
  <c r="AZ45" i="19" a="1"/>
  <c r="X104" i="19" a="1"/>
  <c r="X126" i="19" a="1"/>
  <c r="BN76" i="19" a="1"/>
  <c r="BN104" i="19" a="1"/>
  <c r="BN126" i="19" a="1"/>
  <c r="AL46" i="19" a="1"/>
  <c r="J149" i="19" a="1"/>
  <c r="J156" i="19" a="1"/>
  <c r="AL79" i="19" a="1"/>
  <c r="AL48" i="19" a="1"/>
  <c r="J75" i="19" a="1"/>
  <c r="J106" i="19" a="1"/>
  <c r="J43" i="19" a="1"/>
  <c r="AL50" i="19" a="1"/>
  <c r="AZ155" i="19" a="1"/>
  <c r="BN144" i="19" a="1"/>
  <c r="AZ93" i="19" a="1"/>
  <c r="BN46" i="19" a="1"/>
  <c r="AL120" i="19" a="1"/>
  <c r="AZ51" i="19" a="1"/>
  <c r="BN106" i="19" a="1"/>
  <c r="X150" i="19" a="1"/>
  <c r="J122" i="19" a="1"/>
  <c r="AZ43" i="19" a="1"/>
  <c r="J107" i="19" a="1"/>
  <c r="AL96" i="19" a="1"/>
  <c r="BN147" i="19" a="1"/>
  <c r="AL150" i="19" a="1"/>
  <c r="AZ132" i="19" a="1"/>
  <c r="BN70" i="19" a="1"/>
  <c r="AL82" i="19" a="1"/>
  <c r="X44" i="19" a="1"/>
  <c r="BN145" i="19" a="1"/>
  <c r="BN123" i="19" a="1"/>
  <c r="J153" i="19" a="1"/>
  <c r="J48" i="19" a="1"/>
  <c r="J129" i="19" a="1"/>
  <c r="AZ104" i="19" a="1"/>
  <c r="X73" i="19" a="1"/>
  <c r="J152" i="19" a="1"/>
  <c r="AL77" i="19" a="1"/>
  <c r="J181" i="19" a="1"/>
  <c r="AL45" i="19" a="1"/>
  <c r="J94" i="19" a="1"/>
  <c r="BN44" i="19" a="1"/>
  <c r="J99" i="19" a="1"/>
  <c r="J96" i="19" a="1"/>
  <c r="AZ101" i="19" a="1"/>
  <c r="BN100" i="19" a="1"/>
  <c r="X93" i="19" a="1"/>
  <c r="BN94" i="19" a="1"/>
  <c r="X53" i="19" a="1"/>
  <c r="AZ50" i="19" a="1"/>
  <c r="BN96" i="19" a="1"/>
  <c r="J82" i="19" a="1"/>
  <c r="BN131" i="19" a="1"/>
  <c r="AL97" i="19" a="1"/>
  <c r="BN155" i="19" a="1"/>
  <c r="AZ129" i="19" a="1"/>
  <c r="J54" i="19" a="1"/>
  <c r="AZ124" i="19" a="1"/>
  <c r="X49" i="19" a="1"/>
  <c r="X46" i="19" a="1"/>
  <c r="X76" i="19" a="1"/>
  <c r="AL100" i="19" a="1"/>
  <c r="AZ54" i="19" a="1"/>
  <c r="J98" i="19" a="1"/>
  <c r="J45" i="19" a="1"/>
  <c r="BN127" i="19" a="1"/>
  <c r="BN45" i="19" a="1"/>
  <c r="BN73" i="19" a="1"/>
  <c r="AL132" i="19" a="1"/>
  <c r="BN71" i="19" a="1"/>
  <c r="X95" i="19" a="1"/>
  <c r="J78" i="19" a="1"/>
  <c r="AL93" i="19" a="1"/>
  <c r="X157" i="19" a="1"/>
  <c r="J182" i="19" a="1"/>
  <c r="BN51" i="19" a="1"/>
  <c r="AZ121" i="19" a="1"/>
  <c r="BN154" i="19" a="1"/>
  <c r="X48" i="19" a="1"/>
  <c r="J180" i="19" a="1"/>
  <c r="J81" i="19" a="1"/>
  <c r="J77" i="19" a="1"/>
  <c r="AZ145" i="19" a="1"/>
  <c r="AL72" i="19" a="1"/>
  <c r="J130" i="19" a="1"/>
  <c r="J44" i="19" a="1"/>
  <c r="J104" i="19" a="1"/>
  <c r="J80" i="19" a="1"/>
  <c r="J177" i="19" a="1"/>
  <c r="AL143" i="19" a="1"/>
  <c r="AL68" i="19" a="1"/>
  <c r="AL118" i="19" a="1"/>
  <c r="J148" i="19" a="1"/>
  <c r="BN95" i="19" a="1"/>
  <c r="AZ157" i="19" a="1"/>
  <c r="AZ49" i="19" a="1"/>
  <c r="X154" i="19" a="1"/>
  <c r="AL119" i="19" a="1"/>
  <c r="J123" i="19" a="1"/>
  <c r="X145" i="19" a="1"/>
  <c r="AL106" i="19" a="1"/>
  <c r="J147" i="19" a="1"/>
  <c r="BN152" i="19" a="1"/>
  <c r="J131" i="19" a="1"/>
  <c r="AZ126" i="19" a="1"/>
  <c r="AZ106" i="19" a="1"/>
  <c r="AL157" i="19" a="1"/>
  <c r="X128" i="19" a="1"/>
  <c r="X99" i="19" a="1"/>
  <c r="X96" i="19" a="1"/>
  <c r="BN99" i="19" a="1"/>
  <c r="J73" i="19" a="1"/>
  <c r="J97" i="19" a="1"/>
  <c r="J179" i="19" a="1"/>
  <c r="AZ68" i="19" a="1"/>
  <c r="X118" i="19" a="1"/>
  <c r="AL53" i="19" a="1"/>
  <c r="AL75" i="19" a="1"/>
  <c r="BN53" i="19" a="1"/>
  <c r="X68" i="19" a="1"/>
  <c r="AL129" i="19" a="1"/>
  <c r="AL147" i="19" a="1"/>
  <c r="BN79" i="19" a="1"/>
  <c r="AZ105" i="19" a="1"/>
  <c r="X100" i="19" a="1"/>
  <c r="X77" i="19" a="1"/>
  <c r="J50" i="19" a="1"/>
  <c r="J51" i="19" a="1"/>
  <c r="AL125" i="19" a="1"/>
  <c r="BN72" i="19" a="1"/>
  <c r="AZ130" i="19" a="1"/>
  <c r="J52" i="19" a="1"/>
  <c r="X149" i="19" a="1"/>
  <c r="AZ82" i="19" a="1"/>
  <c r="X69" i="19" a="1"/>
  <c r="AL127" i="19" a="1"/>
  <c r="BN120" i="19" a="1"/>
  <c r="J178" i="19" a="1"/>
  <c r="BN119" i="19" a="1"/>
  <c r="X153" i="19" a="1"/>
  <c r="BN156" i="19" a="1"/>
  <c r="AZ48" i="19" a="1"/>
  <c r="AZ151" i="19" a="1"/>
  <c r="J169" i="19" a="1"/>
  <c r="J118" i="19" a="1"/>
  <c r="J168" i="19" a="1"/>
  <c r="J69" i="19" a="1"/>
  <c r="BN132" i="19" a="1"/>
  <c r="X101" i="19" a="1"/>
  <c r="AL154" i="19" a="1"/>
  <c r="BN49" i="19" a="1"/>
  <c r="X55" i="19" a="1"/>
  <c r="AZ98" i="19" a="1"/>
  <c r="AL156" i="19" a="1"/>
  <c r="AL47" i="19" a="1"/>
  <c r="J120" i="19" a="1"/>
  <c r="AL149" i="19" a="1"/>
  <c r="AL148" i="19" a="1"/>
  <c r="AL151" i="19" a="1"/>
  <c r="BN54" i="19" a="1"/>
  <c r="J146" i="19" a="1"/>
  <c r="J101" i="19" a="1"/>
  <c r="J95" i="19" a="1"/>
  <c r="X52" i="19" a="1"/>
  <c r="X82" i="19" a="1"/>
  <c r="X155" i="19" a="1"/>
  <c r="BN102" i="19" a="1"/>
  <c r="J55" i="19" a="1"/>
  <c r="J100" i="19" a="1"/>
  <c r="J157" i="19" a="1"/>
  <c r="AL123" i="19" a="1"/>
  <c r="BN130" i="19" a="1"/>
  <c r="BN97" i="19" a="1"/>
  <c r="AZ46" i="19" a="1"/>
  <c r="AL81" i="19" a="1"/>
  <c r="J124" i="19" a="1"/>
  <c r="J176" i="19" a="1"/>
  <c r="X146" i="19" a="1"/>
  <c r="AL105" i="19" a="1"/>
  <c r="AL54" i="19" a="1"/>
  <c r="AZ149" i="19" a="1"/>
  <c r="J68" i="19" a="1"/>
  <c r="BN146" i="19" a="1"/>
  <c r="AL71" i="19" a="1"/>
  <c r="J49" i="19" a="1"/>
  <c r="AZ150" i="19" a="1"/>
  <c r="X121" i="19" a="1"/>
  <c r="BN52" i="19" a="1"/>
  <c r="X78" i="19" a="1"/>
  <c r="AL130" i="19" a="1"/>
  <c r="AL124" i="19" a="1"/>
  <c r="X132" i="19" a="1"/>
  <c r="X147" i="19" a="1"/>
  <c r="AZ125" i="19" a="1"/>
  <c r="AL69" i="19" a="1"/>
  <c r="X130" i="19" a="1"/>
  <c r="AZ148" i="19" a="1"/>
  <c r="J121" i="19" a="1"/>
  <c r="X144" i="19" l="1"/>
  <c r="AL54" i="19"/>
  <c r="AL49" i="19"/>
  <c r="AL118" i="19"/>
  <c r="AL56" i="19"/>
  <c r="X143" i="19"/>
  <c r="AL150" i="19"/>
  <c r="AZ98" i="19"/>
  <c r="AL157" i="19"/>
  <c r="X82" i="19"/>
  <c r="AL96" i="19"/>
  <c r="J174" i="19"/>
  <c r="AZ69" i="19"/>
  <c r="X81" i="19"/>
  <c r="J97" i="19"/>
  <c r="AZ44" i="19"/>
  <c r="X120" i="19"/>
  <c r="BN154" i="19"/>
  <c r="AZ101" i="19"/>
  <c r="BN124" i="19"/>
  <c r="J100" i="19"/>
  <c r="AZ122" i="19"/>
  <c r="J147" i="19"/>
  <c r="AZ79" i="19"/>
  <c r="AL155" i="19"/>
  <c r="AZ53" i="19"/>
  <c r="X51" i="19"/>
  <c r="X104" i="19"/>
  <c r="X155" i="19"/>
  <c r="J82" i="19"/>
  <c r="AZ106" i="19"/>
  <c r="X70" i="19"/>
  <c r="AZ100" i="19"/>
  <c r="X78" i="19"/>
  <c r="BN148" i="19"/>
  <c r="AL129" i="19"/>
  <c r="J177" i="19"/>
  <c r="AZ48" i="19"/>
  <c r="AL101" i="19"/>
  <c r="BN152" i="19"/>
  <c r="BN120" i="19"/>
  <c r="X128" i="19"/>
  <c r="X131" i="19"/>
  <c r="BN55" i="19"/>
  <c r="AL154" i="19"/>
  <c r="J44" i="19"/>
  <c r="AZ68" i="19"/>
  <c r="AZ126" i="19"/>
  <c r="J95" i="19"/>
  <c r="J120" i="19"/>
  <c r="AL151" i="19"/>
  <c r="X80" i="19"/>
  <c r="BN147" i="19"/>
  <c r="AZ43" i="19"/>
  <c r="AL71" i="19"/>
  <c r="BN107" i="19"/>
  <c r="AL130" i="19"/>
  <c r="X103" i="19"/>
  <c r="BN102" i="19"/>
  <c r="AZ120" i="19"/>
  <c r="BN53" i="19"/>
  <c r="AL81" i="19"/>
  <c r="J68" i="19"/>
  <c r="BN95" i="19"/>
  <c r="AL82" i="19"/>
  <c r="AL79" i="19"/>
  <c r="BN82" i="19"/>
  <c r="AZ71" i="19"/>
  <c r="AL145" i="19"/>
  <c r="AZ80" i="19"/>
  <c r="BN81" i="19"/>
  <c r="AZ70" i="19"/>
  <c r="BN118" i="19"/>
  <c r="BN123" i="19"/>
  <c r="J125" i="19"/>
  <c r="AL95" i="19"/>
  <c r="BN99" i="19"/>
  <c r="X77" i="19"/>
  <c r="X52" i="19"/>
  <c r="AZ155" i="19"/>
  <c r="AL131" i="19"/>
  <c r="AL100" i="19"/>
  <c r="J152" i="19"/>
  <c r="J180" i="19"/>
  <c r="AZ127" i="19"/>
  <c r="AL107" i="19"/>
  <c r="X47" i="19"/>
  <c r="AZ78" i="19"/>
  <c r="BN150" i="19"/>
  <c r="BN103" i="19"/>
  <c r="X49" i="19"/>
  <c r="AZ49" i="19"/>
  <c r="X152" i="19"/>
  <c r="AZ119" i="19"/>
  <c r="AZ153" i="19"/>
  <c r="AL146" i="19"/>
  <c r="J70" i="19"/>
  <c r="AZ57" i="19"/>
  <c r="X105" i="19"/>
  <c r="X151" i="19"/>
  <c r="X156" i="19"/>
  <c r="BN48" i="19"/>
  <c r="BN121" i="19"/>
  <c r="AZ55" i="19"/>
  <c r="J107" i="19"/>
  <c r="BN47" i="19"/>
  <c r="AZ81" i="19"/>
  <c r="AZ157" i="19"/>
  <c r="AZ75" i="19"/>
  <c r="AZ130" i="19"/>
  <c r="X150" i="19"/>
  <c r="AZ129" i="19"/>
  <c r="J121" i="19"/>
  <c r="J182" i="19"/>
  <c r="BN71" i="19"/>
  <c r="X126" i="19"/>
  <c r="AL121" i="19"/>
  <c r="AZ94" i="19"/>
  <c r="AL156" i="19"/>
  <c r="BN73" i="19"/>
  <c r="J43" i="19"/>
  <c r="BN46" i="19"/>
  <c r="X48" i="19"/>
  <c r="BN49" i="19"/>
  <c r="BN69" i="19"/>
  <c r="J143" i="19"/>
  <c r="AL98" i="19"/>
  <c r="BN101" i="19"/>
  <c r="BN54" i="19"/>
  <c r="BN52" i="19"/>
  <c r="J170" i="19"/>
  <c r="J148" i="19"/>
  <c r="AL50" i="19"/>
  <c r="AZ149" i="19"/>
  <c r="AZ73" i="19"/>
  <c r="J175" i="19"/>
  <c r="AL147" i="19"/>
  <c r="AZ52" i="19"/>
  <c r="AL105" i="19"/>
  <c r="AL124" i="19"/>
  <c r="BN51" i="19"/>
  <c r="AZ77" i="19"/>
  <c r="AL144" i="19"/>
  <c r="AL70" i="19"/>
  <c r="J103" i="19"/>
  <c r="J126" i="19"/>
  <c r="AL104" i="19"/>
  <c r="BN143" i="19"/>
  <c r="BN93" i="19"/>
  <c r="AL99" i="19"/>
  <c r="J154" i="19"/>
  <c r="BN80" i="19"/>
  <c r="J172" i="19"/>
  <c r="BN43" i="19"/>
  <c r="J55" i="19"/>
  <c r="X96" i="19"/>
  <c r="AZ99" i="19"/>
  <c r="J169" i="19"/>
  <c r="J94" i="19"/>
  <c r="AZ51" i="19"/>
  <c r="AZ47" i="19"/>
  <c r="X45" i="19"/>
  <c r="J53" i="19"/>
  <c r="BN77" i="19"/>
  <c r="BN78" i="19"/>
  <c r="X75" i="19"/>
  <c r="AL103" i="19"/>
  <c r="BN144" i="19"/>
  <c r="AL44" i="19"/>
  <c r="AL69" i="19"/>
  <c r="AL47" i="19"/>
  <c r="J151" i="19"/>
  <c r="J179" i="19"/>
  <c r="X154" i="19"/>
  <c r="J74" i="19"/>
  <c r="J129" i="19"/>
  <c r="X149" i="19"/>
  <c r="J144" i="19"/>
  <c r="J48" i="19"/>
  <c r="X118" i="19"/>
  <c r="AZ45" i="19"/>
  <c r="J50" i="19"/>
  <c r="AL106" i="19"/>
  <c r="AL97" i="19"/>
  <c r="AL120" i="19"/>
  <c r="AZ103" i="19"/>
  <c r="AZ107" i="19"/>
  <c r="J45" i="19"/>
  <c r="J56" i="19"/>
  <c r="AZ154" i="19"/>
  <c r="X153" i="19"/>
  <c r="BN100" i="19"/>
  <c r="J69" i="19"/>
  <c r="AL55" i="19"/>
  <c r="BN75" i="19"/>
  <c r="X130" i="19"/>
  <c r="AL45" i="19"/>
  <c r="J73" i="19"/>
  <c r="J96" i="19"/>
  <c r="AL53" i="19"/>
  <c r="J118" i="19"/>
  <c r="AZ152" i="19"/>
  <c r="AZ151" i="19"/>
  <c r="AL73" i="19"/>
  <c r="X122" i="19"/>
  <c r="J54" i="19"/>
  <c r="J171" i="19"/>
  <c r="AL93" i="19"/>
  <c r="J46" i="19"/>
  <c r="BN45" i="19"/>
  <c r="BN105" i="19"/>
  <c r="J71" i="19"/>
  <c r="AZ150" i="19"/>
  <c r="X56" i="19"/>
  <c r="AL132" i="19"/>
  <c r="AL80" i="19"/>
  <c r="AL77" i="19"/>
  <c r="BN155" i="19"/>
  <c r="AL76" i="19"/>
  <c r="J176" i="19"/>
  <c r="AZ147" i="19"/>
  <c r="J104" i="19"/>
  <c r="AZ143" i="19"/>
  <c r="AL74" i="19"/>
  <c r="BN97" i="19"/>
  <c r="X107" i="19"/>
  <c r="J106" i="19"/>
  <c r="J146" i="19"/>
  <c r="AL123" i="19"/>
  <c r="X68" i="19"/>
  <c r="X53" i="19"/>
  <c r="AZ96" i="19"/>
  <c r="X54" i="19"/>
  <c r="BN145" i="19"/>
  <c r="BN98" i="19"/>
  <c r="J130" i="19"/>
  <c r="AZ148" i="19"/>
  <c r="AL57" i="19"/>
  <c r="X102" i="19"/>
  <c r="BN122" i="19"/>
  <c r="X119" i="19"/>
  <c r="X145" i="19"/>
  <c r="AZ128" i="19"/>
  <c r="BN57" i="19"/>
  <c r="J76" i="19"/>
  <c r="AZ46" i="19"/>
  <c r="J132" i="19"/>
  <c r="X43" i="19"/>
  <c r="AZ74" i="19"/>
  <c r="AZ124" i="19"/>
  <c r="BN94" i="19"/>
  <c r="X98" i="19"/>
  <c r="BN157" i="19"/>
  <c r="X97" i="19"/>
  <c r="BN44" i="19"/>
  <c r="J181" i="19"/>
  <c r="AL125" i="19"/>
  <c r="X106" i="19"/>
  <c r="BN119" i="19"/>
  <c r="X93" i="19"/>
  <c r="AZ76" i="19"/>
  <c r="BN50" i="19"/>
  <c r="X148" i="19"/>
  <c r="J168" i="19"/>
  <c r="J157" i="19"/>
  <c r="BN156" i="19"/>
  <c r="BN151" i="19"/>
  <c r="J131" i="19"/>
  <c r="J155" i="19"/>
  <c r="AZ144" i="19"/>
  <c r="AL152" i="19"/>
  <c r="BN149" i="19"/>
  <c r="AL127" i="19"/>
  <c r="BN129" i="19"/>
  <c r="AL72" i="19"/>
  <c r="BN68" i="19"/>
  <c r="J47" i="19"/>
  <c r="J122" i="19"/>
  <c r="AL94" i="19"/>
  <c r="AZ145" i="19"/>
  <c r="AZ50" i="19"/>
  <c r="X94" i="19"/>
  <c r="BN130" i="19"/>
  <c r="BN96" i="19"/>
  <c r="AZ132" i="19"/>
  <c r="J128" i="19"/>
  <c r="AZ123" i="19"/>
  <c r="J124" i="19"/>
  <c r="J72" i="19"/>
  <c r="X100" i="19"/>
  <c r="X95" i="19"/>
  <c r="X46" i="19"/>
  <c r="AL46" i="19"/>
  <c r="J75" i="19"/>
  <c r="BN106" i="19"/>
  <c r="AL52" i="19"/>
  <c r="X157" i="19"/>
  <c r="J102" i="19"/>
  <c r="X55" i="19"/>
  <c r="AZ72" i="19"/>
  <c r="X79" i="19"/>
  <c r="AZ105" i="19"/>
  <c r="J101" i="19"/>
  <c r="AL128" i="19"/>
  <c r="AZ118" i="19"/>
  <c r="AZ104" i="19"/>
  <c r="BN79" i="19"/>
  <c r="BN104" i="19"/>
  <c r="AL51" i="19"/>
  <c r="AL102" i="19"/>
  <c r="AZ95" i="19"/>
  <c r="BN74" i="19"/>
  <c r="AL126" i="19"/>
  <c r="J79" i="19"/>
  <c r="BN70" i="19"/>
  <c r="AZ131" i="19"/>
  <c r="AZ82" i="19"/>
  <c r="X129" i="19"/>
  <c r="J145" i="19"/>
  <c r="AZ121" i="19"/>
  <c r="J81" i="19"/>
  <c r="AL48" i="19"/>
  <c r="J93" i="19"/>
  <c r="J98" i="19"/>
  <c r="J105" i="19"/>
  <c r="AL153" i="19"/>
  <c r="BN146" i="19"/>
  <c r="J51" i="19"/>
  <c r="BN131" i="19"/>
  <c r="X101" i="19"/>
  <c r="AZ54" i="19"/>
  <c r="X76" i="19"/>
  <c r="X99" i="19"/>
  <c r="AZ146" i="19"/>
  <c r="J78" i="19"/>
  <c r="BN128" i="19"/>
  <c r="AL68" i="19"/>
  <c r="BN132" i="19"/>
  <c r="AL119" i="19"/>
  <c r="AZ56" i="19"/>
  <c r="AZ93" i="19"/>
  <c r="J80" i="19"/>
  <c r="X74" i="19"/>
  <c r="X124" i="19"/>
  <c r="J49" i="19"/>
  <c r="AL149" i="19"/>
  <c r="AL143" i="19"/>
  <c r="J52" i="19"/>
  <c r="X127" i="19"/>
  <c r="BN127" i="19"/>
  <c r="X57" i="19"/>
  <c r="J149" i="19"/>
  <c r="BN153" i="19"/>
  <c r="J99" i="19"/>
  <c r="AL122" i="19"/>
  <c r="J150" i="19"/>
  <c r="AZ156" i="19"/>
  <c r="X123" i="19"/>
  <c r="X44" i="19"/>
  <c r="AL78" i="19"/>
  <c r="J119" i="19"/>
  <c r="AL148" i="19"/>
  <c r="X69" i="19"/>
  <c r="BN126" i="19"/>
  <c r="BN72" i="19"/>
  <c r="BN76" i="19"/>
  <c r="J153" i="19"/>
  <c r="X132" i="19"/>
  <c r="X121" i="19"/>
  <c r="BN125" i="19"/>
  <c r="J123" i="19"/>
  <c r="X147" i="19"/>
  <c r="AZ102" i="19"/>
  <c r="BN56" i="19"/>
  <c r="AL43" i="19"/>
  <c r="J178" i="19"/>
  <c r="AL75" i="19"/>
  <c r="J156" i="19"/>
  <c r="X146" i="19"/>
  <c r="X73" i="19"/>
  <c r="X50" i="19"/>
  <c r="J127" i="19"/>
  <c r="J77" i="19"/>
  <c r="J57" i="19"/>
  <c r="X71" i="19"/>
  <c r="X72" i="19"/>
  <c r="J173" i="19"/>
  <c r="AZ97" i="19"/>
  <c r="X125" i="19"/>
  <c r="AZ125" i="19"/>
  <c r="BY2" i="10"/>
  <c r="AC4" i="1" l="1"/>
  <c r="Q48" i="20" s="1"/>
  <c r="F5" i="2" a="1"/>
  <c r="F5" i="2" s="1"/>
  <c r="F5" i="21" s="1"/>
  <c r="E5" i="2" a="1"/>
  <c r="E5" i="2" s="1"/>
  <c r="E4" i="2"/>
  <c r="E3" i="2"/>
  <c r="E2" i="2"/>
  <c r="W5" i="2"/>
  <c r="J3" i="2" s="1"/>
  <c r="W2" i="2"/>
  <c r="S2" i="2"/>
  <c r="R4" i="2"/>
  <c r="Q5" i="2"/>
  <c r="Q4" i="2"/>
  <c r="T7" i="2"/>
  <c r="S7" i="2"/>
  <c r="D5" i="2" a="1"/>
  <c r="D5" i="2" s="1"/>
  <c r="D5" i="21" s="1"/>
  <c r="D4" i="2"/>
  <c r="D3" i="2"/>
  <c r="D2" i="2"/>
  <c r="D2" i="21" s="1"/>
  <c r="D1" i="1"/>
  <c r="AN2" i="1"/>
  <c r="AN1" i="1"/>
  <c r="AM1" i="1"/>
  <c r="L16" i="1"/>
  <c r="AL2" i="1"/>
  <c r="AJ3" i="1"/>
  <c r="AC6" i="1"/>
  <c r="AA6" i="1" a="1"/>
  <c r="AA6" i="1" s="1"/>
  <c r="B4" i="1"/>
  <c r="Z6" i="1" s="1"/>
  <c r="H38" i="4" a="1"/>
  <c r="H28" i="4" a="1"/>
  <c r="H69" i="4" a="1"/>
  <c r="H90" i="4" a="1"/>
  <c r="H67" i="4" a="1"/>
  <c r="H78" i="4" a="1"/>
  <c r="H14" i="4" a="1"/>
  <c r="H62" i="4" a="1"/>
  <c r="H95" i="4" a="1"/>
  <c r="H44" i="4" a="1"/>
  <c r="H86" i="4" a="1"/>
  <c r="H43" i="4" a="1"/>
  <c r="H64" i="4" a="1"/>
  <c r="H63" i="4" a="1"/>
  <c r="H8" i="4" a="1"/>
  <c r="H85" i="4" a="1"/>
  <c r="H2" i="4" a="1"/>
  <c r="H91" i="4" a="1"/>
  <c r="H12" i="4" a="1"/>
  <c r="H65" i="4" a="1"/>
  <c r="H94" i="4" a="1"/>
  <c r="H60" i="4" a="1"/>
  <c r="H76" i="4" a="1"/>
  <c r="H61" i="4" a="1"/>
  <c r="H66" i="4" a="1"/>
  <c r="H70" i="4" a="1"/>
  <c r="H32" i="4" a="1"/>
  <c r="H26" i="4" a="1"/>
  <c r="H92" i="4" a="1"/>
  <c r="H77" i="4" a="1"/>
  <c r="H84" i="4" a="1"/>
  <c r="H17" i="4" a="1"/>
  <c r="H51" i="4" a="1"/>
  <c r="H10" i="4" a="1"/>
  <c r="H87" i="4" a="1"/>
  <c r="H50" i="4" a="1"/>
  <c r="H56" i="4" a="1"/>
  <c r="H3" i="4" a="1"/>
  <c r="H83" i="4" a="1"/>
  <c r="H45" i="4" a="1"/>
  <c r="H47" i="4" a="1"/>
  <c r="H29" i="4" a="1"/>
  <c r="H11" i="4" a="1"/>
  <c r="H40" i="4" a="1"/>
  <c r="H37" i="4" a="1"/>
  <c r="H16" i="4" a="1"/>
  <c r="H22" i="4" a="1"/>
  <c r="H24" i="4" a="1"/>
  <c r="H30" i="4" a="1"/>
  <c r="H82" i="4" a="1"/>
  <c r="H39" i="4" a="1"/>
  <c r="H31" i="4" a="1"/>
  <c r="H4" i="4" a="1"/>
  <c r="H52" i="4" a="1"/>
  <c r="H7" i="4" a="1"/>
  <c r="H21" i="4" a="1"/>
  <c r="H74" i="4" a="1"/>
  <c r="H9" i="4" a="1"/>
  <c r="H5" i="4" a="1"/>
  <c r="H96" i="4" a="1"/>
  <c r="H73" i="4" a="1"/>
  <c r="H25" i="4" a="1"/>
  <c r="H19" i="4" a="1"/>
  <c r="H48" i="4" a="1"/>
  <c r="H93" i="4" a="1"/>
  <c r="H80" i="4" a="1"/>
  <c r="H35" i="4" a="1"/>
  <c r="H68" i="4" a="1"/>
  <c r="H20" i="4" a="1"/>
  <c r="H49" i="4" a="1"/>
  <c r="H6" i="4" a="1"/>
  <c r="H23" i="4" a="1"/>
  <c r="H33" i="4" a="1"/>
  <c r="H89" i="4" a="1"/>
  <c r="H54" i="4" a="1"/>
  <c r="H79" i="4" a="1"/>
  <c r="H57" i="4" a="1"/>
  <c r="H53" i="4" a="1"/>
  <c r="H46" i="4" a="1"/>
  <c r="H36" i="4" a="1"/>
  <c r="H42" i="4" a="1"/>
  <c r="H72" i="4" a="1"/>
  <c r="H34" i="4" a="1"/>
  <c r="H58" i="4" a="1"/>
  <c r="H88" i="4" a="1"/>
  <c r="H71" i="4" a="1"/>
  <c r="H55" i="4" a="1"/>
  <c r="H18" i="4" a="1"/>
  <c r="H75" i="4" a="1"/>
  <c r="H81" i="4" a="1"/>
  <c r="H27" i="4" a="1"/>
  <c r="H13" i="4" a="1"/>
  <c r="H59" i="4" a="1"/>
  <c r="H15" i="4" a="1"/>
  <c r="H41" i="4" a="1"/>
  <c r="H55" i="4" l="1"/>
  <c r="H54" i="4"/>
  <c r="H73" i="4"/>
  <c r="H75" i="4"/>
  <c r="H78" i="4"/>
  <c r="H80" i="4"/>
  <c r="H92" i="4"/>
  <c r="H29" i="4"/>
  <c r="H96" i="4"/>
  <c r="H82" i="4"/>
  <c r="H89" i="4"/>
  <c r="H21" i="4"/>
  <c r="H32" i="4"/>
  <c r="H93" i="4"/>
  <c r="H95" i="4"/>
  <c r="H22" i="4"/>
  <c r="H83" i="4"/>
  <c r="H84" i="4"/>
  <c r="H77" i="4"/>
  <c r="H36" i="4"/>
  <c r="H31" i="4"/>
  <c r="H2" i="4"/>
  <c r="H88" i="4"/>
  <c r="H81" i="4"/>
  <c r="H74" i="4"/>
  <c r="H91" i="4"/>
  <c r="H87" i="4"/>
  <c r="H76" i="4"/>
  <c r="H49" i="4"/>
  <c r="H72" i="4"/>
  <c r="H79" i="4"/>
  <c r="H86" i="4"/>
  <c r="H90" i="4"/>
  <c r="H85" i="4"/>
  <c r="H94" i="4"/>
  <c r="H30" i="4"/>
  <c r="H45" i="4"/>
  <c r="H47" i="4"/>
  <c r="H52" i="4"/>
  <c r="D4" i="21"/>
  <c r="Q43" i="20"/>
  <c r="D3" i="21"/>
  <c r="J2" i="21" s="1"/>
  <c r="H24" i="4"/>
  <c r="H11" i="4"/>
  <c r="H63" i="4"/>
  <c r="H8" i="4"/>
  <c r="H13" i="4"/>
  <c r="H61" i="4"/>
  <c r="H67" i="4"/>
  <c r="H59" i="4"/>
  <c r="H68" i="4"/>
  <c r="H4" i="4"/>
  <c r="H5" i="4"/>
  <c r="H57" i="4"/>
  <c r="H23" i="4"/>
  <c r="H3" i="4"/>
  <c r="J3" i="4" s="1"/>
  <c r="H20" i="4"/>
  <c r="H25" i="4"/>
  <c r="H10" i="4"/>
  <c r="H27" i="4"/>
  <c r="H62" i="4"/>
  <c r="H37" i="4"/>
  <c r="H16" i="4"/>
  <c r="H40" i="4"/>
  <c r="H26" i="4"/>
  <c r="H48" i="4"/>
  <c r="H17" i="4"/>
  <c r="H70" i="4"/>
  <c r="H34" i="4"/>
  <c r="H15" i="4"/>
  <c r="H46" i="4"/>
  <c r="H12" i="4"/>
  <c r="H51" i="4"/>
  <c r="H38" i="4"/>
  <c r="H50" i="4"/>
  <c r="H14" i="4"/>
  <c r="H44" i="4"/>
  <c r="H65" i="4"/>
  <c r="H28" i="4"/>
  <c r="H39" i="4"/>
  <c r="H53" i="4"/>
  <c r="H19" i="4"/>
  <c r="H64" i="4"/>
  <c r="H71" i="4"/>
  <c r="H58" i="4"/>
  <c r="H18" i="4"/>
  <c r="H42" i="4"/>
  <c r="H69" i="4"/>
  <c r="H33" i="4"/>
  <c r="J33" i="4" s="1"/>
  <c r="H60" i="4"/>
  <c r="H56" i="4"/>
  <c r="H35" i="4"/>
  <c r="J35" i="4" s="1"/>
  <c r="H43" i="4"/>
  <c r="H41" i="4"/>
  <c r="H9" i="4"/>
  <c r="H6" i="4"/>
  <c r="H66" i="4"/>
  <c r="H7" i="4"/>
  <c r="BO35" i="20"/>
  <c r="BU33" i="20"/>
  <c r="BU32" i="20"/>
  <c r="BU31" i="20"/>
  <c r="BU30" i="20"/>
  <c r="BU29" i="20"/>
  <c r="BU28" i="20"/>
  <c r="CA27" i="20"/>
  <c r="BC27" i="20"/>
  <c r="BO26" i="20"/>
  <c r="CA25" i="20"/>
  <c r="BC25" i="20"/>
  <c r="BO24" i="20"/>
  <c r="CA23" i="20"/>
  <c r="BC23" i="20"/>
  <c r="BO22" i="20"/>
  <c r="CA21" i="20"/>
  <c r="BC21" i="20"/>
  <c r="BO20" i="20"/>
  <c r="CA19" i="20"/>
  <c r="BC19" i="20"/>
  <c r="BO18" i="20"/>
  <c r="CA17" i="20"/>
  <c r="BC17" i="20"/>
  <c r="BO16" i="20"/>
  <c r="CA15" i="20"/>
  <c r="BC15" i="20"/>
  <c r="BO14" i="20"/>
  <c r="CA13" i="20"/>
  <c r="BC13" i="20"/>
  <c r="BO12" i="20"/>
  <c r="CA11" i="20"/>
  <c r="BC11" i="20"/>
  <c r="BO10" i="20"/>
  <c r="CA9" i="20"/>
  <c r="BC9" i="20"/>
  <c r="BO8" i="20"/>
  <c r="CA7" i="20"/>
  <c r="BC7" i="20"/>
  <c r="BO6" i="20"/>
  <c r="AW49" i="20"/>
  <c r="AW47" i="20"/>
  <c r="AW45" i="20"/>
  <c r="BU34" i="20"/>
  <c r="BO33" i="20"/>
  <c r="BO32" i="20"/>
  <c r="BO31" i="20"/>
  <c r="BO30" i="20"/>
  <c r="BO29" i="20"/>
  <c r="BO28" i="20"/>
  <c r="BU27" i="20"/>
  <c r="AW27" i="20"/>
  <c r="BI26" i="20"/>
  <c r="BU25" i="20"/>
  <c r="AW25" i="20"/>
  <c r="BI24" i="20"/>
  <c r="BU23" i="20"/>
  <c r="AW23" i="20"/>
  <c r="BI22" i="20"/>
  <c r="BU21" i="20"/>
  <c r="AW21" i="20"/>
  <c r="BI20" i="20"/>
  <c r="BU19" i="20"/>
  <c r="AW19" i="20"/>
  <c r="BI18" i="20"/>
  <c r="BU17" i="20"/>
  <c r="AW17" i="20"/>
  <c r="BI16" i="20"/>
  <c r="BU15" i="20"/>
  <c r="AW15" i="20"/>
  <c r="BI14" i="20"/>
  <c r="BU13" i="20"/>
  <c r="AW13" i="20"/>
  <c r="BI12" i="20"/>
  <c r="BU11" i="20"/>
  <c r="AW11" i="20"/>
  <c r="BI10" i="20"/>
  <c r="BU9" i="20"/>
  <c r="AW9" i="20"/>
  <c r="BI8" i="20"/>
  <c r="BU7" i="20"/>
  <c r="AW7" i="20"/>
  <c r="BI6" i="20"/>
  <c r="AI5" i="20"/>
  <c r="BO37" i="20"/>
  <c r="BO34" i="20"/>
  <c r="AW33" i="20"/>
  <c r="AW32" i="20"/>
  <c r="AW31" i="20"/>
  <c r="AW30" i="20"/>
  <c r="AW29" i="20"/>
  <c r="BI28" i="20"/>
  <c r="BO27" i="20"/>
  <c r="CA26" i="20"/>
  <c r="BC26" i="20"/>
  <c r="BO25" i="20"/>
  <c r="CA24" i="20"/>
  <c r="BC24" i="20"/>
  <c r="BO23" i="20"/>
  <c r="CA22" i="20"/>
  <c r="BC22" i="20"/>
  <c r="BO21" i="20"/>
  <c r="CA20" i="20"/>
  <c r="BC20" i="20"/>
  <c r="BO19" i="20"/>
  <c r="CA18" i="20"/>
  <c r="BC18" i="20"/>
  <c r="BO17" i="20"/>
  <c r="CA16" i="20"/>
  <c r="BC16" i="20"/>
  <c r="BO15" i="20"/>
  <c r="CA14" i="20"/>
  <c r="BC14" i="20"/>
  <c r="BO13" i="20"/>
  <c r="CA12" i="20"/>
  <c r="BC12" i="20"/>
  <c r="BO11" i="20"/>
  <c r="CA10" i="20"/>
  <c r="BC10" i="20"/>
  <c r="BO9" i="20"/>
  <c r="CA8" i="20"/>
  <c r="BC8" i="20"/>
  <c r="BO7" i="20"/>
  <c r="CA6" i="20"/>
  <c r="BC6" i="20"/>
  <c r="AT4" i="20"/>
  <c r="AW48" i="20"/>
  <c r="AW46" i="20"/>
  <c r="AW44" i="20"/>
  <c r="BO36" i="20"/>
  <c r="CA33" i="20"/>
  <c r="CA32" i="20"/>
  <c r="CA31" i="20"/>
  <c r="CA30" i="20"/>
  <c r="CA29" i="20"/>
  <c r="CA28" i="20"/>
  <c r="AW28" i="20"/>
  <c r="BI27" i="20"/>
  <c r="BU26" i="20"/>
  <c r="AW26" i="20"/>
  <c r="BI25" i="20"/>
  <c r="BU24" i="20"/>
  <c r="AW24" i="20"/>
  <c r="BI23" i="20"/>
  <c r="BU22" i="20"/>
  <c r="AW22" i="20"/>
  <c r="BI21" i="20"/>
  <c r="BU20" i="20"/>
  <c r="AW20" i="20"/>
  <c r="BI19" i="20"/>
  <c r="BU18" i="20"/>
  <c r="AW18" i="20"/>
  <c r="BI17" i="20"/>
  <c r="BU16" i="20"/>
  <c r="AW16" i="20"/>
  <c r="BI15" i="20"/>
  <c r="BU14" i="20"/>
  <c r="AW14" i="20"/>
  <c r="BI13" i="20"/>
  <c r="BU12" i="20"/>
  <c r="AW12" i="20"/>
  <c r="BI11" i="20"/>
  <c r="BU10" i="20"/>
  <c r="AW10" i="20"/>
  <c r="BI9" i="20"/>
  <c r="BU8" i="20"/>
  <c r="AW8" i="20"/>
  <c r="BI7" i="20"/>
  <c r="BU6" i="20"/>
  <c r="AW6" i="20"/>
  <c r="AI4" i="20"/>
  <c r="C167" i="19" a="1"/>
  <c r="C167" i="19" s="1"/>
  <c r="D142" i="19" a="1"/>
  <c r="D142" i="19" s="1"/>
  <c r="E117" i="19" a="1"/>
  <c r="E117" i="19" s="1"/>
  <c r="F92" i="19" a="1"/>
  <c r="F92" i="19" s="1"/>
  <c r="B92" i="19" a="1"/>
  <c r="B92" i="19" s="1"/>
  <c r="C67" i="19" a="1"/>
  <c r="C67" i="19" s="1"/>
  <c r="E42" i="19" a="1"/>
  <c r="E42" i="19" s="1"/>
  <c r="A36" i="19" a="1"/>
  <c r="A36" i="19" s="1"/>
  <c r="F167" i="19" a="1"/>
  <c r="F167" i="19" s="1"/>
  <c r="B167" i="19" a="1"/>
  <c r="B167" i="19" s="1"/>
  <c r="C142" i="19" a="1"/>
  <c r="C142" i="19" s="1"/>
  <c r="D117" i="19" a="1"/>
  <c r="D117" i="19" s="1"/>
  <c r="E92" i="19" a="1"/>
  <c r="E92" i="19" s="1"/>
  <c r="F67" i="19" a="1"/>
  <c r="F67" i="19" s="1"/>
  <c r="B67" i="19" a="1"/>
  <c r="B67" i="19" s="1"/>
  <c r="D42" i="19" a="1"/>
  <c r="D42" i="19" s="1"/>
  <c r="B40" i="19" a="1"/>
  <c r="B40" i="19" s="1"/>
  <c r="E167" i="19" a="1"/>
  <c r="E167" i="19" s="1"/>
  <c r="F142" i="19" a="1"/>
  <c r="F142" i="19" s="1"/>
  <c r="B142" i="19" a="1"/>
  <c r="B142" i="19" s="1"/>
  <c r="C117" i="19" a="1"/>
  <c r="C117" i="19" s="1"/>
  <c r="D92" i="19" a="1"/>
  <c r="D92" i="19" s="1"/>
  <c r="E67" i="19" a="1"/>
  <c r="E67" i="19" s="1"/>
  <c r="C42" i="19" a="1"/>
  <c r="C42" i="19" s="1"/>
  <c r="B39" i="19" a="1"/>
  <c r="B39" i="19" s="1"/>
  <c r="A35" i="19" a="1"/>
  <c r="A35" i="19" s="1"/>
  <c r="B117" i="19" a="1"/>
  <c r="B117" i="19" s="1"/>
  <c r="B42" i="19" a="1"/>
  <c r="B42" i="19" s="1"/>
  <c r="A37" i="19" a="1"/>
  <c r="A37" i="19" s="1"/>
  <c r="D167" i="19" a="1"/>
  <c r="D167" i="19" s="1"/>
  <c r="C92" i="19" a="1"/>
  <c r="C92" i="19" s="1"/>
  <c r="A34" i="19" a="1"/>
  <c r="A34" i="19" s="1"/>
  <c r="F117" i="19" a="1"/>
  <c r="F117" i="19" s="1"/>
  <c r="E142" i="19" a="1"/>
  <c r="E142" i="19" s="1"/>
  <c r="D67" i="19" a="1"/>
  <c r="D67" i="19" s="1"/>
  <c r="F42" i="19" a="1"/>
  <c r="F42" i="19" s="1"/>
  <c r="AY22" i="19"/>
  <c r="BT18" i="19"/>
  <c r="P17" i="19"/>
  <c r="AK22" i="19"/>
  <c r="BF18" i="19"/>
  <c r="W22" i="19"/>
  <c r="AR18" i="19"/>
  <c r="BM22" i="19"/>
  <c r="AD17" i="19"/>
  <c r="I22" i="19"/>
  <c r="B58" i="19" a="1"/>
  <c r="B58" i="19" s="1"/>
  <c r="W6" i="19"/>
  <c r="BT8" i="19"/>
  <c r="AK8" i="19"/>
  <c r="P6" i="19"/>
  <c r="A2" i="19"/>
  <c r="BM8" i="19"/>
  <c r="AR6" i="19"/>
  <c r="I6" i="19"/>
  <c r="AD6" i="19"/>
  <c r="AY8" i="19"/>
  <c r="BF8" i="19"/>
  <c r="V6" i="4"/>
  <c r="C25" i="17"/>
  <c r="C29" i="17"/>
  <c r="AA4" i="1" a="1"/>
  <c r="AA4" i="1" s="1"/>
  <c r="C28" i="17"/>
  <c r="C23" i="17"/>
  <c r="L3" i="2"/>
  <c r="J4" i="21" s="1"/>
  <c r="C24" i="17"/>
  <c r="AB4" i="1"/>
  <c r="Z4" i="1"/>
  <c r="E1" i="2"/>
  <c r="AJ2" i="1"/>
  <c r="AR112" i="7" l="1" a="1"/>
  <c r="AR112" i="7" s="1"/>
  <c r="AR113" i="7" a="1"/>
  <c r="AR113" i="7" s="1"/>
  <c r="AR115" i="7" a="1"/>
  <c r="AR115" i="7" s="1"/>
  <c r="AR116" i="7" a="1"/>
  <c r="AR116" i="7" s="1"/>
  <c r="AR96" i="7" a="1"/>
  <c r="AR96" i="7" s="1"/>
  <c r="AR110" i="7" a="1"/>
  <c r="AR110" i="7" s="1"/>
  <c r="AR111" i="7" a="1"/>
  <c r="AR111" i="7" s="1"/>
  <c r="AR114" i="7" a="1"/>
  <c r="AR114" i="7" s="1"/>
  <c r="AR109" i="7" a="1"/>
  <c r="AR109" i="7" s="1"/>
  <c r="AR97" i="7" a="1"/>
  <c r="AR97" i="7" s="1"/>
  <c r="AR99" i="7" a="1"/>
  <c r="AR99" i="7" s="1"/>
  <c r="AR31" i="7" a="1"/>
  <c r="AR31" i="7" s="1"/>
  <c r="AR34" i="7" a="1"/>
  <c r="AR34" i="7" s="1"/>
  <c r="AR35" i="7" a="1"/>
  <c r="AR35" i="7" s="1"/>
  <c r="AR101" i="7" a="1"/>
  <c r="AR101" i="7" s="1"/>
  <c r="AR98" i="7" a="1"/>
  <c r="AR98" i="7" s="1"/>
  <c r="AR100" i="7" a="1"/>
  <c r="AR100" i="7" s="1"/>
  <c r="AR102" i="7" a="1"/>
  <c r="AR102" i="7" s="1"/>
  <c r="AR32" i="7" a="1"/>
  <c r="AR32" i="7" s="1"/>
  <c r="AR103" i="7" a="1"/>
  <c r="AR103" i="7" s="1"/>
  <c r="AR33" i="7" a="1"/>
  <c r="AR33" i="7" s="1"/>
  <c r="P272" i="7" a="1"/>
  <c r="P272" i="7" s="1"/>
  <c r="P284" i="7" a="1"/>
  <c r="P284" i="7" s="1"/>
  <c r="AR271" i="7" a="1"/>
  <c r="AR271" i="7" s="1"/>
  <c r="P273" i="7" a="1"/>
  <c r="P273" i="7" s="1"/>
  <c r="P285" i="7" a="1"/>
  <c r="P285" i="7" s="1"/>
  <c r="AR272" i="7" a="1"/>
  <c r="AR272" i="7" s="1"/>
  <c r="P290" i="7" a="1"/>
  <c r="P290" i="7" s="1"/>
  <c r="P274" i="7" a="1"/>
  <c r="P274" i="7" s="1"/>
  <c r="P286" i="7" a="1"/>
  <c r="P286" i="7" s="1"/>
  <c r="AR273" i="7" a="1"/>
  <c r="AR273" i="7" s="1"/>
  <c r="P271" i="7" a="1"/>
  <c r="P271" i="7" s="1"/>
  <c r="P275" i="7" a="1"/>
  <c r="P275" i="7" s="1"/>
  <c r="P287" i="7" a="1"/>
  <c r="P287" i="7" s="1"/>
  <c r="AR274" i="7" a="1"/>
  <c r="AR274" i="7" s="1"/>
  <c r="P288" i="7" a="1"/>
  <c r="P288" i="7" s="1"/>
  <c r="P276" i="7" a="1"/>
  <c r="P276" i="7" s="1"/>
  <c r="P277" i="7" a="1"/>
  <c r="P277" i="7" s="1"/>
  <c r="P289" i="7" a="1"/>
  <c r="P289" i="7" s="1"/>
  <c r="P278" i="7" a="1"/>
  <c r="P278" i="7" s="1"/>
  <c r="P279" i="7" a="1"/>
  <c r="P279" i="7" s="1"/>
  <c r="P291" i="7" a="1"/>
  <c r="P291" i="7" s="1"/>
  <c r="P280" i="7" a="1"/>
  <c r="P280" i="7" s="1"/>
  <c r="P292" i="7" a="1"/>
  <c r="P292" i="7" s="1"/>
  <c r="P293" i="7" a="1"/>
  <c r="P293" i="7" s="1"/>
  <c r="P281" i="7" a="1"/>
  <c r="P281" i="7" s="1"/>
  <c r="P282" i="7" a="1"/>
  <c r="P282" i="7" s="1"/>
  <c r="P294" i="7" a="1"/>
  <c r="P294" i="7" s="1"/>
  <c r="P283" i="7" a="1"/>
  <c r="P283" i="7" s="1"/>
  <c r="P295" i="7" a="1"/>
  <c r="P295" i="7" s="1"/>
  <c r="P22" i="7" a="1"/>
  <c r="P22" i="7" s="1"/>
  <c r="P17" i="7" a="1"/>
  <c r="P17" i="7" s="1"/>
  <c r="P19" i="7" a="1"/>
  <c r="P19" i="7" s="1"/>
  <c r="P21" i="7" a="1"/>
  <c r="P21" i="7" s="1"/>
  <c r="P23" i="7" a="1"/>
  <c r="P23" i="7" s="1"/>
  <c r="P24" i="7" a="1"/>
  <c r="P24" i="7" s="1"/>
  <c r="P20" i="7" a="1"/>
  <c r="P20" i="7" s="1"/>
  <c r="P18" i="7" a="1"/>
  <c r="P18" i="7" s="1"/>
  <c r="AR25" i="7" a="1"/>
  <c r="AR25" i="7" s="1"/>
  <c r="AR26" i="7" a="1"/>
  <c r="AR26" i="7" s="1"/>
  <c r="AR27" i="7" a="1"/>
  <c r="AR27" i="7" s="1"/>
  <c r="AR28" i="7" a="1"/>
  <c r="AR28" i="7" s="1"/>
  <c r="P137" i="7" a="1"/>
  <c r="P137" i="7" s="1"/>
  <c r="AR17" i="7" a="1"/>
  <c r="AR17" i="7" s="1"/>
  <c r="P112" i="7" a="1"/>
  <c r="P112" i="7" s="1"/>
  <c r="AR135" i="7" a="1"/>
  <c r="AR135" i="7" s="1"/>
  <c r="AR132" i="7" a="1"/>
  <c r="AR132" i="7" s="1"/>
  <c r="AR137" i="7" a="1"/>
  <c r="AR137" i="7" s="1"/>
  <c r="AR138" i="7" a="1"/>
  <c r="AR138" i="7" s="1"/>
  <c r="P11" i="7" a="1"/>
  <c r="P11" i="7" s="1"/>
  <c r="AR136" i="7" a="1"/>
  <c r="AR136" i="7" s="1"/>
  <c r="AR74" i="7" a="1"/>
  <c r="AR74" i="7" s="1"/>
  <c r="AR77" i="7" a="1"/>
  <c r="AR77" i="7" s="1"/>
  <c r="AR76" i="7" a="1"/>
  <c r="AR76" i="7" s="1"/>
  <c r="AR75" i="7" a="1"/>
  <c r="AR75" i="7" s="1"/>
  <c r="AR24" i="7" a="1"/>
  <c r="AR24" i="7" s="1"/>
  <c r="J54" i="4"/>
  <c r="I54" i="4"/>
  <c r="J55" i="4"/>
  <c r="I55" i="4"/>
  <c r="J85" i="4"/>
  <c r="I85" i="4"/>
  <c r="J72" i="4"/>
  <c r="I72" i="4"/>
  <c r="J91" i="4"/>
  <c r="I91" i="4"/>
  <c r="J2" i="4"/>
  <c r="I2" i="4"/>
  <c r="J84" i="4"/>
  <c r="I84" i="4"/>
  <c r="J93" i="4"/>
  <c r="I93" i="4"/>
  <c r="J82" i="4"/>
  <c r="I82" i="4"/>
  <c r="J45" i="4"/>
  <c r="I45" i="4"/>
  <c r="J90" i="4"/>
  <c r="I90" i="4"/>
  <c r="J49" i="4"/>
  <c r="I49" i="4"/>
  <c r="J74" i="4"/>
  <c r="I74" i="4"/>
  <c r="J31" i="4"/>
  <c r="I31" i="4"/>
  <c r="J83" i="4"/>
  <c r="I83" i="4"/>
  <c r="J32" i="4"/>
  <c r="I32" i="4"/>
  <c r="J96" i="4"/>
  <c r="I96" i="4"/>
  <c r="J78" i="4"/>
  <c r="I78" i="4"/>
  <c r="J47" i="4"/>
  <c r="I47" i="4"/>
  <c r="J80" i="4"/>
  <c r="I80" i="4"/>
  <c r="J30" i="4"/>
  <c r="I30" i="4"/>
  <c r="J86" i="4"/>
  <c r="I86" i="4"/>
  <c r="J76" i="4"/>
  <c r="I76" i="4"/>
  <c r="J81" i="4"/>
  <c r="I81" i="4"/>
  <c r="J36" i="4"/>
  <c r="I36" i="4"/>
  <c r="J22" i="4"/>
  <c r="I22" i="4"/>
  <c r="J21" i="4"/>
  <c r="I21" i="4"/>
  <c r="J29" i="4"/>
  <c r="I29" i="4"/>
  <c r="J75" i="4"/>
  <c r="I75" i="4"/>
  <c r="J52" i="4"/>
  <c r="I52" i="4"/>
  <c r="J94" i="4"/>
  <c r="I94" i="4"/>
  <c r="J79" i="4"/>
  <c r="I79" i="4"/>
  <c r="J87" i="4"/>
  <c r="I87" i="4"/>
  <c r="J88" i="4"/>
  <c r="I88" i="4"/>
  <c r="J77" i="4"/>
  <c r="I77" i="4"/>
  <c r="J95" i="4"/>
  <c r="I95" i="4"/>
  <c r="J89" i="4"/>
  <c r="I89" i="4"/>
  <c r="J92" i="4"/>
  <c r="I92" i="4"/>
  <c r="J73" i="4"/>
  <c r="I73" i="4"/>
  <c r="P67" i="7" a="1"/>
  <c r="P67" i="7" s="1"/>
  <c r="P97" i="7" a="1"/>
  <c r="P97" i="7" s="1"/>
  <c r="P66" i="7" a="1"/>
  <c r="P66" i="7" s="1"/>
  <c r="P195" i="7" a="1"/>
  <c r="P195" i="7" s="1"/>
  <c r="P194" i="7" a="1"/>
  <c r="P194" i="7" s="1"/>
  <c r="P196" i="7" a="1"/>
  <c r="P196" i="7" s="1"/>
  <c r="P193" i="7" a="1"/>
  <c r="P193" i="7" s="1"/>
  <c r="P46" i="7" a="1"/>
  <c r="P46" i="7" s="1"/>
  <c r="P43" i="7" a="1"/>
  <c r="P43" i="7" s="1"/>
  <c r="AR10" i="7" a="1"/>
  <c r="AR10" i="7" s="1"/>
  <c r="AR15" i="7" a="1"/>
  <c r="AR15" i="7" s="1"/>
  <c r="AR16" i="7" a="1"/>
  <c r="AR16" i="7" s="1"/>
  <c r="P33" i="7" a="1"/>
  <c r="P33" i="7" s="1"/>
  <c r="P13" i="7" a="1"/>
  <c r="P13" i="7" s="1"/>
  <c r="P45" i="7" a="1"/>
  <c r="P45" i="7" s="1"/>
  <c r="P42" i="7" a="1"/>
  <c r="P42" i="7" s="1"/>
  <c r="AR14" i="7" a="1"/>
  <c r="AR14" i="7" s="1"/>
  <c r="P31" i="7" a="1"/>
  <c r="P31" i="7" s="1"/>
  <c r="P16" i="7" a="1"/>
  <c r="P16" i="7" s="1"/>
  <c r="I41" i="4"/>
  <c r="J7" i="4"/>
  <c r="I7" i="4"/>
  <c r="J41" i="4"/>
  <c r="J60" i="4"/>
  <c r="I60" i="4"/>
  <c r="J18" i="4"/>
  <c r="I18" i="4"/>
  <c r="J19" i="4"/>
  <c r="I19" i="4"/>
  <c r="J65" i="4"/>
  <c r="I65" i="4"/>
  <c r="J38" i="4"/>
  <c r="I38" i="4"/>
  <c r="J15" i="4"/>
  <c r="I15" i="4"/>
  <c r="J48" i="4"/>
  <c r="I48" i="4"/>
  <c r="J37" i="4"/>
  <c r="I37" i="4"/>
  <c r="J25" i="4"/>
  <c r="I25" i="4"/>
  <c r="J57" i="4"/>
  <c r="I57" i="4"/>
  <c r="J59" i="4"/>
  <c r="I59" i="4"/>
  <c r="J8" i="4"/>
  <c r="I8" i="4"/>
  <c r="J66" i="4"/>
  <c r="I66" i="4"/>
  <c r="J43" i="4"/>
  <c r="I43" i="4"/>
  <c r="N33" i="4"/>
  <c r="P33" i="4"/>
  <c r="J58" i="4"/>
  <c r="I58" i="4"/>
  <c r="J53" i="4"/>
  <c r="I53" i="4"/>
  <c r="J44" i="4"/>
  <c r="N44" i="4" s="1"/>
  <c r="I44" i="4"/>
  <c r="J51" i="4"/>
  <c r="I51" i="4"/>
  <c r="J34" i="4"/>
  <c r="I34" i="4"/>
  <c r="J26" i="4"/>
  <c r="I26" i="4"/>
  <c r="I62" i="4"/>
  <c r="J62" i="4"/>
  <c r="J20" i="4"/>
  <c r="I20" i="4"/>
  <c r="J5" i="4"/>
  <c r="I5" i="4"/>
  <c r="J67" i="4"/>
  <c r="I67" i="4"/>
  <c r="J63" i="4"/>
  <c r="I63" i="4"/>
  <c r="J6" i="4"/>
  <c r="I6" i="4"/>
  <c r="P35" i="4"/>
  <c r="N35" i="4"/>
  <c r="J69" i="4"/>
  <c r="I69" i="4"/>
  <c r="J71" i="4"/>
  <c r="N71" i="4" s="1"/>
  <c r="I71" i="4"/>
  <c r="J39" i="4"/>
  <c r="I39" i="4"/>
  <c r="J14" i="4"/>
  <c r="I14" i="4"/>
  <c r="J12" i="4"/>
  <c r="I12" i="4"/>
  <c r="J70" i="4"/>
  <c r="I70" i="4"/>
  <c r="J40" i="4"/>
  <c r="I40" i="4"/>
  <c r="J27" i="4"/>
  <c r="I27" i="4"/>
  <c r="N3" i="4"/>
  <c r="P3" i="4"/>
  <c r="J4" i="4"/>
  <c r="I4" i="4"/>
  <c r="J61" i="4"/>
  <c r="I61" i="4"/>
  <c r="J11" i="4"/>
  <c r="I11" i="4"/>
  <c r="J9" i="4"/>
  <c r="I9" i="4"/>
  <c r="J56" i="4"/>
  <c r="I56" i="4"/>
  <c r="J42" i="4"/>
  <c r="I42" i="4"/>
  <c r="J64" i="4"/>
  <c r="I64" i="4"/>
  <c r="J28" i="4"/>
  <c r="I28" i="4"/>
  <c r="J50" i="4"/>
  <c r="I50" i="4"/>
  <c r="J46" i="4"/>
  <c r="I46" i="4"/>
  <c r="J17" i="4"/>
  <c r="I17" i="4"/>
  <c r="J16" i="4"/>
  <c r="I16" i="4"/>
  <c r="J10" i="4"/>
  <c r="I10" i="4"/>
  <c r="J23" i="4"/>
  <c r="I23" i="4"/>
  <c r="J68" i="4"/>
  <c r="I68" i="4"/>
  <c r="J13" i="4"/>
  <c r="I13" i="4"/>
  <c r="J24" i="4"/>
  <c r="I24" i="4"/>
  <c r="I3" i="4"/>
  <c r="I33" i="4"/>
  <c r="B41" i="19" a="1"/>
  <c r="B41" i="19" s="1"/>
  <c r="B116" i="19" s="1"/>
  <c r="I35" i="4"/>
  <c r="P38" i="7" a="1"/>
  <c r="P38" i="7" s="1"/>
  <c r="P7" i="7" a="1"/>
  <c r="P7" i="7" s="1"/>
  <c r="AR9" i="7" a="1"/>
  <c r="AR9" i="7" s="1"/>
  <c r="P40" i="7" a="1"/>
  <c r="P40" i="7" s="1"/>
  <c r="P12" i="7" a="1"/>
  <c r="P12" i="7" s="1"/>
  <c r="AR19" i="7" a="1"/>
  <c r="AR19" i="7" s="1"/>
  <c r="P26" i="7" a="1"/>
  <c r="P26" i="7" s="1"/>
  <c r="P27" i="7" a="1"/>
  <c r="P27" i="7" s="1"/>
  <c r="P37" i="7" a="1"/>
  <c r="P37" i="7" s="1"/>
  <c r="P6" i="7" a="1"/>
  <c r="P6" i="7" s="1"/>
  <c r="AR18" i="7" a="1"/>
  <c r="AR18" i="7" s="1"/>
  <c r="P28" i="7" a="1"/>
  <c r="P28" i="7" s="1"/>
  <c r="Q42" i="20"/>
  <c r="Q40" i="20"/>
  <c r="A110" i="19"/>
  <c r="A135" i="19"/>
  <c r="A85" i="19"/>
  <c r="A185" i="19"/>
  <c r="A60" i="19"/>
  <c r="A160" i="19"/>
  <c r="B133" i="19"/>
  <c r="B83" i="19"/>
  <c r="B183" i="19"/>
  <c r="B108" i="19"/>
  <c r="B158" i="19"/>
  <c r="AR12" i="7" a="1"/>
  <c r="AR12" i="7" s="1"/>
  <c r="P34" i="7" a="1"/>
  <c r="P34" i="7" s="1"/>
  <c r="AR13" i="7" a="1"/>
  <c r="AR13" i="7" s="1"/>
  <c r="AR6" i="7" a="1"/>
  <c r="AR6" i="7" s="1"/>
  <c r="P29" i="7" a="1"/>
  <c r="P29" i="7" s="1"/>
  <c r="P14" i="7" a="1"/>
  <c r="P14" i="7" s="1"/>
  <c r="P44" i="7" a="1"/>
  <c r="P44" i="7" s="1"/>
  <c r="AR11" i="7" a="1"/>
  <c r="AR11" i="7" s="1"/>
  <c r="P36" i="7" a="1"/>
  <c r="P36" i="7" s="1"/>
  <c r="P8" i="7" a="1"/>
  <c r="P8" i="7" s="1"/>
  <c r="A137" i="19"/>
  <c r="A112" i="19"/>
  <c r="A87" i="19"/>
  <c r="A187" i="19"/>
  <c r="A162" i="19"/>
  <c r="A62" i="19"/>
  <c r="B114" i="19"/>
  <c r="B89" i="19"/>
  <c r="B64" i="19"/>
  <c r="B164" i="19"/>
  <c r="B139" i="19"/>
  <c r="B65" i="19"/>
  <c r="B140" i="19"/>
  <c r="B90" i="19"/>
  <c r="B115" i="19"/>
  <c r="B165" i="19"/>
  <c r="AR7" i="7" a="1"/>
  <c r="AR7" i="7" s="1"/>
  <c r="P30" i="7" a="1"/>
  <c r="P30" i="7" s="1"/>
  <c r="P15" i="7" a="1"/>
  <c r="P15" i="7" s="1"/>
  <c r="P39" i="7" a="1"/>
  <c r="P39" i="7" s="1"/>
  <c r="P41" i="7" a="1"/>
  <c r="P41" i="7" s="1"/>
  <c r="P25" i="7" a="1"/>
  <c r="P25" i="7" s="1"/>
  <c r="P9" i="7" a="1"/>
  <c r="P9" i="7" s="1"/>
  <c r="P35" i="7" a="1"/>
  <c r="P35" i="7" s="1"/>
  <c r="P10" i="7" a="1"/>
  <c r="P10" i="7" s="1"/>
  <c r="AR8" i="7" a="1"/>
  <c r="AR8" i="7" s="1"/>
  <c r="P32" i="7" a="1"/>
  <c r="P32" i="7" s="1"/>
  <c r="A134" i="19"/>
  <c r="A59" i="19"/>
  <c r="A109" i="19"/>
  <c r="A184" i="19"/>
  <c r="A159" i="19"/>
  <c r="A84" i="19"/>
  <c r="A161" i="19"/>
  <c r="A61" i="19"/>
  <c r="A111" i="19"/>
  <c r="A86" i="19"/>
  <c r="A186" i="19"/>
  <c r="A136" i="19"/>
  <c r="E17" i="1" a="1"/>
  <c r="E17" i="1" s="1"/>
  <c r="B1" i="19"/>
  <c r="AR218" i="7" a="1"/>
  <c r="AR218" i="7" s="1"/>
  <c r="AR222" i="7" a="1"/>
  <c r="AR222" i="7" s="1"/>
  <c r="AR198" i="7" a="1"/>
  <c r="AR198" i="7" s="1"/>
  <c r="AR202" i="7" a="1"/>
  <c r="AR202" i="7" s="1"/>
  <c r="P204" i="7" a="1"/>
  <c r="P204" i="7" s="1"/>
  <c r="P207" i="7" a="1"/>
  <c r="P207" i="7" s="1"/>
  <c r="P210" i="7" a="1"/>
  <c r="P210" i="7" s="1"/>
  <c r="P213" i="7" a="1"/>
  <c r="P213" i="7" s="1"/>
  <c r="P219" i="7" a="1"/>
  <c r="P219" i="7" s="1"/>
  <c r="P224" i="7" a="1"/>
  <c r="P224" i="7" s="1"/>
  <c r="P230" i="7" a="1"/>
  <c r="P230" i="7" s="1"/>
  <c r="P233" i="7" a="1"/>
  <c r="P233" i="7" s="1"/>
  <c r="P236" i="7" a="1"/>
  <c r="P236" i="7" s="1"/>
  <c r="P239" i="7" a="1"/>
  <c r="P239" i="7" s="1"/>
  <c r="P242" i="7" a="1"/>
  <c r="P242" i="7" s="1"/>
  <c r="P245" i="7" a="1"/>
  <c r="P245" i="7" s="1"/>
  <c r="P251" i="7" a="1"/>
  <c r="P251" i="7" s="1"/>
  <c r="P256" i="7" a="1"/>
  <c r="P256" i="7" s="1"/>
  <c r="AR130" i="7" a="1"/>
  <c r="AR130" i="7" s="1"/>
  <c r="P135" i="7" a="1"/>
  <c r="P135" i="7" s="1"/>
  <c r="P143" i="7" a="1"/>
  <c r="P143" i="7" s="1"/>
  <c r="P147" i="7" a="1"/>
  <c r="P147" i="7" s="1"/>
  <c r="P151" i="7" a="1"/>
  <c r="P151" i="7" s="1"/>
  <c r="P155" i="7" a="1"/>
  <c r="P155" i="7" s="1"/>
  <c r="P159" i="7" a="1"/>
  <c r="P159" i="7" s="1"/>
  <c r="P163" i="7" a="1"/>
  <c r="P163" i="7" s="1"/>
  <c r="P167" i="7" a="1"/>
  <c r="P167" i="7" s="1"/>
  <c r="P171" i="7" a="1"/>
  <c r="P171" i="7" s="1"/>
  <c r="P175" i="7" a="1"/>
  <c r="P175" i="7" s="1"/>
  <c r="P179" i="7" a="1"/>
  <c r="P179" i="7" s="1"/>
  <c r="P183" i="7" a="1"/>
  <c r="P183" i="7" s="1"/>
  <c r="AR216" i="7" a="1"/>
  <c r="AR216" i="7" s="1"/>
  <c r="AR219" i="7" a="1"/>
  <c r="AR219" i="7" s="1"/>
  <c r="AR223" i="7" a="1"/>
  <c r="AR223" i="7" s="1"/>
  <c r="AR199" i="7" a="1"/>
  <c r="AR199" i="7" s="1"/>
  <c r="AR203" i="7" a="1"/>
  <c r="AR203" i="7" s="1"/>
  <c r="P205" i="7" a="1"/>
  <c r="P205" i="7" s="1"/>
  <c r="P211" i="7" a="1"/>
  <c r="P211" i="7" s="1"/>
  <c r="P216" i="7" a="1"/>
  <c r="P216" i="7" s="1"/>
  <c r="P222" i="7" a="1"/>
  <c r="P222" i="7" s="1"/>
  <c r="P225" i="7" a="1"/>
  <c r="P225" i="7" s="1"/>
  <c r="P228" i="7" a="1"/>
  <c r="P228" i="7" s="1"/>
  <c r="P231" i="7" a="1"/>
  <c r="P231" i="7" s="1"/>
  <c r="P234" i="7" a="1"/>
  <c r="P234" i="7" s="1"/>
  <c r="P237" i="7" a="1"/>
  <c r="P237" i="7" s="1"/>
  <c r="BI16" i="8" s="1"/>
  <c r="P243" i="7" a="1"/>
  <c r="P243" i="7" s="1"/>
  <c r="P248" i="7" a="1"/>
  <c r="P248" i="7" s="1"/>
  <c r="P254" i="7" a="1"/>
  <c r="P254" i="7" s="1"/>
  <c r="P257" i="7" a="1"/>
  <c r="P257" i="7" s="1"/>
  <c r="AR146" i="7" a="1"/>
  <c r="AR146" i="7" s="1"/>
  <c r="AR131" i="7" a="1"/>
  <c r="AR131" i="7" s="1"/>
  <c r="AR133" i="7" a="1"/>
  <c r="AR133" i="7" s="1"/>
  <c r="P136" i="7" a="1"/>
  <c r="P136" i="7" s="1"/>
  <c r="P140" i="7" a="1"/>
  <c r="P140" i="7" s="1"/>
  <c r="P144" i="7" a="1"/>
  <c r="P144" i="7" s="1"/>
  <c r="P148" i="7" a="1"/>
  <c r="P148" i="7" s="1"/>
  <c r="P152" i="7" a="1"/>
  <c r="P152" i="7" s="1"/>
  <c r="P156" i="7" a="1"/>
  <c r="P156" i="7" s="1"/>
  <c r="P160" i="7" a="1"/>
  <c r="P160" i="7" s="1"/>
  <c r="P164" i="7" a="1"/>
  <c r="P164" i="7" s="1"/>
  <c r="P168" i="7" a="1"/>
  <c r="P168" i="7" s="1"/>
  <c r="P172" i="7" a="1"/>
  <c r="P172" i="7" s="1"/>
  <c r="P176" i="7" a="1"/>
  <c r="P176" i="7" s="1"/>
  <c r="P180" i="7" a="1"/>
  <c r="P180" i="7" s="1"/>
  <c r="P184" i="7" a="1"/>
  <c r="P184" i="7" s="1"/>
  <c r="P188" i="7" a="1"/>
  <c r="P188" i="7" s="1"/>
  <c r="AR221" i="7" a="1"/>
  <c r="AR221" i="7" s="1"/>
  <c r="AR201" i="7" a="1"/>
  <c r="AR201" i="7" s="1"/>
  <c r="P209" i="7" a="1"/>
  <c r="P209" i="7" s="1"/>
  <c r="BI39" i="8" s="1"/>
  <c r="P215" i="7" a="1"/>
  <c r="P215" i="7" s="1"/>
  <c r="P221" i="7" a="1"/>
  <c r="P221" i="7" s="1"/>
  <c r="P227" i="7" a="1"/>
  <c r="P227" i="7" s="1"/>
  <c r="P232" i="7" a="1"/>
  <c r="P232" i="7" s="1"/>
  <c r="P238" i="7" a="1"/>
  <c r="P238" i="7" s="1"/>
  <c r="BI17" i="8" s="1"/>
  <c r="P244" i="7" a="1"/>
  <c r="P244" i="7" s="1"/>
  <c r="P250" i="7" a="1"/>
  <c r="P250" i="7" s="1"/>
  <c r="P134" i="7" a="1"/>
  <c r="P134" i="7" s="1"/>
  <c r="P142" i="7" a="1"/>
  <c r="P142" i="7" s="1"/>
  <c r="P150" i="7" a="1"/>
  <c r="P150" i="7" s="1"/>
  <c r="P158" i="7" a="1"/>
  <c r="P158" i="7" s="1"/>
  <c r="P166" i="7" a="1"/>
  <c r="P166" i="7" s="1"/>
  <c r="P174" i="7" a="1"/>
  <c r="P174" i="7" s="1"/>
  <c r="P182" i="7" a="1"/>
  <c r="P182" i="7" s="1"/>
  <c r="P191" i="7" a="1"/>
  <c r="P191" i="7" s="1"/>
  <c r="AR92" i="7" a="1"/>
  <c r="AR92" i="7" s="1"/>
  <c r="AR86" i="7" a="1"/>
  <c r="AR86" i="7" s="1"/>
  <c r="AR55" i="7" a="1"/>
  <c r="AR55" i="7" s="1"/>
  <c r="AR59" i="7" a="1"/>
  <c r="AR59" i="7" s="1"/>
  <c r="AR68" i="7" a="1"/>
  <c r="AR68" i="7" s="1"/>
  <c r="P108" i="7" a="1"/>
  <c r="P108" i="7" s="1"/>
  <c r="P102" i="7" a="1"/>
  <c r="P102" i="7" s="1"/>
  <c r="P104" i="7" a="1"/>
  <c r="P104" i="7" s="1"/>
  <c r="P99" i="7" a="1"/>
  <c r="P99" i="7" s="1"/>
  <c r="P68" i="7" a="1"/>
  <c r="P68" i="7" s="1"/>
  <c r="P72" i="7" a="1"/>
  <c r="P72" i="7" s="1"/>
  <c r="P56" i="7" a="1"/>
  <c r="P56" i="7" s="1"/>
  <c r="P87" i="7" a="1"/>
  <c r="P87" i="7" s="1"/>
  <c r="P93" i="7" a="1"/>
  <c r="P93" i="7" s="1"/>
  <c r="P125" i="7" a="1"/>
  <c r="P125" i="7" s="1"/>
  <c r="P84" i="7" a="1"/>
  <c r="P84" i="7" s="1"/>
  <c r="P113" i="7" a="1"/>
  <c r="P113" i="7" s="1"/>
  <c r="P81" i="7" a="1"/>
  <c r="P81" i="7" s="1"/>
  <c r="P96" i="7" a="1"/>
  <c r="P96" i="7" s="1"/>
  <c r="P117" i="7" a="1"/>
  <c r="P117" i="7" s="1"/>
  <c r="P62" i="7" a="1"/>
  <c r="P62" i="7" s="1"/>
  <c r="AR217" i="7" a="1"/>
  <c r="AR217" i="7" s="1"/>
  <c r="AR224" i="7" a="1"/>
  <c r="AR224" i="7" s="1"/>
  <c r="AR204" i="7" a="1"/>
  <c r="AR204" i="7" s="1"/>
  <c r="P217" i="7" a="1"/>
  <c r="P217" i="7" s="1"/>
  <c r="P223" i="7" a="1"/>
  <c r="P223" i="7" s="1"/>
  <c r="P229" i="7" a="1"/>
  <c r="P229" i="7" s="1"/>
  <c r="P235" i="7" a="1"/>
  <c r="P235" i="7" s="1"/>
  <c r="P240" i="7" a="1"/>
  <c r="P240" i="7" s="1"/>
  <c r="P246" i="7" a="1"/>
  <c r="P246" i="7" s="1"/>
  <c r="P252" i="7" a="1"/>
  <c r="P252" i="7" s="1"/>
  <c r="P258" i="7" a="1"/>
  <c r="P258" i="7" s="1"/>
  <c r="AR134" i="7" a="1"/>
  <c r="AR134" i="7" s="1"/>
  <c r="P138" i="7" a="1"/>
  <c r="P138" i="7" s="1"/>
  <c r="P145" i="7" a="1"/>
  <c r="P145" i="7" s="1"/>
  <c r="P153" i="7" a="1"/>
  <c r="P153" i="7" s="1"/>
  <c r="P161" i="7" a="1"/>
  <c r="P161" i="7" s="1"/>
  <c r="P169" i="7" a="1"/>
  <c r="P169" i="7" s="1"/>
  <c r="P177" i="7" a="1"/>
  <c r="P177" i="7" s="1"/>
  <c r="P185" i="7" a="1"/>
  <c r="P185" i="7" s="1"/>
  <c r="P192" i="7" a="1"/>
  <c r="P192" i="7" s="1"/>
  <c r="AR93" i="7" a="1"/>
  <c r="AR93" i="7" s="1"/>
  <c r="AR84" i="7" a="1"/>
  <c r="AR84" i="7" s="1"/>
  <c r="AR56" i="7" a="1"/>
  <c r="AR56" i="7" s="1"/>
  <c r="AR60" i="7" a="1"/>
  <c r="AR60" i="7" s="1"/>
  <c r="AR63" i="7" a="1"/>
  <c r="AR63" i="7" s="1"/>
  <c r="AR69" i="7" a="1"/>
  <c r="AR69" i="7" s="1"/>
  <c r="AR72" i="7" a="1"/>
  <c r="AR72" i="7" s="1"/>
  <c r="P109" i="7" a="1"/>
  <c r="P109" i="7" s="1"/>
  <c r="P121" i="7" a="1"/>
  <c r="P121" i="7" s="1"/>
  <c r="P105" i="7" a="1"/>
  <c r="P105" i="7" s="1"/>
  <c r="P122" i="7" a="1"/>
  <c r="P122" i="7" s="1"/>
  <c r="P69" i="7" a="1"/>
  <c r="P69" i="7" s="1"/>
  <c r="P73" i="7" a="1"/>
  <c r="P73" i="7" s="1"/>
  <c r="P57" i="7" a="1"/>
  <c r="P57" i="7" s="1"/>
  <c r="P90" i="7" a="1"/>
  <c r="P90" i="7" s="1"/>
  <c r="P94" i="7" a="1"/>
  <c r="P94" i="7" s="1"/>
  <c r="P74" i="7" a="1"/>
  <c r="P74" i="7" s="1"/>
  <c r="P85" i="7" a="1"/>
  <c r="P85" i="7" s="1"/>
  <c r="P78" i="7" a="1"/>
  <c r="P78" i="7" s="1"/>
  <c r="P82" i="7" a="1"/>
  <c r="P82" i="7" s="1"/>
  <c r="P114" i="7" a="1"/>
  <c r="P114" i="7" s="1"/>
  <c r="P118" i="7" a="1"/>
  <c r="P118" i="7" s="1"/>
  <c r="P63" i="7" a="1"/>
  <c r="P63" i="7" s="1"/>
  <c r="AR225" i="7" a="1"/>
  <c r="AR225" i="7" s="1"/>
  <c r="AR205" i="7" a="1"/>
  <c r="AR205" i="7" s="1"/>
  <c r="P206" i="7" a="1"/>
  <c r="P206" i="7" s="1"/>
  <c r="P218" i="7" a="1"/>
  <c r="P218" i="7" s="1"/>
  <c r="P241" i="7" a="1"/>
  <c r="P241" i="7" s="1"/>
  <c r="P253" i="7" a="1"/>
  <c r="P253" i="7" s="1"/>
  <c r="P146" i="7" a="1"/>
  <c r="P146" i="7" s="1"/>
  <c r="P162" i="7" a="1"/>
  <c r="P162" i="7" s="1"/>
  <c r="P178" i="7" a="1"/>
  <c r="P178" i="7" s="1"/>
  <c r="P189" i="7" a="1"/>
  <c r="P189" i="7" s="1"/>
  <c r="AR95" i="7" a="1"/>
  <c r="AR95" i="7" s="1"/>
  <c r="AR82" i="7" a="1"/>
  <c r="AR82" i="7" s="1"/>
  <c r="AR83" i="7" a="1"/>
  <c r="AR83" i="7" s="1"/>
  <c r="AR58" i="7" a="1"/>
  <c r="AR58" i="7" s="1"/>
  <c r="AR65" i="7" a="1"/>
  <c r="AR65" i="7" s="1"/>
  <c r="AR71" i="7" a="1"/>
  <c r="AR71" i="7" s="1"/>
  <c r="P107" i="7" a="1"/>
  <c r="P107" i="7" s="1"/>
  <c r="P103" i="7" a="1"/>
  <c r="P103" i="7" s="1"/>
  <c r="P101" i="7" a="1"/>
  <c r="P101" i="7" s="1"/>
  <c r="P61" i="7" a="1"/>
  <c r="P61" i="7" s="1"/>
  <c r="P89" i="7" a="1"/>
  <c r="P89" i="7" s="1"/>
  <c r="P124" i="7" a="1"/>
  <c r="P124" i="7" s="1"/>
  <c r="P77" i="7" a="1"/>
  <c r="P77" i="7" s="1"/>
  <c r="P95" i="7" a="1"/>
  <c r="P95" i="7" s="1"/>
  <c r="AP30" i="8" s="1"/>
  <c r="P120" i="7" a="1"/>
  <c r="P120" i="7" s="1"/>
  <c r="P208" i="7" a="1"/>
  <c r="P208" i="7" s="1"/>
  <c r="P220" i="7" a="1"/>
  <c r="P220" i="7" s="1"/>
  <c r="P255" i="7" a="1"/>
  <c r="P255" i="7" s="1"/>
  <c r="P149" i="7" a="1"/>
  <c r="P149" i="7" s="1"/>
  <c r="P165" i="7" a="1"/>
  <c r="P165" i="7" s="1"/>
  <c r="P181" i="7" a="1"/>
  <c r="P181" i="7" s="1"/>
  <c r="P190" i="7" a="1"/>
  <c r="P190" i="7" s="1"/>
  <c r="V6" i="8" s="1"/>
  <c r="AR61" i="7" a="1"/>
  <c r="AR61" i="7" s="1"/>
  <c r="AR66" i="7" a="1"/>
  <c r="AR66" i="7" s="1"/>
  <c r="AR73" i="7" a="1"/>
  <c r="AR73" i="7" s="1"/>
  <c r="P110" i="7" a="1"/>
  <c r="P110" i="7" s="1"/>
  <c r="P106" i="7" a="1"/>
  <c r="P106" i="7" s="1"/>
  <c r="P70" i="7" a="1"/>
  <c r="P70" i="7" s="1"/>
  <c r="P58" i="7" a="1"/>
  <c r="P58" i="7" s="1"/>
  <c r="P91" i="7" a="1"/>
  <c r="P91" i="7" s="1"/>
  <c r="P75" i="7" a="1"/>
  <c r="P75" i="7" s="1"/>
  <c r="P79" i="7" a="1"/>
  <c r="P79" i="7" s="1"/>
  <c r="P115" i="7" a="1"/>
  <c r="P115" i="7" s="1"/>
  <c r="P64" i="7" a="1"/>
  <c r="P64" i="7" s="1"/>
  <c r="P212" i="7" a="1"/>
  <c r="P212" i="7" s="1"/>
  <c r="P247" i="7" a="1"/>
  <c r="P247" i="7" s="1"/>
  <c r="P259" i="7" a="1"/>
  <c r="P259" i="7" s="1"/>
  <c r="AR129" i="7" a="1"/>
  <c r="AR129" i="7" s="1"/>
  <c r="P139" i="7" a="1"/>
  <c r="P139" i="7" s="1"/>
  <c r="P154" i="7" a="1"/>
  <c r="P154" i="7" s="1"/>
  <c r="P170" i="7" a="1"/>
  <c r="P170" i="7" s="1"/>
  <c r="P186" i="7" a="1"/>
  <c r="P186" i="7" s="1"/>
  <c r="AR91" i="7" a="1"/>
  <c r="AR91" i="7" s="1"/>
  <c r="AR85" i="7" a="1"/>
  <c r="AR85" i="7" s="1"/>
  <c r="AR62" i="7" a="1"/>
  <c r="AR62" i="7" s="1"/>
  <c r="AR67" i="7" a="1"/>
  <c r="AR67" i="7" s="1"/>
  <c r="P111" i="7" a="1"/>
  <c r="P111" i="7" s="1"/>
  <c r="P98" i="7" a="1"/>
  <c r="P98" i="7" s="1"/>
  <c r="P71" i="7" a="1"/>
  <c r="P71" i="7" s="1"/>
  <c r="P59" i="7" a="1"/>
  <c r="P59" i="7" s="1"/>
  <c r="P92" i="7" a="1"/>
  <c r="P92" i="7" s="1"/>
  <c r="P76" i="7" a="1"/>
  <c r="P76" i="7" s="1"/>
  <c r="P80" i="7" a="1"/>
  <c r="P80" i="7" s="1"/>
  <c r="P116" i="7" a="1"/>
  <c r="P116" i="7" s="1"/>
  <c r="P65" i="7" a="1"/>
  <c r="P65" i="7" s="1"/>
  <c r="AR200" i="7" a="1"/>
  <c r="AR200" i="7" s="1"/>
  <c r="P141" i="7" a="1"/>
  <c r="P141" i="7" s="1"/>
  <c r="AR64" i="7" a="1"/>
  <c r="AR64" i="7" s="1"/>
  <c r="P60" i="7" a="1"/>
  <c r="P60" i="7" s="1"/>
  <c r="P83" i="7" a="1"/>
  <c r="P83" i="7" s="1"/>
  <c r="P249" i="7" a="1"/>
  <c r="P249" i="7" s="1"/>
  <c r="BI29" i="8" s="1"/>
  <c r="P157" i="7" a="1"/>
  <c r="P157" i="7" s="1"/>
  <c r="AR94" i="7" a="1"/>
  <c r="AR94" i="7" s="1"/>
  <c r="AR70" i="7" a="1"/>
  <c r="AR70" i="7" s="1"/>
  <c r="P88" i="7" a="1"/>
  <c r="P88" i="7" s="1"/>
  <c r="P119" i="7" a="1"/>
  <c r="P119" i="7" s="1"/>
  <c r="P226" i="7" a="1"/>
  <c r="P226" i="7" s="1"/>
  <c r="AR57" i="7" a="1"/>
  <c r="AR57" i="7" s="1"/>
  <c r="P214" i="7" a="1"/>
  <c r="P214" i="7" s="1"/>
  <c r="P173" i="7" a="1"/>
  <c r="P173" i="7" s="1"/>
  <c r="P123" i="7" a="1"/>
  <c r="P123" i="7" s="1"/>
  <c r="AR220" i="7" a="1"/>
  <c r="AR220" i="7" s="1"/>
  <c r="P187" i="7" a="1"/>
  <c r="P187" i="7" s="1"/>
  <c r="P100" i="7" a="1"/>
  <c r="P100" i="7" s="1"/>
  <c r="P86" i="7" a="1"/>
  <c r="P86" i="7" s="1"/>
  <c r="F17" i="1" a="1"/>
  <c r="F17" i="1" s="1"/>
  <c r="L4" i="2"/>
  <c r="C30" i="17"/>
  <c r="BI48" i="8"/>
  <c r="V74" i="8"/>
  <c r="BI18" i="8"/>
  <c r="AP31" i="8"/>
  <c r="BI27" i="8"/>
  <c r="BI5" i="8"/>
  <c r="BI30" i="8"/>
  <c r="BI41" i="8"/>
  <c r="V4" i="8"/>
  <c r="BI12" i="8"/>
  <c r="BI13" i="8"/>
  <c r="V75" i="8"/>
  <c r="BI7" i="8"/>
  <c r="V5" i="8"/>
  <c r="AP79" i="8"/>
  <c r="BI31" i="8"/>
  <c r="BI6" i="8"/>
  <c r="BI60" i="8"/>
  <c r="V85" i="8"/>
  <c r="BI42" i="8"/>
  <c r="BI40" i="8"/>
  <c r="AP64" i="8"/>
  <c r="AP76" i="8"/>
  <c r="BI9" i="8"/>
  <c r="BI32" i="8"/>
  <c r="BI24" i="8"/>
  <c r="V84" i="8"/>
  <c r="BI26" i="8"/>
  <c r="N291" i="7"/>
  <c r="AP60" i="8"/>
  <c r="M280" i="7"/>
  <c r="AP137" i="7"/>
  <c r="AP100" i="7"/>
  <c r="M294" i="7"/>
  <c r="AP132" i="7"/>
  <c r="N295" i="7"/>
  <c r="M23" i="7"/>
  <c r="N112" i="7"/>
  <c r="AP159" i="8"/>
  <c r="AP150" i="8"/>
  <c r="AP153" i="8"/>
  <c r="AP93" i="7"/>
  <c r="AP27" i="7"/>
  <c r="M19" i="7"/>
  <c r="AP161" i="8"/>
  <c r="AO103" i="7"/>
  <c r="N271" i="7"/>
  <c r="N277" i="7"/>
  <c r="AP99" i="7"/>
  <c r="M22" i="7"/>
  <c r="AO99" i="7"/>
  <c r="AP109" i="7"/>
  <c r="AO17" i="7"/>
  <c r="AO137" i="7"/>
  <c r="AO95" i="7"/>
  <c r="AP271" i="7"/>
  <c r="N18" i="7"/>
  <c r="M287" i="7"/>
  <c r="M67" i="7"/>
  <c r="N272" i="7"/>
  <c r="AO76" i="7"/>
  <c r="AP111" i="7"/>
  <c r="AO35" i="7"/>
  <c r="AO112" i="7"/>
  <c r="N287" i="7"/>
  <c r="AO34" i="7"/>
  <c r="AO136" i="7"/>
  <c r="N22" i="7"/>
  <c r="C78" i="8"/>
  <c r="AO100" i="7"/>
  <c r="M194" i="7"/>
  <c r="AP26" i="7"/>
  <c r="AO91" i="7"/>
  <c r="AP141" i="8"/>
  <c r="AP116" i="7"/>
  <c r="AO33" i="7"/>
  <c r="AO93" i="7"/>
  <c r="N294" i="7"/>
  <c r="M137" i="7"/>
  <c r="N285" i="7"/>
  <c r="N280" i="7"/>
  <c r="AP31" i="7"/>
  <c r="AO111" i="7"/>
  <c r="AP154" i="8"/>
  <c r="N97" i="7"/>
  <c r="AP110" i="7"/>
  <c r="N19" i="7"/>
  <c r="AO132" i="7"/>
  <c r="AO77" i="7"/>
  <c r="AP33" i="7"/>
  <c r="N66" i="7"/>
  <c r="AP113" i="7"/>
  <c r="AP274" i="7"/>
  <c r="AO135" i="7"/>
  <c r="AP156" i="8"/>
  <c r="C132" i="8"/>
  <c r="AO110" i="7"/>
  <c r="N281" i="7"/>
  <c r="M279" i="7"/>
  <c r="N282" i="7"/>
  <c r="M278" i="7"/>
  <c r="N286" i="7"/>
  <c r="C137" i="8"/>
  <c r="AP272" i="7"/>
  <c r="C122" i="8"/>
  <c r="AP61" i="8"/>
  <c r="M271" i="7"/>
  <c r="AO32" i="7"/>
  <c r="C79" i="8"/>
  <c r="AP17" i="7"/>
  <c r="AO101" i="7"/>
  <c r="AP152" i="8"/>
  <c r="M24" i="7"/>
  <c r="AO116" i="7"/>
  <c r="AO27" i="7"/>
  <c r="M284" i="7"/>
  <c r="N283" i="7"/>
  <c r="M283" i="7"/>
  <c r="AP76" i="7"/>
  <c r="AP94" i="7"/>
  <c r="M18" i="7"/>
  <c r="AO114" i="7"/>
  <c r="AP97" i="7"/>
  <c r="N275" i="7"/>
  <c r="N288" i="7"/>
  <c r="M295" i="7"/>
  <c r="M272" i="7"/>
  <c r="M11" i="7"/>
  <c r="AO109" i="7"/>
  <c r="AP162" i="8"/>
  <c r="AP135" i="7"/>
  <c r="M290" i="7"/>
  <c r="AO273" i="7"/>
  <c r="AO113" i="7"/>
  <c r="AP101" i="7"/>
  <c r="N20" i="7"/>
  <c r="AO28" i="7"/>
  <c r="N17" i="7"/>
  <c r="AP24" i="7"/>
  <c r="AP103" i="7"/>
  <c r="AO94" i="7"/>
  <c r="M196" i="7"/>
  <c r="AP25" i="7"/>
  <c r="AO92" i="7"/>
  <c r="N278" i="7"/>
  <c r="AO115" i="7"/>
  <c r="M285" i="7"/>
  <c r="N193" i="7"/>
  <c r="AP34" i="7"/>
  <c r="M193" i="7"/>
  <c r="M282" i="7"/>
  <c r="AO138" i="7"/>
  <c r="M281" i="7"/>
  <c r="AO272" i="7"/>
  <c r="M293" i="7"/>
  <c r="AP92" i="7"/>
  <c r="C125" i="8"/>
  <c r="AP115" i="7"/>
  <c r="N274" i="7"/>
  <c r="AO74" i="7"/>
  <c r="M289" i="7"/>
  <c r="N194" i="7"/>
  <c r="N11" i="7"/>
  <c r="C127" i="8"/>
  <c r="AP59" i="8"/>
  <c r="N292" i="7"/>
  <c r="M275" i="7"/>
  <c r="M276" i="7"/>
  <c r="N276" i="7"/>
  <c r="M288" i="7"/>
  <c r="M21" i="7"/>
  <c r="M286" i="7"/>
  <c r="AO271" i="7"/>
  <c r="AP136" i="7"/>
  <c r="AP75" i="7"/>
  <c r="M66" i="7"/>
  <c r="AP164" i="8"/>
  <c r="AP74" i="7"/>
  <c r="AP28" i="7"/>
  <c r="AP35" i="7"/>
  <c r="AP98" i="7"/>
  <c r="AP102" i="7"/>
  <c r="AO24" i="7"/>
  <c r="M20" i="7"/>
  <c r="AP32" i="7"/>
  <c r="C138" i="8"/>
  <c r="N284" i="7"/>
  <c r="AP163" i="8"/>
  <c r="AO26" i="7"/>
  <c r="M274" i="7"/>
  <c r="AP112" i="7"/>
  <c r="AO98" i="7"/>
  <c r="N24" i="7"/>
  <c r="AP91" i="7"/>
  <c r="AO97" i="7"/>
  <c r="N23" i="7"/>
  <c r="AP58" i="8"/>
  <c r="N196" i="7"/>
  <c r="M17" i="7"/>
  <c r="AP151" i="8"/>
  <c r="M112" i="7"/>
  <c r="AO25" i="7"/>
  <c r="AO31" i="7"/>
  <c r="N290" i="7"/>
  <c r="N289" i="7"/>
  <c r="AO274" i="7"/>
  <c r="N21" i="7"/>
  <c r="N293" i="7"/>
  <c r="N273" i="7"/>
  <c r="AO96" i="7"/>
  <c r="AP273" i="7"/>
  <c r="AO75" i="7"/>
  <c r="M273" i="7"/>
  <c r="AP138" i="7"/>
  <c r="AP160" i="8"/>
  <c r="M291" i="7"/>
  <c r="N137" i="7"/>
  <c r="M195" i="7"/>
  <c r="M292" i="7"/>
  <c r="AP95" i="7"/>
  <c r="N67" i="7"/>
  <c r="M277" i="7"/>
  <c r="N279" i="7"/>
  <c r="AO102" i="7"/>
  <c r="M97" i="7"/>
  <c r="AP77" i="7"/>
  <c r="AP96" i="7"/>
  <c r="AP155" i="8"/>
  <c r="AP114" i="7"/>
  <c r="N195" i="7"/>
  <c r="N55" i="4" l="1"/>
  <c r="P55" i="4"/>
  <c r="N54" i="4"/>
  <c r="P54" i="4"/>
  <c r="P92" i="4"/>
  <c r="N92" i="4"/>
  <c r="N95" i="4"/>
  <c r="P95" i="4"/>
  <c r="N88" i="4"/>
  <c r="P88" i="4"/>
  <c r="N79" i="4"/>
  <c r="P79" i="4"/>
  <c r="P52" i="4"/>
  <c r="N52" i="4"/>
  <c r="N29" i="4"/>
  <c r="P29" i="4"/>
  <c r="P22" i="4"/>
  <c r="N22" i="4"/>
  <c r="P81" i="4"/>
  <c r="N81" i="4"/>
  <c r="N86" i="4"/>
  <c r="P86" i="4"/>
  <c r="N80" i="4"/>
  <c r="P80" i="4"/>
  <c r="P78" i="4"/>
  <c r="N78" i="4"/>
  <c r="P32" i="4"/>
  <c r="N32" i="4"/>
  <c r="N31" i="4"/>
  <c r="P31" i="4"/>
  <c r="N49" i="4"/>
  <c r="P49" i="4"/>
  <c r="N45" i="4"/>
  <c r="P45" i="4"/>
  <c r="P93" i="4"/>
  <c r="N93" i="4"/>
  <c r="P2" i="4"/>
  <c r="N2" i="4"/>
  <c r="O2" i="4" s="1"/>
  <c r="N72" i="4"/>
  <c r="P72" i="4"/>
  <c r="N73" i="4"/>
  <c r="P73" i="4"/>
  <c r="N89" i="4"/>
  <c r="P89" i="4"/>
  <c r="N77" i="4"/>
  <c r="P77" i="4"/>
  <c r="N87" i="4"/>
  <c r="P87" i="4"/>
  <c r="N94" i="4"/>
  <c r="P94" i="4"/>
  <c r="P75" i="4"/>
  <c r="N75" i="4"/>
  <c r="P21" i="4"/>
  <c r="N21" i="4"/>
  <c r="N36" i="4"/>
  <c r="P36" i="4"/>
  <c r="N76" i="4"/>
  <c r="P76" i="4"/>
  <c r="N30" i="4"/>
  <c r="P30" i="4"/>
  <c r="N47" i="4"/>
  <c r="P47" i="4"/>
  <c r="P96" i="4"/>
  <c r="N96" i="4"/>
  <c r="P83" i="4"/>
  <c r="N83" i="4"/>
  <c r="P74" i="4"/>
  <c r="N74" i="4"/>
  <c r="N90" i="4"/>
  <c r="P90" i="4"/>
  <c r="N82" i="4"/>
  <c r="P82" i="4"/>
  <c r="N84" i="4"/>
  <c r="P84" i="4"/>
  <c r="N91" i="4"/>
  <c r="P91" i="4"/>
  <c r="P85" i="4"/>
  <c r="N85" i="4"/>
  <c r="Q58" i="20"/>
  <c r="Q55" i="20" s="1"/>
  <c r="H4" i="21"/>
  <c r="W2" i="4"/>
  <c r="V4" i="4" s="1"/>
  <c r="V20" i="4" s="1" a="1"/>
  <c r="V20" i="4" s="1"/>
  <c r="N62" i="4"/>
  <c r="P62" i="4"/>
  <c r="P24" i="4"/>
  <c r="N24" i="4"/>
  <c r="P68" i="4"/>
  <c r="N68" i="4"/>
  <c r="P10" i="4"/>
  <c r="N10" i="4"/>
  <c r="P17" i="4"/>
  <c r="N17" i="4"/>
  <c r="P50" i="4"/>
  <c r="N50" i="4"/>
  <c r="P64" i="4"/>
  <c r="N64" i="4"/>
  <c r="P56" i="4"/>
  <c r="N11" i="4"/>
  <c r="P11" i="4"/>
  <c r="P4" i="4"/>
  <c r="N4" i="4"/>
  <c r="P27" i="4"/>
  <c r="N27" i="4"/>
  <c r="N70" i="4"/>
  <c r="P70" i="4"/>
  <c r="N14" i="4"/>
  <c r="P14" i="4"/>
  <c r="P71" i="4"/>
  <c r="N63" i="4"/>
  <c r="P63" i="4"/>
  <c r="P5" i="4"/>
  <c r="N5" i="4"/>
  <c r="P34" i="4"/>
  <c r="N34" i="4"/>
  <c r="P44" i="4"/>
  <c r="N58" i="4"/>
  <c r="P58" i="4"/>
  <c r="P43" i="4"/>
  <c r="N43" i="4"/>
  <c r="N8" i="4"/>
  <c r="P8" i="4"/>
  <c r="P57" i="4"/>
  <c r="N57" i="4"/>
  <c r="N37" i="4"/>
  <c r="P37" i="4"/>
  <c r="P15" i="4"/>
  <c r="N15" i="4"/>
  <c r="P65" i="4"/>
  <c r="N65" i="4"/>
  <c r="P18" i="4"/>
  <c r="N18" i="4"/>
  <c r="P41" i="4"/>
  <c r="N41" i="4"/>
  <c r="N13" i="4"/>
  <c r="P13" i="4"/>
  <c r="P23" i="4"/>
  <c r="N23" i="4"/>
  <c r="P16" i="4"/>
  <c r="N16" i="4"/>
  <c r="P46" i="4"/>
  <c r="N46" i="4"/>
  <c r="N28" i="4"/>
  <c r="P28" i="4"/>
  <c r="N42" i="4"/>
  <c r="P42" i="4"/>
  <c r="P9" i="4"/>
  <c r="N9" i="4"/>
  <c r="P61" i="4"/>
  <c r="N61" i="4"/>
  <c r="P40" i="4"/>
  <c r="N40" i="4"/>
  <c r="N12" i="4"/>
  <c r="P12" i="4"/>
  <c r="P39" i="4"/>
  <c r="N39" i="4"/>
  <c r="N69" i="4"/>
  <c r="P69" i="4"/>
  <c r="N6" i="4"/>
  <c r="P6" i="4"/>
  <c r="P67" i="4"/>
  <c r="N67" i="4"/>
  <c r="N20" i="4"/>
  <c r="P20" i="4"/>
  <c r="N26" i="4"/>
  <c r="P26" i="4"/>
  <c r="P51" i="4"/>
  <c r="N51" i="4"/>
  <c r="P53" i="4"/>
  <c r="N53" i="4"/>
  <c r="P66" i="4"/>
  <c r="N66" i="4"/>
  <c r="P59" i="4"/>
  <c r="N59" i="4"/>
  <c r="P25" i="4"/>
  <c r="N25" i="4"/>
  <c r="N48" i="4"/>
  <c r="P48" i="4"/>
  <c r="P38" i="4"/>
  <c r="N38" i="4"/>
  <c r="P19" i="4"/>
  <c r="N19" i="4"/>
  <c r="N60" i="4"/>
  <c r="P60" i="4"/>
  <c r="P7" i="4"/>
  <c r="N7" i="4"/>
  <c r="B166" i="19"/>
  <c r="B141" i="19"/>
  <c r="B91" i="19"/>
  <c r="B66" i="19"/>
  <c r="AP16" i="8"/>
  <c r="V21" i="8"/>
  <c r="V12" i="8"/>
  <c r="BI37" i="8"/>
  <c r="AP12" i="8"/>
  <c r="V42" i="8"/>
  <c r="V57" i="8"/>
  <c r="AP139" i="8"/>
  <c r="AP24" i="8"/>
  <c r="V35" i="8"/>
  <c r="AP32" i="8"/>
  <c r="AP134" i="8"/>
  <c r="AP68" i="8"/>
  <c r="AP85" i="8"/>
  <c r="AP115" i="8"/>
  <c r="BI76" i="8"/>
  <c r="AP17" i="8"/>
  <c r="V36" i="8"/>
  <c r="AP121" i="8"/>
  <c r="V49" i="8"/>
  <c r="V46" i="8"/>
  <c r="V30" i="8"/>
  <c r="AP127" i="8"/>
  <c r="V10" i="8"/>
  <c r="AP15" i="8"/>
  <c r="BI54" i="8"/>
  <c r="V55" i="8"/>
  <c r="AP18" i="8"/>
  <c r="V17" i="8"/>
  <c r="BI49" i="8"/>
  <c r="BI50" i="8"/>
  <c r="V47" i="8"/>
  <c r="V20" i="8"/>
  <c r="V66" i="8"/>
  <c r="V19" i="8"/>
  <c r="V38" i="8"/>
  <c r="AP50" i="8"/>
  <c r="V52" i="8"/>
  <c r="V28" i="8"/>
  <c r="BI44" i="8"/>
  <c r="V72" i="8"/>
  <c r="AP114" i="8"/>
  <c r="AP6" i="8"/>
  <c r="V40" i="8"/>
  <c r="V68" i="8"/>
  <c r="V15" i="8"/>
  <c r="V7" i="8"/>
  <c r="AP49" i="8"/>
  <c r="BI62" i="8"/>
  <c r="V45" i="8"/>
  <c r="V87" i="8"/>
  <c r="AP137" i="8"/>
  <c r="BI57" i="8"/>
  <c r="BI67" i="8"/>
  <c r="V64" i="8"/>
  <c r="V37" i="8"/>
  <c r="BI4" i="8"/>
  <c r="AP84" i="8"/>
  <c r="BI65" i="8"/>
  <c r="AP41" i="8"/>
  <c r="BI34" i="8"/>
  <c r="V59" i="8"/>
  <c r="V70" i="8"/>
  <c r="BI22" i="8"/>
  <c r="BI21" i="8"/>
  <c r="BI77" i="8"/>
  <c r="V11" i="8"/>
  <c r="BI56" i="8"/>
  <c r="V9" i="8"/>
  <c r="V89" i="8"/>
  <c r="AP13" i="8"/>
  <c r="BI61" i="8"/>
  <c r="V29" i="8"/>
  <c r="AP25" i="8"/>
  <c r="AP23" i="8"/>
  <c r="V61" i="8"/>
  <c r="BI75" i="8"/>
  <c r="AP52" i="8"/>
  <c r="AP77" i="8"/>
  <c r="AP10" i="8"/>
  <c r="V62" i="8"/>
  <c r="V16" i="8"/>
  <c r="V54" i="8"/>
  <c r="BI15" i="8"/>
  <c r="V23" i="8"/>
  <c r="AP80" i="8"/>
  <c r="BI14" i="8"/>
  <c r="AP42" i="8"/>
  <c r="BI10" i="8"/>
  <c r="V33" i="8"/>
  <c r="AP22" i="8"/>
  <c r="AP51" i="8"/>
  <c r="V14" i="8"/>
  <c r="AP71" i="8"/>
  <c r="AP47" i="8"/>
  <c r="V58" i="8"/>
  <c r="AP26" i="8"/>
  <c r="AP14" i="8"/>
  <c r="V48" i="8"/>
  <c r="AP70" i="8"/>
  <c r="AP66" i="8"/>
  <c r="AP126" i="8"/>
  <c r="V8" i="8"/>
  <c r="AP123" i="8"/>
  <c r="BI66" i="8"/>
  <c r="V67" i="8"/>
  <c r="BI8" i="8"/>
  <c r="BI78" i="8"/>
  <c r="BI23" i="8"/>
  <c r="AP136" i="8"/>
  <c r="V18" i="8"/>
  <c r="AP82" i="8"/>
  <c r="V51" i="8"/>
  <c r="V60" i="8"/>
  <c r="V31" i="8"/>
  <c r="BI19" i="8"/>
  <c r="V22" i="8"/>
  <c r="AP33" i="8"/>
  <c r="V34" i="8"/>
  <c r="V65" i="8"/>
  <c r="BI58" i="8"/>
  <c r="AP4" i="8"/>
  <c r="AP45" i="8"/>
  <c r="V50" i="8"/>
  <c r="AP125" i="8"/>
  <c r="V32" i="8"/>
  <c r="V27" i="8"/>
  <c r="AP122" i="8"/>
  <c r="AP43" i="8"/>
  <c r="AP8" i="8"/>
  <c r="AP63" i="8"/>
  <c r="V44" i="8"/>
  <c r="AP44" i="8"/>
  <c r="V86" i="8"/>
  <c r="AP65" i="8"/>
  <c r="V25" i="8"/>
  <c r="AP11" i="8"/>
  <c r="BI35" i="8"/>
  <c r="AP46" i="8"/>
  <c r="BI79" i="8"/>
  <c r="AP78" i="8"/>
  <c r="V63" i="8"/>
  <c r="BI43" i="8"/>
  <c r="AP5" i="8"/>
  <c r="AP62" i="8"/>
  <c r="V43" i="8"/>
  <c r="V73" i="8"/>
  <c r="AP19" i="8"/>
  <c r="AP138" i="8"/>
  <c r="AP81" i="8"/>
  <c r="BI20" i="8"/>
  <c r="V41" i="8"/>
  <c r="BI46" i="8"/>
  <c r="BI36" i="8"/>
  <c r="AP21" i="8"/>
  <c r="V69" i="8"/>
  <c r="AP67" i="8"/>
  <c r="V24" i="8"/>
  <c r="V56" i="8"/>
  <c r="V53" i="8"/>
  <c r="AP135" i="8"/>
  <c r="AP124" i="8"/>
  <c r="AP20" i="8"/>
  <c r="V88" i="8"/>
  <c r="BI11" i="8"/>
  <c r="V13" i="8"/>
  <c r="AP9" i="8"/>
  <c r="AP69" i="8"/>
  <c r="AP83" i="8"/>
  <c r="BI55" i="8"/>
  <c r="V39" i="8"/>
  <c r="AP120" i="8"/>
  <c r="V71" i="8"/>
  <c r="AP7" i="8"/>
  <c r="BI47" i="8"/>
  <c r="V26" i="8"/>
  <c r="AP48" i="8"/>
  <c r="BI33" i="8"/>
  <c r="O3" i="4" l="1"/>
  <c r="O4" i="4" s="1"/>
  <c r="O5" i="4" s="1"/>
  <c r="O6" i="4" s="1"/>
  <c r="O7" i="4" s="1"/>
  <c r="O8" i="4" s="1"/>
  <c r="O9" i="4" s="1"/>
  <c r="O10" i="4" s="1"/>
  <c r="O11" i="4" s="1"/>
  <c r="O12" i="4" s="1"/>
  <c r="O13" i="4" s="1"/>
  <c r="O14" i="4" s="1"/>
  <c r="O15" i="4" s="1"/>
  <c r="O16" i="4" s="1"/>
  <c r="O17" i="4" s="1"/>
  <c r="O18" i="4" s="1"/>
  <c r="O19" i="4" s="1"/>
  <c r="O20" i="4" s="1"/>
  <c r="O21" i="4" s="1"/>
  <c r="O22" i="4" s="1"/>
  <c r="O23" i="4" s="1"/>
  <c r="O24" i="4" s="1"/>
  <c r="O25" i="4" s="1"/>
  <c r="O26" i="4" s="1"/>
  <c r="O27" i="4" s="1"/>
  <c r="O28" i="4" s="1"/>
  <c r="O29" i="4" s="1"/>
  <c r="O30" i="4" s="1"/>
  <c r="O31" i="4" s="1"/>
  <c r="O32" i="4" s="1"/>
  <c r="O33" i="4" s="1"/>
  <c r="O34" i="4" s="1"/>
  <c r="O35" i="4" s="1"/>
  <c r="O36" i="4" s="1"/>
  <c r="O37" i="4" s="1"/>
  <c r="O38" i="4" s="1"/>
  <c r="O39" i="4" s="1"/>
  <c r="O40" i="4" s="1"/>
  <c r="O41" i="4" s="1"/>
  <c r="O42" i="4" s="1"/>
  <c r="O43" i="4" s="1"/>
  <c r="O44" i="4" s="1"/>
  <c r="O45" i="4" s="1"/>
  <c r="O46" i="4" s="1"/>
  <c r="O47" i="4" s="1"/>
  <c r="O48" i="4" s="1"/>
  <c r="O49" i="4" s="1"/>
  <c r="O50" i="4" s="1"/>
  <c r="O51" i="4" s="1"/>
  <c r="O52" i="4" s="1"/>
  <c r="O53" i="4" s="1"/>
  <c r="O54" i="4" s="1"/>
  <c r="O55" i="4" s="1"/>
  <c r="O56" i="4" s="1"/>
  <c r="O57" i="4" s="1"/>
  <c r="O58" i="4" s="1"/>
  <c r="O59" i="4" s="1"/>
  <c r="O60" i="4" s="1"/>
  <c r="O61" i="4" s="1"/>
  <c r="O62" i="4" s="1"/>
  <c r="O63" i="4" s="1"/>
  <c r="O64" i="4" s="1"/>
  <c r="O65" i="4" s="1"/>
  <c r="O66" i="4" s="1"/>
  <c r="O67" i="4" s="1"/>
  <c r="O68" i="4" s="1"/>
  <c r="O69" i="4" s="1"/>
  <c r="O70" i="4" s="1"/>
  <c r="O71" i="4" s="1"/>
  <c r="O72" i="4" s="1"/>
  <c r="O73" i="4" s="1"/>
  <c r="O74" i="4" s="1"/>
  <c r="O75" i="4" s="1"/>
  <c r="O76" i="4" s="1"/>
  <c r="O77" i="4" s="1"/>
  <c r="O78" i="4" s="1"/>
  <c r="O79" i="4" s="1"/>
  <c r="O80" i="4" s="1"/>
  <c r="O81" i="4" s="1"/>
  <c r="O82" i="4" s="1"/>
  <c r="O83" i="4" s="1"/>
  <c r="O84" i="4" s="1"/>
  <c r="O85" i="4" s="1"/>
  <c r="O86" i="4" s="1"/>
  <c r="O87" i="4" s="1"/>
  <c r="O88" i="4" s="1"/>
  <c r="O89" i="4" s="1"/>
  <c r="O90" i="4" s="1"/>
  <c r="O91" i="4" s="1"/>
  <c r="O92" i="4" s="1"/>
  <c r="O93" i="4" s="1"/>
  <c r="O94" i="4" s="1"/>
  <c r="T12" i="2"/>
  <c r="V2" i="4" a="1"/>
  <c r="V2" i="4" s="1"/>
  <c r="V3" i="4" s="1" a="1"/>
  <c r="V3" i="4" s="1"/>
  <c r="V21" i="4" a="1"/>
  <c r="V21" i="4" s="1"/>
  <c r="T11" i="2" l="1"/>
  <c r="T10" i="2" l="1"/>
  <c r="W40" i="8" a="1"/>
  <c r="W40" i="8" s="1"/>
  <c r="W73" i="8" a="1"/>
  <c r="W73" i="8" s="1"/>
  <c r="T24" i="2" l="1"/>
  <c r="T20" i="2"/>
  <c r="O10" i="7" l="1"/>
  <c r="O11" i="7" s="1"/>
  <c r="O12" i="7" s="1"/>
  <c r="O13" i="7" s="1"/>
  <c r="O14" i="7" s="1"/>
  <c r="O15" i="7" s="1"/>
  <c r="O16" i="7" s="1"/>
  <c r="O17" i="7" l="1"/>
  <c r="O18" i="7" s="1"/>
  <c r="O19" i="7" s="1"/>
  <c r="O20" i="7" s="1"/>
  <c r="O21" i="7" s="1"/>
  <c r="O22" i="7" s="1"/>
  <c r="O23" i="7" s="1"/>
  <c r="O24" i="7" s="1"/>
  <c r="O25" i="7" s="1"/>
  <c r="O26" i="7" s="1"/>
  <c r="O27" i="7" s="1"/>
  <c r="O28" i="7" s="1"/>
  <c r="O29" i="7" s="1"/>
  <c r="O30" i="7" s="1"/>
  <c r="O31" i="7" s="1"/>
  <c r="O32" i="7" s="1"/>
  <c r="O33" i="7" s="1"/>
  <c r="O34" i="7" s="1"/>
  <c r="O35" i="7" s="1"/>
  <c r="O36" i="7" s="1"/>
  <c r="O37" i="7" s="1"/>
  <c r="O38" i="7" s="1"/>
  <c r="O39" i="7" s="1"/>
  <c r="O40" i="7" s="1"/>
  <c r="O41" i="7" s="1"/>
  <c r="O42" i="7" s="1"/>
  <c r="O43" i="7" s="1"/>
  <c r="O44" i="7" s="1"/>
  <c r="O45" i="7" s="1"/>
  <c r="O46" i="7" s="1"/>
  <c r="T35" i="2" l="1"/>
  <c r="T34" i="2"/>
  <c r="T33" i="2"/>
  <c r="T14" i="2"/>
  <c r="T15" i="2"/>
  <c r="T44" i="2" l="1"/>
  <c r="T28" i="2"/>
  <c r="T19" i="2"/>
  <c r="T23" i="2"/>
  <c r="AP117" i="8"/>
  <c r="AP111" i="8"/>
  <c r="AP93" i="8"/>
  <c r="AP88" i="8"/>
  <c r="AP87" i="8"/>
  <c r="AP89" i="8"/>
  <c r="AP107" i="8"/>
  <c r="AP97" i="8"/>
  <c r="AP119" i="8"/>
  <c r="AP91" i="8"/>
  <c r="AP109" i="8"/>
  <c r="AP86" i="8"/>
  <c r="AP92" i="8"/>
  <c r="AP106" i="8"/>
  <c r="AP113" i="8"/>
  <c r="AP112" i="8"/>
  <c r="AP110" i="8"/>
  <c r="AP105" i="8"/>
  <c r="AP108" i="8"/>
  <c r="AP98" i="8"/>
  <c r="AP104" i="8"/>
  <c r="AP90" i="8"/>
  <c r="AP118" i="8"/>
  <c r="AP116" i="8"/>
  <c r="AP99" i="8"/>
  <c r="AP96" i="8"/>
  <c r="T17" i="2" l="1"/>
  <c r="T25" i="2" l="1"/>
  <c r="O56" i="7" l="1"/>
  <c r="O57" i="7" s="1"/>
  <c r="O58" i="7" s="1"/>
  <c r="O59" i="7" s="1"/>
  <c r="O60" i="7" s="1"/>
  <c r="O61" i="7" s="1"/>
  <c r="O62" i="7" s="1"/>
  <c r="O63" i="7" s="1"/>
  <c r="O64" i="7" s="1"/>
  <c r="O65" i="7" s="1"/>
  <c r="O66" i="7" s="1"/>
  <c r="O67" i="7" s="1"/>
  <c r="O68" i="7" s="1"/>
  <c r="O69" i="7" s="1"/>
  <c r="O70" i="7" s="1"/>
  <c r="O71" i="7" s="1"/>
  <c r="O72" i="7" s="1"/>
  <c r="O73" i="7" s="1"/>
  <c r="O74" i="7" s="1"/>
  <c r="O75" i="7" s="1"/>
  <c r="O76" i="7" s="1"/>
  <c r="O77" i="7" s="1"/>
  <c r="O78" i="7" s="1"/>
  <c r="O79" i="7" s="1"/>
  <c r="O80" i="7" s="1"/>
  <c r="O81" i="7" s="1"/>
  <c r="O82" i="7" s="1"/>
  <c r="O83" i="7" s="1"/>
  <c r="O84" i="7" s="1"/>
  <c r="O85" i="7" s="1"/>
  <c r="O86" i="7" s="1"/>
  <c r="O87" i="7" s="1"/>
  <c r="O88" i="7" s="1"/>
  <c r="O89" i="7" s="1"/>
  <c r="O90" i="7" s="1"/>
  <c r="O91" i="7" s="1"/>
  <c r="O92" i="7" s="1"/>
  <c r="O93" i="7" s="1"/>
  <c r="O94" i="7" s="1"/>
  <c r="O95" i="7" s="1"/>
  <c r="O96" i="7" s="1"/>
  <c r="O97" i="7" s="1"/>
  <c r="O98" i="7" s="1"/>
  <c r="O99" i="7" s="1"/>
  <c r="O100" i="7" s="1"/>
  <c r="O101" i="7" s="1"/>
  <c r="O102" i="7" s="1"/>
  <c r="O103" i="7" s="1"/>
  <c r="O104" i="7" s="1"/>
  <c r="O105" i="7" s="1"/>
  <c r="O106" i="7" s="1"/>
  <c r="O113" i="7"/>
  <c r="O114" i="7" s="1"/>
  <c r="O115" i="7" s="1"/>
  <c r="O116" i="7" s="1"/>
  <c r="O117" i="7" s="1"/>
  <c r="O118" i="7" s="1"/>
  <c r="O119" i="7" s="1"/>
  <c r="O120" i="7" s="1"/>
  <c r="O121" i="7" s="1"/>
  <c r="O122" i="7" s="1"/>
  <c r="O123" i="7" s="1"/>
  <c r="O124" i="7" s="1"/>
  <c r="O125" i="7" s="1"/>
  <c r="O95" i="4" l="1"/>
  <c r="O96" i="4" s="1"/>
  <c r="AA28" i="4" l="1"/>
  <c r="AA27" i="4"/>
  <c r="AA29" i="4"/>
  <c r="AA25" i="4"/>
  <c r="AA31" i="4"/>
  <c r="AA33" i="4"/>
  <c r="AA32" i="4"/>
  <c r="AA30" i="4"/>
  <c r="AA24" i="4"/>
  <c r="AA26" i="4"/>
  <c r="T13" i="2" l="1"/>
  <c r="AH19" i="8" l="1" a="1"/>
  <c r="AH19" i="8" s="1"/>
  <c r="AH52" i="8" a="1"/>
  <c r="AH52" i="8" s="1"/>
  <c r="AZ107" i="8" a="1"/>
  <c r="AZ107" i="8" s="1"/>
  <c r="X54" i="8" a="1"/>
  <c r="X54" i="8" s="1"/>
  <c r="AH54" i="8" a="1"/>
  <c r="AH54" i="8" s="1"/>
  <c r="AR107" i="8" a="1"/>
  <c r="AR107" i="8" s="1"/>
  <c r="BB107" i="8" a="1"/>
  <c r="BB107" i="8" s="1"/>
  <c r="X52" i="8" a="1"/>
  <c r="X52" i="8" s="1"/>
  <c r="AZ98" i="8"/>
  <c r="AY107" i="8" a="1"/>
  <c r="AY107" i="8" s="1"/>
  <c r="BB106" i="8" a="1"/>
  <c r="BB106" i="8" s="1"/>
  <c r="AX106" i="8" a="1"/>
  <c r="AX106" i="8" s="1"/>
  <c r="AZ106" i="8" a="1"/>
  <c r="AZ106" i="8" s="1"/>
  <c r="X19" i="8" a="1"/>
  <c r="X19" i="8" s="1"/>
  <c r="AQ98" i="8" a="1"/>
  <c r="AQ98" i="8" s="1"/>
  <c r="CJ7" i="8" a="1"/>
  <c r="CJ7" i="8" s="1"/>
  <c r="CI7" i="8" s="1" a="1"/>
  <c r="CI7" i="8" s="1"/>
  <c r="AX107" i="8" a="1"/>
  <c r="AX107" i="8" s="1"/>
  <c r="BB98" i="8"/>
  <c r="AD21" i="8" a="1"/>
  <c r="AD21" i="8" s="1"/>
  <c r="AW107" i="8" a="1"/>
  <c r="AW107" i="8" s="1"/>
  <c r="AQ99" i="8" a="1"/>
  <c r="AQ99" i="8" s="1"/>
  <c r="AF21" i="8" a="1"/>
  <c r="AF21" i="8" s="1"/>
  <c r="X21" i="8" a="1"/>
  <c r="X21" i="8" s="1"/>
  <c r="AD52" i="8" a="1"/>
  <c r="AD52" i="8" s="1"/>
  <c r="AF54" i="8" a="1"/>
  <c r="AF54" i="8" s="1"/>
  <c r="AF52" i="8" a="1"/>
  <c r="AF52" i="8" s="1"/>
  <c r="AH74" i="8" a="1"/>
  <c r="AH74" i="8" s="1"/>
  <c r="CE7" i="8" a="1"/>
  <c r="CE7" i="8" s="1"/>
  <c r="AD19" i="8" a="1"/>
  <c r="AD19" i="8" s="1"/>
  <c r="BC107" i="8" a="1"/>
  <c r="BC107" i="8" s="1"/>
  <c r="AF74" i="8" a="1"/>
  <c r="AF74" i="8" s="1"/>
  <c r="AD74" i="8" a="1"/>
  <c r="AD74" i="8" s="1"/>
  <c r="AH21" i="8" a="1"/>
  <c r="AH21" i="8" s="1"/>
  <c r="X74" i="8" a="1"/>
  <c r="X74" i="8" s="1"/>
  <c r="AX98" i="8"/>
  <c r="AF19" i="8" a="1"/>
  <c r="AF19" i="8" s="1"/>
  <c r="AD54" i="8" a="1"/>
  <c r="AD54" i="8" s="1"/>
  <c r="BA107" i="8" a="1"/>
  <c r="BA107" i="8" s="1"/>
  <c r="AR106" i="8" a="1"/>
  <c r="AR106" i="8" s="1"/>
  <c r="N226" i="7"/>
  <c r="BW32" i="20"/>
  <c r="BV6" i="20"/>
  <c r="CW37" i="8"/>
  <c r="M111" i="7"/>
  <c r="BW27" i="20"/>
  <c r="N75" i="7"/>
  <c r="M165" i="7"/>
  <c r="CC38" i="8"/>
  <c r="CC24" i="8"/>
  <c r="N86" i="7"/>
  <c r="AY29" i="20"/>
  <c r="BQ18" i="20"/>
  <c r="N146" i="7"/>
  <c r="AO202" i="7"/>
  <c r="CB29" i="20"/>
  <c r="CC21" i="20"/>
  <c r="M43" i="7"/>
  <c r="N61" i="7"/>
  <c r="N59" i="7"/>
  <c r="C83" i="8"/>
  <c r="M114" i="7"/>
  <c r="C103" i="8"/>
  <c r="AY30" i="20"/>
  <c r="CC22" i="8"/>
  <c r="N157" i="7"/>
  <c r="N230" i="7"/>
  <c r="N92" i="7"/>
  <c r="M35" i="7"/>
  <c r="M82" i="7"/>
  <c r="BD22" i="20"/>
  <c r="BD9" i="20"/>
  <c r="CC13" i="8"/>
  <c r="C131" i="8"/>
  <c r="CC25" i="8"/>
  <c r="C56" i="8"/>
  <c r="N107" i="7"/>
  <c r="BI82" i="8"/>
  <c r="CW32" i="8"/>
  <c r="AX7" i="20"/>
  <c r="M28" i="7"/>
  <c r="CB13" i="20"/>
  <c r="AP34" i="8"/>
  <c r="AO62" i="7"/>
  <c r="N99" i="7"/>
  <c r="M216" i="7"/>
  <c r="BP11" i="20"/>
  <c r="BV15" i="20"/>
  <c r="M242" i="7"/>
  <c r="M180" i="7"/>
  <c r="CC35" i="8"/>
  <c r="BD20" i="20"/>
  <c r="AO131" i="7"/>
  <c r="C89" i="21"/>
  <c r="M121" i="7"/>
  <c r="N209" i="7"/>
  <c r="BQ9" i="20"/>
  <c r="BI51" i="8"/>
  <c r="C63" i="8"/>
  <c r="CC14" i="20"/>
  <c r="C20" i="8"/>
  <c r="M63" i="7"/>
  <c r="BE7" i="20"/>
  <c r="C46" i="8"/>
  <c r="AY23" i="20"/>
  <c r="AX22" i="20"/>
  <c r="BQ6" i="20"/>
  <c r="BD14" i="20"/>
  <c r="N77" i="7"/>
  <c r="BD24" i="20"/>
  <c r="M117" i="7"/>
  <c r="C102" i="8"/>
  <c r="BK7" i="20"/>
  <c r="AP75" i="8"/>
  <c r="AO67" i="7"/>
  <c r="BE11" i="20"/>
  <c r="AX27" i="20"/>
  <c r="M34" i="7"/>
  <c r="N188" i="7"/>
  <c r="CW30" i="8"/>
  <c r="CB28" i="20"/>
  <c r="AO72" i="7"/>
  <c r="N144" i="7"/>
  <c r="AP224" i="7"/>
  <c r="AO84" i="7"/>
  <c r="C72" i="8"/>
  <c r="N235" i="7"/>
  <c r="AP130" i="8"/>
  <c r="BE27" i="20"/>
  <c r="M189" i="7"/>
  <c r="N106" i="7"/>
  <c r="BD12" i="20"/>
  <c r="N222" i="7"/>
  <c r="N121" i="7"/>
  <c r="C34" i="8"/>
  <c r="BJ27" i="20"/>
  <c r="M250" i="7"/>
  <c r="M10" i="7"/>
  <c r="C26" i="8"/>
  <c r="AY31" i="20"/>
  <c r="AP72" i="8"/>
  <c r="M74" i="7"/>
  <c r="C12" i="8"/>
  <c r="AY15" i="20"/>
  <c r="N165" i="7"/>
  <c r="M102" i="7"/>
  <c r="N93" i="7"/>
  <c r="BE21" i="20"/>
  <c r="AP222" i="7"/>
  <c r="N122" i="7"/>
  <c r="M135" i="7"/>
  <c r="M153" i="7"/>
  <c r="N135" i="7"/>
  <c r="AY44" i="20"/>
  <c r="N211" i="7"/>
  <c r="C57" i="8"/>
  <c r="AP15" i="7"/>
  <c r="AY22" i="20"/>
  <c r="N253" i="7"/>
  <c r="BI80" i="8"/>
  <c r="BI85" i="8"/>
  <c r="BE24" i="20"/>
  <c r="BI53" i="8"/>
  <c r="BQ10" i="20"/>
  <c r="M186" i="7"/>
  <c r="CC23" i="20"/>
  <c r="AX15" i="20"/>
  <c r="M62" i="7"/>
  <c r="M236" i="7"/>
  <c r="AX48" i="20"/>
  <c r="N113" i="7"/>
  <c r="M99" i="7"/>
  <c r="M45" i="7"/>
  <c r="CC18" i="8"/>
  <c r="CC27" i="20"/>
  <c r="BD21" i="20"/>
  <c r="M14" i="7"/>
  <c r="C123" i="8"/>
  <c r="CC24" i="20"/>
  <c r="BI90" i="8"/>
  <c r="M241" i="7"/>
  <c r="BP35" i="20"/>
  <c r="AP203" i="7"/>
  <c r="N190" i="7"/>
  <c r="BV12" i="20"/>
  <c r="BJ10" i="20"/>
  <c r="AO68" i="7"/>
  <c r="M233" i="7"/>
  <c r="AP13" i="7"/>
  <c r="BP12" i="20"/>
  <c r="M122" i="7"/>
  <c r="CW11" i="8"/>
  <c r="M15" i="7"/>
  <c r="CC19" i="20"/>
  <c r="BK16" i="20"/>
  <c r="CC28" i="20"/>
  <c r="AY9" i="20"/>
  <c r="M89" i="7"/>
  <c r="BV18" i="20"/>
  <c r="BV27" i="20"/>
  <c r="M152" i="7"/>
  <c r="BJ6" i="20"/>
  <c r="M247" i="7"/>
  <c r="C51" i="8"/>
  <c r="BW19" i="20"/>
  <c r="M175" i="7"/>
  <c r="BK8" i="20"/>
  <c r="N212" i="7"/>
  <c r="BE25" i="20"/>
  <c r="BJ9" i="20"/>
  <c r="N182" i="7"/>
  <c r="BJ14" i="20"/>
  <c r="AY19" i="20"/>
  <c r="BW30" i="20"/>
  <c r="M243" i="7"/>
  <c r="M173" i="7"/>
  <c r="BJ15" i="20"/>
  <c r="M151" i="7"/>
  <c r="C99" i="8"/>
  <c r="BD13" i="20"/>
  <c r="C119" i="8"/>
  <c r="BV7" i="20"/>
  <c r="M125" i="7"/>
  <c r="AO61" i="7"/>
  <c r="M81" i="7"/>
  <c r="BW25" i="20"/>
  <c r="N8" i="7"/>
  <c r="N254" i="7"/>
  <c r="N183" i="7"/>
  <c r="AP62" i="7"/>
  <c r="AX18" i="20"/>
  <c r="M220" i="7"/>
  <c r="AO146" i="7"/>
  <c r="N159" i="7"/>
  <c r="CB23" i="20"/>
  <c r="C107" i="8"/>
  <c r="N175" i="7"/>
  <c r="N169" i="7"/>
  <c r="M136" i="7"/>
  <c r="BQ28" i="20"/>
  <c r="BD6" i="20"/>
  <c r="N36" i="7"/>
  <c r="BW22" i="20"/>
  <c r="N34" i="7"/>
  <c r="AP220" i="7"/>
  <c r="C105" i="8"/>
  <c r="M70" i="7"/>
  <c r="AX29" i="20"/>
  <c r="M91" i="7"/>
  <c r="BI74" i="8"/>
  <c r="V81" i="8"/>
  <c r="N210" i="7"/>
  <c r="AX11" i="20"/>
  <c r="N96" i="7"/>
  <c r="CC32" i="20"/>
  <c r="CW27" i="8"/>
  <c r="BP16" i="20"/>
  <c r="BE10" i="20"/>
  <c r="CW14" i="8"/>
  <c r="BD25" i="20"/>
  <c r="AO204" i="7"/>
  <c r="BP27" i="20"/>
  <c r="BQ12" i="20"/>
  <c r="N258" i="7"/>
  <c r="N223" i="7"/>
  <c r="M46" i="7"/>
  <c r="M116" i="7"/>
  <c r="BI70" i="8"/>
  <c r="BE12" i="20"/>
  <c r="M123" i="7"/>
  <c r="CC28" i="8"/>
  <c r="M44" i="7"/>
  <c r="AO222" i="7"/>
  <c r="N204" i="7"/>
  <c r="M174" i="7"/>
  <c r="N237" i="7"/>
  <c r="AP54" i="8"/>
  <c r="BV17" i="20"/>
  <c r="N73" i="7"/>
  <c r="BW10" i="20"/>
  <c r="BE9" i="20"/>
  <c r="AX28" i="20"/>
  <c r="BJ20" i="20"/>
  <c r="AP83" i="7"/>
  <c r="BQ23" i="20"/>
  <c r="BJ19" i="20"/>
  <c r="M73" i="7"/>
  <c r="N102" i="7"/>
  <c r="N46" i="7"/>
  <c r="M90" i="7"/>
  <c r="N81" i="7"/>
  <c r="CC20" i="8"/>
  <c r="AP95" i="8"/>
  <c r="AO82" i="7"/>
  <c r="AP200" i="7"/>
  <c r="CC12" i="8"/>
  <c r="C81" i="8"/>
  <c r="BJ23" i="20"/>
  <c r="AP204" i="7"/>
  <c r="M150" i="7"/>
  <c r="N252" i="7"/>
  <c r="M179" i="7"/>
  <c r="BQ16" i="20"/>
  <c r="AO70" i="7"/>
  <c r="N15" i="7"/>
  <c r="AO200" i="7"/>
  <c r="BP19" i="20"/>
  <c r="N186" i="7"/>
  <c r="CB6" i="20"/>
  <c r="N72" i="7"/>
  <c r="N219" i="7"/>
  <c r="N91" i="7"/>
  <c r="CC8" i="8"/>
  <c r="N6" i="7"/>
  <c r="C32" i="8"/>
  <c r="C18" i="8"/>
  <c r="BK18" i="20"/>
  <c r="N244" i="7"/>
  <c r="M95" i="7"/>
  <c r="N68" i="7"/>
  <c r="M160" i="7"/>
  <c r="AY12" i="20"/>
  <c r="M225" i="7"/>
  <c r="AO65" i="7"/>
  <c r="AP57" i="7"/>
  <c r="BV9" i="20"/>
  <c r="N118" i="7"/>
  <c r="N192" i="7"/>
  <c r="M120" i="7"/>
  <c r="N110" i="7"/>
  <c r="N155" i="7"/>
  <c r="C77" i="8"/>
  <c r="N71" i="7"/>
  <c r="AP10" i="7"/>
  <c r="BI87" i="8"/>
  <c r="BW21" i="20"/>
  <c r="M178" i="7"/>
  <c r="M213" i="7"/>
  <c r="CW5" i="8"/>
  <c r="AO14" i="7"/>
  <c r="AP37" i="8"/>
  <c r="CW13" i="8"/>
  <c r="CC40" i="8"/>
  <c r="BK13" i="20"/>
  <c r="BQ8" i="20"/>
  <c r="CB15" i="20"/>
  <c r="C130" i="8"/>
  <c r="BE13" i="20"/>
  <c r="N104" i="7"/>
  <c r="N156" i="7"/>
  <c r="C65" i="8"/>
  <c r="AY26" i="20"/>
  <c r="N255" i="7"/>
  <c r="AP28" i="8"/>
  <c r="M101" i="7"/>
  <c r="N151" i="7"/>
  <c r="N178" i="7"/>
  <c r="C59" i="8"/>
  <c r="C31" i="8"/>
  <c r="N119" i="7"/>
  <c r="M258" i="7"/>
  <c r="N217" i="7"/>
  <c r="C99" i="21"/>
  <c r="CB17" i="20"/>
  <c r="BE23" i="20"/>
  <c r="BQ15" i="20"/>
  <c r="BE16" i="20"/>
  <c r="AP69" i="7"/>
  <c r="AO59" i="7"/>
  <c r="BI83" i="8"/>
  <c r="N43" i="7"/>
  <c r="AP205" i="7"/>
  <c r="BE17" i="20"/>
  <c r="N37" i="7"/>
  <c r="N160" i="7"/>
  <c r="BK14" i="20"/>
  <c r="AP74" i="8"/>
  <c r="M205" i="7"/>
  <c r="N220" i="7"/>
  <c r="N150" i="7"/>
  <c r="AO12" i="7"/>
  <c r="AO56" i="7"/>
  <c r="BQ24" i="20"/>
  <c r="AP133" i="7"/>
  <c r="M234" i="7"/>
  <c r="BQ20" i="20"/>
  <c r="N63" i="7"/>
  <c r="M119" i="7"/>
  <c r="M231" i="7"/>
  <c r="N123" i="7"/>
  <c r="M171" i="7"/>
  <c r="CW22" i="8"/>
  <c r="AY10" i="20"/>
  <c r="C22" i="8"/>
  <c r="M76" i="7"/>
  <c r="N7" i="7"/>
  <c r="BK15" i="20"/>
  <c r="BQ29" i="20"/>
  <c r="AY20" i="20"/>
  <c r="AP131" i="8"/>
  <c r="C96" i="21"/>
  <c r="N191" i="7"/>
  <c r="BV25" i="20"/>
  <c r="C109" i="8"/>
  <c r="M79" i="7"/>
  <c r="N179" i="7"/>
  <c r="N27" i="7"/>
  <c r="C115" i="8"/>
  <c r="M219" i="7"/>
  <c r="BP34" i="20"/>
  <c r="N87" i="7"/>
  <c r="AP72" i="7"/>
  <c r="C113" i="8"/>
  <c r="BW26" i="20"/>
  <c r="BP26" i="20"/>
  <c r="N38" i="7"/>
  <c r="AP57" i="8"/>
  <c r="N57" i="7"/>
  <c r="CC6" i="20"/>
  <c r="M88" i="7"/>
  <c r="AX19" i="20"/>
  <c r="C19" i="8"/>
  <c r="C27" i="8"/>
  <c r="N31" i="7"/>
  <c r="V78" i="8"/>
  <c r="N170" i="7"/>
  <c r="AY11" i="20"/>
  <c r="AP73" i="8"/>
  <c r="N16" i="7"/>
  <c r="M72" i="7"/>
  <c r="AP140" i="8"/>
  <c r="BJ8" i="20"/>
  <c r="C95" i="8"/>
  <c r="AP202" i="7"/>
  <c r="AX49" i="20"/>
  <c r="C90" i="8"/>
  <c r="CC31" i="20"/>
  <c r="N9" i="7"/>
  <c r="AY16" i="20"/>
  <c r="AP58" i="7"/>
  <c r="V79" i="8"/>
  <c r="CB33" i="20"/>
  <c r="N33" i="7"/>
  <c r="AP201" i="7"/>
  <c r="BW12" i="20"/>
  <c r="BE18" i="20"/>
  <c r="CW15" i="8"/>
  <c r="BW24" i="20"/>
  <c r="M96" i="7"/>
  <c r="AX32" i="20"/>
  <c r="AP53" i="8"/>
  <c r="BP33" i="20"/>
  <c r="N251" i="7"/>
  <c r="N216" i="7"/>
  <c r="BP30" i="20"/>
  <c r="N171" i="7"/>
  <c r="C87" i="8"/>
  <c r="BK9" i="20"/>
  <c r="AY46" i="20"/>
  <c r="C9" i="8"/>
  <c r="M7" i="7"/>
  <c r="AX30" i="20"/>
  <c r="AP82" i="7"/>
  <c r="M145" i="7"/>
  <c r="BI89" i="8"/>
  <c r="C21" i="8"/>
  <c r="M170" i="7"/>
  <c r="CC29" i="20"/>
  <c r="BQ17" i="20"/>
  <c r="C42" i="8"/>
  <c r="C85" i="8"/>
  <c r="BK10" i="20"/>
  <c r="N243" i="7"/>
  <c r="AP56" i="8"/>
  <c r="M246" i="7"/>
  <c r="CB22" i="20"/>
  <c r="BE22" i="20"/>
  <c r="AP221" i="7"/>
  <c r="BP20" i="20"/>
  <c r="AP199" i="7"/>
  <c r="M218" i="7"/>
  <c r="AP29" i="8"/>
  <c r="C54" i="8"/>
  <c r="M87" i="7"/>
  <c r="M37" i="7"/>
  <c r="AP85" i="7"/>
  <c r="M248" i="7"/>
  <c r="BI38" i="8"/>
  <c r="M92" i="7"/>
  <c r="CC11" i="20"/>
  <c r="CW9" i="8"/>
  <c r="BP8" i="20"/>
  <c r="BK11" i="20"/>
  <c r="BV26" i="20"/>
  <c r="AY17" i="20"/>
  <c r="BI68" i="8"/>
  <c r="AP101" i="8"/>
  <c r="BK19" i="20"/>
  <c r="C82" i="8"/>
  <c r="CC30" i="20"/>
  <c r="M208" i="7"/>
  <c r="C68" i="8"/>
  <c r="M164" i="7"/>
  <c r="AP8" i="7"/>
  <c r="AX9" i="20"/>
  <c r="BI86" i="8"/>
  <c r="N95" i="7"/>
  <c r="N124" i="7"/>
  <c r="C49" i="8"/>
  <c r="V83" i="8"/>
  <c r="BJ21" i="20"/>
  <c r="AY32" i="20"/>
  <c r="BI71" i="8"/>
  <c r="BD27" i="20"/>
  <c r="BK26" i="20"/>
  <c r="AO69" i="7"/>
  <c r="C35" i="8"/>
  <c r="C117" i="8"/>
  <c r="BK24" i="20"/>
  <c r="BJ25" i="20"/>
  <c r="AP223" i="7"/>
  <c r="M8" i="7"/>
  <c r="BD26" i="20"/>
  <c r="CB30" i="20"/>
  <c r="CC7" i="20"/>
  <c r="C33" i="8"/>
  <c r="BQ19" i="20"/>
  <c r="N29" i="7"/>
  <c r="AP130" i="7"/>
  <c r="BP6" i="20"/>
  <c r="M244" i="7"/>
  <c r="N143" i="7"/>
  <c r="BV29" i="20"/>
  <c r="AO86" i="7"/>
  <c r="AP66" i="7"/>
  <c r="AO221" i="7"/>
  <c r="BQ34" i="20"/>
  <c r="BI73" i="8"/>
  <c r="M57" i="7"/>
  <c r="BW15" i="20"/>
  <c r="N225" i="7"/>
  <c r="AP12" i="7"/>
  <c r="C94" i="21"/>
  <c r="M142" i="7"/>
  <c r="M237" i="7"/>
  <c r="BP36" i="20"/>
  <c r="CW36" i="8"/>
  <c r="C10" i="8"/>
  <c r="N62" i="7"/>
  <c r="BV24" i="20"/>
  <c r="C40" i="8"/>
  <c r="M138" i="7"/>
  <c r="M183" i="7"/>
  <c r="BI25" i="8"/>
  <c r="BW34" i="20"/>
  <c r="AY24" i="20"/>
  <c r="CC18" i="20"/>
  <c r="BQ21" i="20"/>
  <c r="N108" i="7"/>
  <c r="BV19" i="20"/>
  <c r="M29" i="7"/>
  <c r="CB21" i="20"/>
  <c r="BD16" i="20"/>
  <c r="C128" i="8"/>
  <c r="M108" i="7"/>
  <c r="AO55" i="7"/>
  <c r="AO9" i="7"/>
  <c r="N28" i="7"/>
  <c r="C120" i="8"/>
  <c r="C38" i="8"/>
  <c r="N152" i="7"/>
  <c r="N240" i="7"/>
  <c r="BV22" i="20"/>
  <c r="N236" i="7"/>
  <c r="CW18" i="8"/>
  <c r="AP60" i="7"/>
  <c r="CB20" i="20"/>
  <c r="C96" i="8"/>
  <c r="C101" i="8"/>
  <c r="AX20" i="20"/>
  <c r="AO134" i="7"/>
  <c r="N14" i="7"/>
  <c r="BJ12" i="20"/>
  <c r="M77" i="7"/>
  <c r="M172" i="7"/>
  <c r="D24" i="17"/>
  <c r="M59" i="7"/>
  <c r="BW28" i="20"/>
  <c r="M58" i="7"/>
  <c r="CC13" i="20"/>
  <c r="AO224" i="7"/>
  <c r="M162" i="7"/>
  <c r="AY18" i="20"/>
  <c r="M226" i="7"/>
  <c r="C86" i="8"/>
  <c r="N231" i="7"/>
  <c r="N177" i="7"/>
  <c r="C64" i="8"/>
  <c r="M253" i="7"/>
  <c r="C70" i="8"/>
  <c r="N224" i="7"/>
  <c r="BQ32" i="20"/>
  <c r="AP103" i="8"/>
  <c r="C111" i="8"/>
  <c r="CC31" i="8"/>
  <c r="C71" i="8"/>
  <c r="C55" i="8"/>
  <c r="AO198" i="7"/>
  <c r="CC8" i="20"/>
  <c r="AP71" i="7"/>
  <c r="N138" i="7"/>
  <c r="M206" i="7"/>
  <c r="AY49" i="20"/>
  <c r="AX45" i="20"/>
  <c r="AO64" i="7"/>
  <c r="AP27" i="8"/>
  <c r="C39" i="8"/>
  <c r="N245" i="7"/>
  <c r="N64" i="7"/>
  <c r="BQ35" i="20"/>
  <c r="CC33" i="20"/>
  <c r="CW21" i="8"/>
  <c r="N56" i="7"/>
  <c r="C16" i="8"/>
  <c r="M146" i="7"/>
  <c r="CW38" i="8"/>
  <c r="BJ16" i="20"/>
  <c r="AO199" i="7"/>
  <c r="C129" i="8"/>
  <c r="C84" i="8"/>
  <c r="BJ17" i="20"/>
  <c r="BQ30" i="20"/>
  <c r="CW4" i="8"/>
  <c r="N44" i="7"/>
  <c r="M167" i="7"/>
  <c r="N242" i="7"/>
  <c r="CW31" i="8"/>
  <c r="BJ24" i="20"/>
  <c r="M118" i="7"/>
  <c r="BD7" i="20"/>
  <c r="N90" i="7"/>
  <c r="N25" i="7"/>
  <c r="BQ36" i="20"/>
  <c r="N141" i="7"/>
  <c r="M26" i="7"/>
  <c r="N234" i="7"/>
  <c r="C106" i="8"/>
  <c r="BW11" i="20"/>
  <c r="N256" i="7"/>
  <c r="M56" i="7"/>
  <c r="M187" i="7"/>
  <c r="CB27" i="20"/>
  <c r="C76" i="8"/>
  <c r="N218" i="7"/>
  <c r="M209" i="7"/>
  <c r="C114" i="8"/>
  <c r="BV21" i="20"/>
  <c r="AX31" i="20"/>
  <c r="M157" i="7"/>
  <c r="BK25" i="20"/>
  <c r="N41" i="7"/>
  <c r="AX13" i="20"/>
  <c r="AP131" i="7"/>
  <c r="BK20" i="20"/>
  <c r="N167" i="7"/>
  <c r="N35" i="7"/>
  <c r="AO220" i="7"/>
  <c r="AO71" i="7"/>
  <c r="M249" i="7"/>
  <c r="M148" i="7"/>
  <c r="BI52" i="8"/>
  <c r="BP17" i="20"/>
  <c r="AO58" i="7"/>
  <c r="C69" i="8"/>
  <c r="BV23" i="20"/>
  <c r="N80" i="7"/>
  <c r="BK17" i="20"/>
  <c r="C97" i="8"/>
  <c r="BP23" i="20"/>
  <c r="N105" i="7"/>
  <c r="C67" i="8"/>
  <c r="M41" i="7"/>
  <c r="AP38" i="8"/>
  <c r="AO218" i="7"/>
  <c r="CW29" i="8"/>
  <c r="BP29" i="20"/>
  <c r="BK27" i="20"/>
  <c r="M223" i="7"/>
  <c r="BW13" i="20"/>
  <c r="N76" i="7"/>
  <c r="N214" i="7"/>
  <c r="N232" i="7"/>
  <c r="C75" i="8"/>
  <c r="AX25" i="20"/>
  <c r="AX44" i="20"/>
  <c r="AX21" i="20"/>
  <c r="AO7" i="7"/>
  <c r="AO8" i="7"/>
  <c r="AO66" i="7"/>
  <c r="N40" i="7"/>
  <c r="C41" i="8"/>
  <c r="CC36" i="8"/>
  <c r="N94" i="7"/>
  <c r="N142" i="7"/>
  <c r="BI81" i="8"/>
  <c r="CC10" i="8"/>
  <c r="M228" i="7"/>
  <c r="M9" i="7"/>
  <c r="C48" i="8"/>
  <c r="CC26" i="8"/>
  <c r="BV8" i="20"/>
  <c r="CC19" i="8"/>
  <c r="N147" i="7"/>
  <c r="CW6" i="8"/>
  <c r="AP132" i="8"/>
  <c r="M214" i="7"/>
  <c r="AX6" i="20"/>
  <c r="AX12" i="20"/>
  <c r="CW20" i="8"/>
  <c r="BV11" i="20"/>
  <c r="M210" i="7"/>
  <c r="AP19" i="7"/>
  <c r="C73" i="8"/>
  <c r="C8" i="8"/>
  <c r="N10" i="7"/>
  <c r="BW8" i="20"/>
  <c r="AP14" i="7"/>
  <c r="AP218" i="7"/>
  <c r="C17" i="8"/>
  <c r="AY13" i="20"/>
  <c r="BI72" i="8"/>
  <c r="CW8" i="8"/>
  <c r="N111" i="7"/>
  <c r="AP63" i="7"/>
  <c r="M182" i="7"/>
  <c r="N139" i="7"/>
  <c r="AP55" i="8"/>
  <c r="M235" i="7"/>
  <c r="C44" i="8"/>
  <c r="BW29" i="20"/>
  <c r="AP70" i="7"/>
  <c r="D23" i="17"/>
  <c r="BI59" i="8"/>
  <c r="AP216" i="7"/>
  <c r="M60" i="7"/>
  <c r="N205" i="7"/>
  <c r="V76" i="8"/>
  <c r="AP100" i="8"/>
  <c r="C100" i="8"/>
  <c r="C43" i="8"/>
  <c r="N89" i="7"/>
  <c r="C58" i="8"/>
  <c r="N145" i="7"/>
  <c r="BI84" i="8"/>
  <c r="AO57" i="7"/>
  <c r="C50" i="8"/>
  <c r="CW25" i="8"/>
  <c r="N163" i="7"/>
  <c r="C92" i="8"/>
  <c r="CW7" i="8"/>
  <c r="M31" i="7"/>
  <c r="C116" i="8"/>
  <c r="C28" i="8"/>
  <c r="AO129" i="7"/>
  <c r="BE15" i="20"/>
  <c r="M245" i="7"/>
  <c r="C93" i="8"/>
  <c r="CB24" i="20"/>
  <c r="AP65" i="7"/>
  <c r="N227" i="7"/>
  <c r="C23" i="8"/>
  <c r="N208" i="7"/>
  <c r="N257" i="7"/>
  <c r="CC20" i="20"/>
  <c r="C52" i="8"/>
  <c r="M42" i="7"/>
  <c r="N181" i="7"/>
  <c r="AX14" i="20"/>
  <c r="M104" i="7"/>
  <c r="AP11" i="7"/>
  <c r="N88" i="7"/>
  <c r="AO16" i="7"/>
  <c r="M177" i="7"/>
  <c r="N250" i="7"/>
  <c r="CW16" i="8"/>
  <c r="N78" i="7"/>
  <c r="N83" i="7"/>
  <c r="N103" i="7"/>
  <c r="N82" i="7"/>
  <c r="M124" i="7"/>
  <c r="CC17" i="20"/>
  <c r="BW16" i="20"/>
  <c r="CB11" i="20"/>
  <c r="N60" i="7"/>
  <c r="AY28" i="20"/>
  <c r="AP225" i="7"/>
  <c r="M16" i="7"/>
  <c r="AY45" i="20"/>
  <c r="M100" i="7"/>
  <c r="N100" i="7"/>
  <c r="C88" i="8"/>
  <c r="M227" i="7"/>
  <c r="M259" i="7"/>
  <c r="M185" i="7"/>
  <c r="AX16" i="20"/>
  <c r="BQ31" i="20"/>
  <c r="CB19" i="20"/>
  <c r="AO225" i="7"/>
  <c r="AP6" i="7"/>
  <c r="BW33" i="20"/>
  <c r="M155" i="7"/>
  <c r="BK12" i="20"/>
  <c r="BJ28" i="20"/>
  <c r="AO130" i="7"/>
  <c r="BJ22" i="20"/>
  <c r="C37" i="8"/>
  <c r="CC11" i="8"/>
  <c r="C97" i="21"/>
  <c r="AO85" i="7"/>
  <c r="BP37" i="20"/>
  <c r="BP21" i="20"/>
  <c r="AP35" i="8"/>
  <c r="N149" i="7"/>
  <c r="M254" i="7"/>
  <c r="M257" i="7"/>
  <c r="CW19" i="8"/>
  <c r="AP94" i="8"/>
  <c r="CC39" i="8"/>
  <c r="N13" i="7"/>
  <c r="M109" i="7"/>
  <c r="M71" i="7"/>
  <c r="N125" i="7"/>
  <c r="C126" i="8"/>
  <c r="AX26" i="20"/>
  <c r="AP86" i="7"/>
  <c r="M140" i="7"/>
  <c r="AO216" i="7"/>
  <c r="M256" i="7"/>
  <c r="C118" i="8"/>
  <c r="M80" i="7"/>
  <c r="N233" i="7"/>
  <c r="BI45" i="8"/>
  <c r="AO73" i="7"/>
  <c r="C30" i="8"/>
  <c r="M190" i="7"/>
  <c r="N174" i="7"/>
  <c r="AO15" i="7"/>
  <c r="BJ7" i="20"/>
  <c r="V77" i="8"/>
  <c r="C80" i="8"/>
  <c r="CB10" i="20"/>
  <c r="M12" i="7"/>
  <c r="CC16" i="20"/>
  <c r="BP7" i="20"/>
  <c r="M215" i="7"/>
  <c r="CB18" i="20"/>
  <c r="N173" i="7"/>
  <c r="N84" i="7"/>
  <c r="AO133" i="7"/>
  <c r="N70" i="7"/>
  <c r="AO217" i="7"/>
  <c r="M78" i="7"/>
  <c r="AY7" i="20"/>
  <c r="M107" i="7"/>
  <c r="N42" i="7"/>
  <c r="CC5" i="8"/>
  <c r="M141" i="7"/>
  <c r="M159" i="7"/>
  <c r="AP84" i="7"/>
  <c r="CC10" i="20"/>
  <c r="N65" i="7"/>
  <c r="N30" i="7"/>
  <c r="C15" i="8"/>
  <c r="M65" i="7"/>
  <c r="BE20" i="20"/>
  <c r="AX47" i="20"/>
  <c r="N168" i="7"/>
  <c r="M139" i="7"/>
  <c r="N140" i="7"/>
  <c r="BP32" i="20"/>
  <c r="C89" i="8"/>
  <c r="BP10" i="20"/>
  <c r="N213" i="7"/>
  <c r="C93" i="21"/>
  <c r="N153" i="7"/>
  <c r="N221" i="7"/>
  <c r="C61" i="8"/>
  <c r="M191" i="7"/>
  <c r="BP14" i="20"/>
  <c r="N45" i="7"/>
  <c r="M232" i="7"/>
  <c r="C92" i="21"/>
  <c r="C91" i="8"/>
  <c r="M222" i="7"/>
  <c r="AP73" i="7"/>
  <c r="BE19" i="20"/>
  <c r="N161" i="7"/>
  <c r="M36" i="7"/>
  <c r="AY14" i="20"/>
  <c r="BK22" i="20"/>
  <c r="BI28" i="8"/>
  <c r="M143" i="7"/>
  <c r="M184" i="7"/>
  <c r="BW9" i="20"/>
  <c r="C7" i="8"/>
  <c r="C25" i="8"/>
  <c r="BD15" i="20"/>
  <c r="AX46" i="20"/>
  <c r="BV33" i="20"/>
  <c r="N184" i="7"/>
  <c r="CW24" i="8"/>
  <c r="BD11" i="20"/>
  <c r="M169" i="7"/>
  <c r="C91" i="21"/>
  <c r="CC22" i="20"/>
  <c r="N207" i="7"/>
  <c r="M163" i="7"/>
  <c r="BK6" i="20"/>
  <c r="AP128" i="8"/>
  <c r="M192" i="7"/>
  <c r="AO205" i="7"/>
  <c r="CC16" i="8"/>
  <c r="AO83" i="7"/>
  <c r="N115" i="7"/>
  <c r="CB31" i="20"/>
  <c r="CB12" i="20"/>
  <c r="C74" i="8"/>
  <c r="M93" i="7"/>
  <c r="BW20" i="20"/>
  <c r="CB9" i="20"/>
  <c r="BQ25" i="20"/>
  <c r="N26" i="7"/>
  <c r="M207" i="7"/>
  <c r="CB14" i="20"/>
  <c r="C7" i="21"/>
  <c r="C8" i="21"/>
  <c r="M94" i="7"/>
  <c r="M38" i="7"/>
  <c r="M83" i="7"/>
  <c r="AO18" i="7"/>
  <c r="BD8" i="20"/>
  <c r="AO19" i="7"/>
  <c r="M158" i="7"/>
  <c r="CC14" i="8"/>
  <c r="AO219" i="7"/>
  <c r="CW28" i="8"/>
  <c r="C94" i="8"/>
  <c r="AY8" i="20"/>
  <c r="M68" i="7"/>
  <c r="M39" i="7"/>
  <c r="BW18" i="20"/>
  <c r="CW17" i="8"/>
  <c r="AP7" i="7"/>
  <c r="BE8" i="20"/>
  <c r="M211" i="7"/>
  <c r="AY6" i="20"/>
  <c r="CB8" i="20"/>
  <c r="BQ13" i="20"/>
  <c r="CC41" i="8"/>
  <c r="M84" i="7"/>
  <c r="N229" i="7"/>
  <c r="BI64" i="8"/>
  <c r="BP15" i="20"/>
  <c r="M181" i="7"/>
  <c r="N12" i="7"/>
  <c r="BJ11" i="20"/>
  <c r="AP129" i="8"/>
  <c r="N215" i="7"/>
  <c r="M161" i="7"/>
  <c r="AO223" i="7"/>
  <c r="BW6" i="20"/>
  <c r="BP25" i="20"/>
  <c r="BD10" i="20"/>
  <c r="BV30" i="20"/>
  <c r="V82" i="8"/>
  <c r="N101" i="7"/>
  <c r="M144" i="7"/>
  <c r="M230" i="7"/>
  <c r="M229" i="7"/>
  <c r="AP59" i="7"/>
  <c r="V80" i="8"/>
  <c r="M32" i="7"/>
  <c r="CC15" i="20"/>
  <c r="AO13" i="7"/>
  <c r="BV28" i="20"/>
  <c r="N166" i="7"/>
  <c r="AP39" i="8"/>
  <c r="C60" i="8"/>
  <c r="BP28" i="20"/>
  <c r="C112" i="8"/>
  <c r="C98" i="8"/>
  <c r="C36" i="8"/>
  <c r="C98" i="21"/>
  <c r="N117" i="7"/>
  <c r="BI88" i="8"/>
  <c r="BQ37" i="20"/>
  <c r="N247" i="7"/>
  <c r="M75" i="7"/>
  <c r="BV14" i="20"/>
  <c r="M252" i="7"/>
  <c r="BK21" i="20"/>
  <c r="C17" i="21"/>
  <c r="C21" i="21"/>
  <c r="BE26" i="20"/>
  <c r="M110" i="7"/>
  <c r="N162" i="7"/>
  <c r="C108" i="8"/>
  <c r="M149" i="7"/>
  <c r="M240" i="7"/>
  <c r="AP129" i="7"/>
  <c r="M188" i="7"/>
  <c r="C90" i="21"/>
  <c r="N114" i="7"/>
  <c r="AP61" i="7"/>
  <c r="N180" i="7"/>
  <c r="CW35" i="8"/>
  <c r="C110" i="8"/>
  <c r="C47" i="8"/>
  <c r="AO203" i="7"/>
  <c r="C25" i="21"/>
  <c r="AO10" i="7"/>
  <c r="CC26" i="20"/>
  <c r="M103" i="7"/>
  <c r="CB26" i="20"/>
  <c r="N206" i="7"/>
  <c r="AP68" i="7"/>
  <c r="AY47" i="20"/>
  <c r="N148" i="7"/>
  <c r="N98" i="7"/>
  <c r="C6" i="8"/>
  <c r="BW23" i="20"/>
  <c r="AP198" i="7"/>
  <c r="M239" i="7"/>
  <c r="BQ22" i="20"/>
  <c r="AO201" i="7"/>
  <c r="AX10" i="20"/>
  <c r="C45" i="8"/>
  <c r="M176" i="7"/>
  <c r="AP64" i="7"/>
  <c r="BQ14" i="20"/>
  <c r="N172" i="7"/>
  <c r="CB16" i="20"/>
  <c r="N120" i="7"/>
  <c r="N154" i="7"/>
  <c r="BD23" i="20"/>
  <c r="N176" i="7"/>
  <c r="BD19" i="20"/>
  <c r="N134" i="7"/>
  <c r="BI69" i="8"/>
  <c r="BQ27" i="20"/>
  <c r="M113" i="7"/>
  <c r="BW17" i="20"/>
  <c r="BD18" i="20"/>
  <c r="M106" i="7"/>
  <c r="N228" i="7"/>
  <c r="BP24" i="20"/>
  <c r="CW33" i="8"/>
  <c r="M156" i="7"/>
  <c r="CW23" i="8"/>
  <c r="M154" i="7"/>
  <c r="BI63" i="8"/>
  <c r="M221" i="7"/>
  <c r="BV31" i="20"/>
  <c r="C27" i="21"/>
  <c r="C9" i="21"/>
  <c r="C24" i="21"/>
  <c r="C30" i="21"/>
  <c r="C31" i="21"/>
  <c r="C15" i="21"/>
  <c r="CC32" i="8"/>
  <c r="M69" i="7"/>
  <c r="CC9" i="8"/>
  <c r="M217" i="7"/>
  <c r="BV10" i="20"/>
  <c r="AX24" i="20"/>
  <c r="N116" i="7"/>
  <c r="BK28" i="20"/>
  <c r="C121" i="8"/>
  <c r="AP16" i="7"/>
  <c r="N248" i="7"/>
  <c r="CC7" i="8"/>
  <c r="AO63" i="7"/>
  <c r="CC12" i="20"/>
  <c r="CW34" i="8"/>
  <c r="BJ18" i="20"/>
  <c r="AP133" i="8"/>
  <c r="M25" i="7"/>
  <c r="N158" i="7"/>
  <c r="M64" i="7"/>
  <c r="N39" i="7"/>
  <c r="C5" i="8"/>
  <c r="N187" i="7"/>
  <c r="C16" i="21"/>
  <c r="AO11" i="7"/>
  <c r="BE14" i="20"/>
  <c r="BE6" i="20"/>
  <c r="C29" i="8"/>
  <c r="M147" i="7"/>
  <c r="CC37" i="8"/>
  <c r="M255" i="7"/>
  <c r="M115" i="7"/>
  <c r="BV13" i="20"/>
  <c r="M212" i="7"/>
  <c r="BQ11" i="20"/>
  <c r="N238" i="7"/>
  <c r="C124" i="8"/>
  <c r="AP219" i="7"/>
  <c r="BW14" i="20"/>
  <c r="CC6" i="8"/>
  <c r="BW31" i="20"/>
  <c r="M30" i="7"/>
  <c r="N185" i="7"/>
  <c r="M61" i="7"/>
  <c r="BJ26" i="20"/>
  <c r="BP9" i="20"/>
  <c r="CC4" i="8"/>
  <c r="CC15" i="8"/>
  <c r="N239" i="7"/>
  <c r="BQ7" i="20"/>
  <c r="N58" i="7"/>
  <c r="M27" i="7"/>
  <c r="BP13" i="20"/>
  <c r="N259" i="7"/>
  <c r="AY21" i="20"/>
  <c r="CC21" i="8"/>
  <c r="BV16" i="20"/>
  <c r="BW7" i="20"/>
  <c r="AP146" i="7"/>
  <c r="BJ13" i="20"/>
  <c r="N189" i="7"/>
  <c r="M86" i="7"/>
  <c r="AP56" i="7"/>
  <c r="CC33" i="8"/>
  <c r="AO6" i="7"/>
  <c r="M224" i="7"/>
  <c r="N249" i="7"/>
  <c r="AP67" i="7"/>
  <c r="AP18" i="7"/>
  <c r="AP55" i="7"/>
  <c r="CB25" i="20"/>
  <c r="CW12" i="8"/>
  <c r="BV34" i="20"/>
  <c r="AY25" i="20"/>
  <c r="AY27" i="20"/>
  <c r="C62" i="8"/>
  <c r="BP22" i="20"/>
  <c r="C95" i="21"/>
  <c r="AP36" i="8"/>
  <c r="C104" i="8"/>
  <c r="C12" i="21"/>
  <c r="C14" i="21"/>
  <c r="C53" i="8"/>
  <c r="CC29" i="8"/>
  <c r="CB7" i="20"/>
  <c r="CW26" i="8"/>
  <c r="C66" i="8"/>
  <c r="M33" i="7"/>
  <c r="AY48" i="20"/>
  <c r="N136" i="7"/>
  <c r="N79" i="7"/>
  <c r="CB32" i="20"/>
  <c r="AP40" i="8"/>
  <c r="BP31" i="20"/>
  <c r="N85" i="7"/>
  <c r="N246" i="7"/>
  <c r="M6" i="7"/>
  <c r="M105" i="7"/>
  <c r="N69" i="7"/>
  <c r="M168" i="7"/>
  <c r="BQ26" i="20"/>
  <c r="AX23" i="20"/>
  <c r="N32" i="7"/>
  <c r="AP134" i="7"/>
  <c r="AX8" i="20"/>
  <c r="AX17" i="20"/>
  <c r="BV32" i="20"/>
  <c r="CW10" i="8"/>
  <c r="CC25" i="20"/>
  <c r="CC34" i="8"/>
  <c r="M98" i="7"/>
  <c r="N241" i="7"/>
  <c r="C14" i="8"/>
  <c r="C4" i="8"/>
  <c r="M238" i="7"/>
  <c r="C24" i="8"/>
  <c r="M251" i="7"/>
  <c r="AO60" i="7"/>
  <c r="AP217" i="7"/>
  <c r="C11" i="21"/>
  <c r="C45" i="2"/>
  <c r="M13" i="7"/>
  <c r="BD17" i="20"/>
  <c r="M166" i="7"/>
  <c r="M40" i="7"/>
  <c r="C43" i="2" s="1"/>
  <c r="CC30" i="8"/>
  <c r="BK23" i="20"/>
  <c r="AP9" i="7"/>
  <c r="N74" i="7"/>
  <c r="N164" i="7"/>
  <c r="CC17" i="8"/>
  <c r="BQ33" i="20"/>
  <c r="BV20" i="20"/>
  <c r="M204" i="7"/>
  <c r="CC23" i="8"/>
  <c r="M85" i="7"/>
  <c r="N109" i="7"/>
  <c r="C23" i="21"/>
  <c r="C29" i="2"/>
  <c r="M134" i="7"/>
  <c r="BP18" i="20"/>
  <c r="AP102" i="8"/>
  <c r="CC9" i="20"/>
  <c r="C32" i="21"/>
  <c r="C35" i="2"/>
  <c r="C21" i="2"/>
  <c r="C35" i="21"/>
  <c r="C19" i="21"/>
  <c r="C26" i="21"/>
  <c r="C33" i="21"/>
  <c r="C18" i="21"/>
  <c r="C20" i="21"/>
  <c r="C29" i="21"/>
  <c r="C41" i="21"/>
  <c r="C22" i="21"/>
  <c r="C44" i="21"/>
  <c r="C28" i="21"/>
  <c r="C40" i="21"/>
  <c r="C13" i="21"/>
  <c r="C9" i="2"/>
  <c r="C8" i="2"/>
  <c r="C37" i="2"/>
  <c r="C39" i="2"/>
  <c r="C17" i="2"/>
  <c r="C30" i="2"/>
  <c r="C46" i="2"/>
  <c r="C36" i="2"/>
  <c r="C22" i="2"/>
  <c r="C16" i="2"/>
  <c r="C10" i="2"/>
  <c r="C19" i="2"/>
  <c r="C25" i="2"/>
  <c r="C38" i="2"/>
  <c r="C14" i="2"/>
  <c r="C31" i="2"/>
  <c r="C44" i="2"/>
  <c r="C24" i="2"/>
  <c r="C33" i="2"/>
  <c r="C28" i="2"/>
  <c r="C23" i="2"/>
  <c r="C13" i="2"/>
  <c r="C18" i="2"/>
  <c r="C27" i="2"/>
  <c r="C7" i="2"/>
  <c r="C32" i="2"/>
  <c r="C26" i="2"/>
  <c r="C12" i="2"/>
  <c r="C41" i="2"/>
  <c r="C47" i="2"/>
  <c r="C15" i="2"/>
  <c r="C40" i="2"/>
  <c r="C34" i="2"/>
  <c r="C20" i="2"/>
  <c r="C11" i="2"/>
  <c r="C42" i="2"/>
  <c r="C38" i="21"/>
  <c r="C45" i="21"/>
  <c r="C37" i="21"/>
  <c r="C34" i="21"/>
  <c r="C46" i="21"/>
  <c r="C36" i="21"/>
  <c r="C47" i="21"/>
  <c r="C42" i="21"/>
  <c r="C43" i="21"/>
  <c r="W21" i="8" l="1" a="1"/>
  <c r="W21" i="8" s="1"/>
  <c r="AV107" i="8" a="1"/>
  <c r="AV107" i="8" s="1"/>
  <c r="AQ107" i="8" a="1"/>
  <c r="AQ107" i="8" s="1"/>
  <c r="W54" i="8" a="1"/>
  <c r="W54" i="8" s="1"/>
  <c r="W52" i="8" a="1"/>
  <c r="W52" i="8" s="1"/>
  <c r="W19" i="8" a="1"/>
  <c r="W19" i="8" s="1"/>
  <c r="K99" i="21"/>
  <c r="R44" i="2" a="1"/>
  <c r="R44" i="2" s="1"/>
  <c r="R12" i="2" a="1"/>
  <c r="R12" i="2" s="1"/>
  <c r="K11" i="21"/>
  <c r="K26" i="21"/>
  <c r="G26" i="21"/>
  <c r="H26" i="21"/>
  <c r="I26" i="21"/>
  <c r="J26" i="21"/>
  <c r="F26" i="21"/>
  <c r="R13" i="2" a="1"/>
  <c r="R13" i="2" s="1"/>
  <c r="K44" i="21"/>
  <c r="K93" i="21"/>
  <c r="R35" i="2" a="1"/>
  <c r="R35" i="2" s="1"/>
  <c r="R11" i="2" a="1"/>
  <c r="R11" i="2" s="1"/>
  <c r="R21" i="2" a="1"/>
  <c r="R21" i="2" s="1"/>
  <c r="K22" i="21"/>
  <c r="H22" i="21"/>
  <c r="F22" i="21"/>
  <c r="J22" i="21"/>
  <c r="I22" i="21"/>
  <c r="G22" i="21"/>
  <c r="K90" i="21"/>
  <c r="R36" i="2" a="1"/>
  <c r="R36" i="2" s="1"/>
  <c r="R28" i="2" a="1"/>
  <c r="R28" i="2" s="1"/>
  <c r="R37" i="2" a="1"/>
  <c r="R37" i="2" s="1"/>
  <c r="K47" i="21"/>
  <c r="R27" i="2" a="1"/>
  <c r="R27" i="2" s="1"/>
  <c r="R23" i="2" a="1"/>
  <c r="R23" i="2" s="1"/>
  <c r="R22" i="2" a="1"/>
  <c r="R22" i="2" s="1"/>
  <c r="G25" i="21"/>
  <c r="J25" i="21"/>
  <c r="K25" i="21"/>
  <c r="F25" i="21"/>
  <c r="I25" i="21"/>
  <c r="H25" i="21"/>
  <c r="K40" i="21"/>
  <c r="K98" i="21"/>
  <c r="F29" i="21"/>
  <c r="J29" i="21"/>
  <c r="H29" i="21"/>
  <c r="I29" i="21"/>
  <c r="G29" i="21"/>
  <c r="K29" i="21"/>
  <c r="R8" i="2" a="1"/>
  <c r="R8" i="2" s="1"/>
  <c r="R33" i="2" a="1"/>
  <c r="R33" i="2" s="1"/>
  <c r="R30" i="2" a="1"/>
  <c r="R30" i="2" s="1"/>
  <c r="I14" i="21"/>
  <c r="G14" i="21"/>
  <c r="H14" i="21"/>
  <c r="K14" i="21"/>
  <c r="F14" i="21"/>
  <c r="J14" i="21"/>
  <c r="H28" i="21"/>
  <c r="J28" i="21"/>
  <c r="G28" i="21"/>
  <c r="F28" i="21"/>
  <c r="K28" i="21"/>
  <c r="I28" i="21"/>
  <c r="R17" i="2" a="1"/>
  <c r="R17" i="2" s="1"/>
  <c r="R43" i="2" a="1"/>
  <c r="R43" i="2" s="1"/>
  <c r="H33" i="21"/>
  <c r="G33" i="21"/>
  <c r="K33" i="21"/>
  <c r="I33" i="21"/>
  <c r="F33" i="21"/>
  <c r="J33" i="21"/>
  <c r="R10" i="2" a="1"/>
  <c r="R10" i="2" s="1"/>
  <c r="R18" i="2" a="1"/>
  <c r="R18" i="2" s="1"/>
  <c r="I13" i="21"/>
  <c r="H13" i="21"/>
  <c r="J13" i="21"/>
  <c r="G13" i="21"/>
  <c r="K13" i="21"/>
  <c r="F13" i="21"/>
  <c r="R46" i="2" a="1"/>
  <c r="R46" i="2" s="1"/>
  <c r="K43" i="21"/>
  <c r="K15" i="21"/>
  <c r="G15" i="21"/>
  <c r="H15" i="21"/>
  <c r="I15" i="21"/>
  <c r="J15" i="21"/>
  <c r="F15" i="21"/>
  <c r="K96" i="21"/>
  <c r="R20" i="2" a="1"/>
  <c r="R20" i="2" s="1"/>
  <c r="K31" i="21"/>
  <c r="G31" i="21"/>
  <c r="J31" i="21"/>
  <c r="F31" i="21"/>
  <c r="I31" i="21"/>
  <c r="H31" i="21"/>
  <c r="K89" i="21"/>
  <c r="R14" i="2" a="1"/>
  <c r="R14" i="2" s="1"/>
  <c r="R47" i="2" a="1"/>
  <c r="R47" i="2" s="1"/>
  <c r="G21" i="21"/>
  <c r="I21" i="21"/>
  <c r="K21" i="21"/>
  <c r="J21" i="21"/>
  <c r="F21" i="21"/>
  <c r="H21" i="21"/>
  <c r="G19" i="21"/>
  <c r="H19" i="21"/>
  <c r="J19" i="21"/>
  <c r="I19" i="21"/>
  <c r="F19" i="21"/>
  <c r="K19" i="21"/>
  <c r="F17" i="21"/>
  <c r="J17" i="21"/>
  <c r="H17" i="21"/>
  <c r="I17" i="21"/>
  <c r="G17" i="21"/>
  <c r="K17" i="21"/>
  <c r="G16" i="21"/>
  <c r="J16" i="21"/>
  <c r="K16" i="21"/>
  <c r="F16" i="21"/>
  <c r="R26" i="2" a="1"/>
  <c r="R26" i="2" s="1"/>
  <c r="J24" i="21"/>
  <c r="H24" i="21"/>
  <c r="I24" i="21"/>
  <c r="K24" i="21"/>
  <c r="F24" i="21"/>
  <c r="G24" i="21"/>
  <c r="K94" i="21"/>
  <c r="R19" i="2" a="1"/>
  <c r="R19" i="2" s="1"/>
  <c r="K30" i="21"/>
  <c r="K95" i="21"/>
  <c r="G18" i="21"/>
  <c r="H18" i="21"/>
  <c r="I18" i="21"/>
  <c r="J18" i="21"/>
  <c r="F18" i="21"/>
  <c r="K18" i="21"/>
  <c r="R40" i="2" a="1"/>
  <c r="R40" i="2" s="1"/>
  <c r="R15" i="2" a="1"/>
  <c r="R15" i="2" s="1"/>
  <c r="J38" i="21"/>
  <c r="H38" i="21"/>
  <c r="I38" i="21"/>
  <c r="K38" i="21"/>
  <c r="F38" i="21"/>
  <c r="G38" i="21"/>
  <c r="R7" i="2" a="1"/>
  <c r="R7" i="2" s="1"/>
  <c r="K32" i="21"/>
  <c r="J32" i="21"/>
  <c r="I32" i="21"/>
  <c r="H32" i="21"/>
  <c r="G32" i="21"/>
  <c r="F32" i="21"/>
  <c r="R38" i="2" a="1"/>
  <c r="R38" i="2" s="1"/>
  <c r="R24" i="2" a="1"/>
  <c r="R24" i="2" s="1"/>
  <c r="G20" i="21"/>
  <c r="K20" i="21"/>
  <c r="J20" i="21"/>
  <c r="I20" i="21"/>
  <c r="H20" i="21"/>
  <c r="F20" i="21"/>
  <c r="R41" i="2" a="1"/>
  <c r="R41" i="2" s="1"/>
  <c r="K41" i="21"/>
  <c r="K42" i="21"/>
  <c r="R16" i="2" a="1"/>
  <c r="R16" i="2" s="1"/>
  <c r="K46" i="21"/>
  <c r="K97" i="21"/>
  <c r="R29" i="2" a="1"/>
  <c r="R29" i="2" s="1"/>
  <c r="R9" i="2" a="1"/>
  <c r="R9" i="2" s="1"/>
  <c r="K92" i="21"/>
  <c r="K23" i="21"/>
  <c r="R39" i="2" a="1"/>
  <c r="R39" i="2" s="1"/>
  <c r="R32" i="2" a="1"/>
  <c r="R32" i="2" s="1"/>
  <c r="K12" i="21"/>
  <c r="R34" i="2" a="1"/>
  <c r="R34" i="2" s="1"/>
  <c r="K45" i="21"/>
  <c r="I7" i="21"/>
  <c r="J7" i="21"/>
  <c r="G7" i="21"/>
  <c r="F7" i="21"/>
  <c r="K7" i="21"/>
  <c r="H7" i="21"/>
  <c r="I27" i="21"/>
  <c r="G27" i="21"/>
  <c r="J27" i="21"/>
  <c r="F27" i="21"/>
  <c r="H27" i="21"/>
  <c r="K27" i="21"/>
  <c r="R31" i="2" a="1"/>
  <c r="R31" i="2" s="1"/>
  <c r="R25" i="2" a="1"/>
  <c r="R25" i="2" s="1"/>
  <c r="G34" i="21"/>
  <c r="H34" i="21"/>
  <c r="F34" i="21"/>
  <c r="K34" i="21"/>
  <c r="J34" i="21"/>
  <c r="I34" i="21"/>
  <c r="K91" i="21"/>
  <c r="F36" i="21"/>
  <c r="J36" i="21"/>
  <c r="H36" i="21"/>
  <c r="I36" i="21"/>
  <c r="G36" i="21"/>
  <c r="K36" i="21"/>
  <c r="F35" i="21"/>
  <c r="K35" i="21"/>
  <c r="I35" i="21"/>
  <c r="J35" i="21"/>
  <c r="G35" i="21"/>
  <c r="H35" i="21"/>
  <c r="J8" i="21"/>
  <c r="H8" i="21"/>
  <c r="G8" i="21"/>
  <c r="F8" i="21"/>
  <c r="K8" i="21"/>
  <c r="I8" i="21"/>
  <c r="F9" i="21"/>
  <c r="I9" i="21"/>
  <c r="K9" i="21"/>
  <c r="J9" i="21"/>
  <c r="G9" i="21"/>
  <c r="H9" i="21"/>
  <c r="R42" i="2" a="1"/>
  <c r="R42" i="2" s="1"/>
  <c r="R45" i="2" a="1"/>
  <c r="R45" i="2" s="1"/>
  <c r="H37" i="21"/>
  <c r="G37" i="21"/>
  <c r="F37" i="21"/>
  <c r="K37" i="21"/>
  <c r="J37" i="21"/>
  <c r="I37" i="21"/>
  <c r="AQ216" i="7"/>
  <c r="AQ217" i="7" s="1"/>
  <c r="AQ218" i="7" s="1"/>
  <c r="AQ219" i="7" s="1"/>
  <c r="AQ220" i="7" s="1"/>
  <c r="AQ221" i="7" s="1"/>
  <c r="AQ222" i="7" s="1"/>
  <c r="AQ223" i="7" s="1"/>
  <c r="AQ224" i="7" s="1"/>
  <c r="AQ225" i="7" s="1"/>
  <c r="AQ6" i="7"/>
  <c r="AQ7" i="7" s="1"/>
  <c r="AQ8" i="7" s="1"/>
  <c r="AQ9" i="7" s="1"/>
  <c r="AQ10" i="7" s="1"/>
  <c r="AQ11" i="7" s="1"/>
  <c r="AQ12" i="7" s="1"/>
  <c r="AQ13" i="7" s="1"/>
  <c r="AQ14" i="7" s="1"/>
  <c r="AQ15" i="7" s="1"/>
  <c r="AQ16" i="7" s="1"/>
  <c r="AQ17" i="7" s="1"/>
  <c r="AQ18" i="7" s="1"/>
  <c r="AQ19" i="7" s="1"/>
  <c r="AQ271" i="7"/>
  <c r="AQ272" i="7" s="1"/>
  <c r="AQ273" i="7" s="1"/>
  <c r="AQ274" i="7" s="1"/>
  <c r="AQ109" i="7"/>
  <c r="AQ110" i="7" s="1"/>
  <c r="AQ111" i="7" s="1"/>
  <c r="AQ112" i="7" s="1"/>
  <c r="AQ113" i="7" s="1"/>
  <c r="AQ114" i="7" s="1"/>
  <c r="AQ115" i="7" s="1"/>
  <c r="AQ116" i="7" s="1"/>
  <c r="D26" i="17"/>
  <c r="AQ24" i="7"/>
  <c r="AQ25" i="7" s="1"/>
  <c r="AQ26" i="7" s="1"/>
  <c r="AQ27" i="7" s="1"/>
  <c r="AQ28" i="7" s="1"/>
  <c r="AQ82" i="7"/>
  <c r="AQ83" i="7" s="1"/>
  <c r="AQ84" i="7" s="1"/>
  <c r="AQ85" i="7" s="1"/>
  <c r="AQ86" i="7" s="1"/>
  <c r="AQ146" i="7"/>
  <c r="AQ198" i="7"/>
  <c r="AQ199" i="7" s="1"/>
  <c r="AQ200" i="7" s="1"/>
  <c r="AQ201" i="7" s="1"/>
  <c r="AQ202" i="7" s="1"/>
  <c r="AQ203" i="7" s="1"/>
  <c r="AQ204" i="7" s="1"/>
  <c r="AQ205" i="7" s="1"/>
  <c r="AQ129" i="7"/>
  <c r="AQ130" i="7" s="1"/>
  <c r="AQ131" i="7" s="1"/>
  <c r="AQ132" i="7" s="1"/>
  <c r="AQ133" i="7" s="1"/>
  <c r="AQ134" i="7" s="1"/>
  <c r="AQ135" i="7" s="1"/>
  <c r="AQ136" i="7" s="1"/>
  <c r="AQ137" i="7" s="1"/>
  <c r="AQ138" i="7" s="1"/>
  <c r="AQ31" i="7"/>
  <c r="AQ32" i="7" s="1"/>
  <c r="AQ33" i="7" s="1"/>
  <c r="AQ34" i="7" s="1"/>
  <c r="AQ35" i="7" s="1"/>
  <c r="AQ91" i="7"/>
  <c r="AQ92" i="7" s="1"/>
  <c r="AQ93" i="7" s="1"/>
  <c r="AQ94" i="7" s="1"/>
  <c r="AQ95" i="7" s="1"/>
  <c r="AQ96" i="7" s="1"/>
  <c r="AQ97" i="7" s="1"/>
  <c r="AQ98" i="7" s="1"/>
  <c r="AQ99" i="7" s="1"/>
  <c r="AQ100" i="7" s="1"/>
  <c r="AQ101" i="7" s="1"/>
  <c r="AQ102" i="7" s="1"/>
  <c r="AQ103" i="7" s="1"/>
  <c r="AQ55" i="7"/>
  <c r="AQ56" i="7" s="1"/>
  <c r="AQ57" i="7" s="1"/>
  <c r="AQ58" i="7" s="1"/>
  <c r="AQ59" i="7" s="1"/>
  <c r="AQ60" i="7" s="1"/>
  <c r="AQ61" i="7" s="1"/>
  <c r="AQ62" i="7" s="1"/>
  <c r="AQ63" i="7" s="1"/>
  <c r="AQ64" i="7" s="1"/>
  <c r="AQ65" i="7" s="1"/>
  <c r="AQ66" i="7" s="1"/>
  <c r="AQ67" i="7" s="1"/>
  <c r="AQ68" i="7" s="1"/>
  <c r="AQ69" i="7" s="1"/>
  <c r="AQ70" i="7" s="1"/>
  <c r="AQ71" i="7" s="1"/>
  <c r="AQ72" i="7" s="1"/>
  <c r="AQ73" i="7" s="1"/>
  <c r="AQ74" i="7" s="1"/>
  <c r="AQ75" i="7" s="1"/>
  <c r="AQ76" i="7" s="1"/>
  <c r="AQ77" i="7" s="1"/>
  <c r="CD4" i="8" a="1"/>
  <c r="CD4" i="8" s="1"/>
  <c r="CD28" i="8" a="1"/>
  <c r="CD28" i="8" s="1"/>
  <c r="BB34" i="22"/>
  <c r="D34" i="8" a="1"/>
  <c r="D34" i="8" s="1"/>
  <c r="D137" i="8" a="1"/>
  <c r="D137" i="8" s="1"/>
  <c r="D64" i="8" a="1"/>
  <c r="D64" i="8" s="1"/>
  <c r="BB10" i="22"/>
  <c r="CD14" i="8" a="1"/>
  <c r="CD14" i="8" s="1"/>
  <c r="BA34" i="22"/>
  <c r="BD34" i="22" s="1"/>
  <c r="D65" i="8" a="1"/>
  <c r="D65" i="8" s="1"/>
  <c r="CD37" i="8" a="1"/>
  <c r="CD37" i="8" s="1"/>
  <c r="D80" i="8" a="1"/>
  <c r="D80" i="8" s="1"/>
  <c r="D14" i="8" a="1"/>
  <c r="D14" i="8" s="1"/>
  <c r="D84" i="8" a="1"/>
  <c r="D84" i="8" s="1"/>
  <c r="CX23" i="8" a="1"/>
  <c r="CX23" i="8" s="1"/>
  <c r="D38" i="8" a="1"/>
  <c r="D38" i="8" s="1"/>
  <c r="BB36" i="22"/>
  <c r="D60" i="8" a="1"/>
  <c r="D60" i="8" s="1"/>
  <c r="CX29" i="8" a="1"/>
  <c r="CX29" i="8" s="1"/>
  <c r="D39" i="8" a="1"/>
  <c r="D39" i="8" s="1"/>
  <c r="CX17" i="8" a="1"/>
  <c r="CX17" i="8" s="1"/>
  <c r="CD25" i="8" a="1"/>
  <c r="CD25" i="8" s="1"/>
  <c r="BB29" i="22"/>
  <c r="CD36" i="8" a="1"/>
  <c r="CD36" i="8" s="1"/>
  <c r="D53" i="8" a="1"/>
  <c r="D53" i="8" s="1"/>
  <c r="D15" i="8" a="1"/>
  <c r="D15" i="8" s="1"/>
  <c r="D31" i="8" a="1"/>
  <c r="D31" i="8" s="1"/>
  <c r="D33" i="8" a="1"/>
  <c r="D33" i="8" s="1"/>
  <c r="D110" i="8" a="1"/>
  <c r="D110" i="8" s="1"/>
  <c r="D88" i="8" a="1"/>
  <c r="D88" i="8" s="1"/>
  <c r="D48" i="8" a="1"/>
  <c r="D48" i="8" s="1"/>
  <c r="CX12" i="8" a="1"/>
  <c r="CX12" i="8" s="1"/>
  <c r="CD17" i="8" a="1"/>
  <c r="CD17" i="8" s="1"/>
  <c r="D82" i="8" a="1"/>
  <c r="D82" i="8" s="1"/>
  <c r="CX9" i="8" a="1"/>
  <c r="CX9" i="8" s="1"/>
  <c r="D36" i="8" a="1"/>
  <c r="D36" i="8" s="1"/>
  <c r="D56" i="8" a="1"/>
  <c r="D56" i="8" s="1"/>
  <c r="BB19" i="22"/>
  <c r="D16" i="8" a="1"/>
  <c r="D16" i="8" s="1"/>
  <c r="CD6" i="8" a="1"/>
  <c r="CD6" i="8" s="1"/>
  <c r="D49" i="8" a="1"/>
  <c r="D49" i="8" s="1"/>
  <c r="D25" i="8" a="1"/>
  <c r="D25" i="8" s="1"/>
  <c r="D91" i="8" a="1"/>
  <c r="D91" i="8" s="1"/>
  <c r="CX18" i="8" a="1"/>
  <c r="CX18" i="8" s="1"/>
  <c r="CD21" i="8" a="1"/>
  <c r="CD21" i="8" s="1"/>
  <c r="BA10" i="22"/>
  <c r="BD10" i="22" s="1"/>
  <c r="BA32" i="22"/>
  <c r="BD32" i="22" s="1"/>
  <c r="CX28" i="8" a="1"/>
  <c r="CX28" i="8" s="1"/>
  <c r="BB41" i="22"/>
  <c r="BA15" i="22"/>
  <c r="BD15" i="22" s="1"/>
  <c r="D57" i="8" a="1"/>
  <c r="D57" i="8" s="1"/>
  <c r="CX34" i="8" a="1"/>
  <c r="CX34" i="8" s="1"/>
  <c r="BB32" i="22"/>
  <c r="D109" i="8" a="1"/>
  <c r="D109" i="8" s="1"/>
  <c r="D90" i="8" a="1"/>
  <c r="D90" i="8" s="1"/>
  <c r="CX37" i="8" a="1"/>
  <c r="CX37" i="8" s="1"/>
  <c r="D85" i="8" a="1"/>
  <c r="D85" i="8" s="1"/>
  <c r="BA20" i="22"/>
  <c r="BD20" i="22" s="1"/>
  <c r="D86" i="8" a="1"/>
  <c r="D86" i="8" s="1"/>
  <c r="CD5" i="8" a="1"/>
  <c r="CD5" i="8" s="1"/>
  <c r="D30" i="8" a="1"/>
  <c r="D30" i="8" s="1"/>
  <c r="D47" i="8" a="1"/>
  <c r="D47" i="8" s="1"/>
  <c r="CD11" i="8" a="1"/>
  <c r="CD11" i="8" s="1"/>
  <c r="D132" i="8" a="1"/>
  <c r="D132" i="8" s="1"/>
  <c r="D87" i="8" a="1"/>
  <c r="D87" i="8" s="1"/>
  <c r="BA41" i="22"/>
  <c r="BD41" i="22" s="1"/>
  <c r="D29" i="8" a="1"/>
  <c r="D29" i="8" s="1"/>
  <c r="CX27" i="8" a="1"/>
  <c r="CX27" i="8" s="1"/>
  <c r="CX20" i="8" a="1"/>
  <c r="CX20" i="8" s="1"/>
  <c r="BB15" i="22"/>
  <c r="D108" i="8" a="1"/>
  <c r="D108" i="8" s="1"/>
  <c r="CD29" i="8" a="1"/>
  <c r="CD29" i="8" s="1"/>
  <c r="CX6" i="8" a="1"/>
  <c r="CX6" i="8" s="1"/>
  <c r="CX24" i="8" a="1"/>
  <c r="CX24" i="8" s="1"/>
  <c r="CD19" i="8" a="1"/>
  <c r="CD19" i="8" s="1"/>
  <c r="CD9" i="8" a="1"/>
  <c r="CD9" i="8" s="1"/>
  <c r="D32" i="8" a="1"/>
  <c r="D32" i="8" s="1"/>
  <c r="BA19" i="22"/>
  <c r="BD19" i="22" s="1"/>
  <c r="BB33" i="22"/>
  <c r="CX10" i="8" a="1"/>
  <c r="CX10" i="8" s="1"/>
  <c r="CX30" i="8" a="1"/>
  <c r="CX30" i="8" s="1"/>
  <c r="CD23" i="8" a="1"/>
  <c r="CD23" i="8" s="1"/>
  <c r="BB20" i="22"/>
  <c r="CD27" i="8" a="1"/>
  <c r="CD27" i="8" s="1"/>
  <c r="CD20" i="8" a="1"/>
  <c r="CD20" i="8" s="1"/>
  <c r="D19" i="8" a="1"/>
  <c r="D19" i="8" s="1"/>
  <c r="D101" i="8" a="1"/>
  <c r="D101" i="8" s="1"/>
  <c r="D102" i="8" a="1"/>
  <c r="D102" i="8" s="1"/>
  <c r="CD24" i="8" a="1"/>
  <c r="CD24" i="8" s="1"/>
  <c r="D55" i="8" a="1"/>
  <c r="D55" i="8" s="1"/>
  <c r="CD10" i="8" a="1"/>
  <c r="CD10" i="8" s="1"/>
  <c r="D138" i="8" a="1"/>
  <c r="D138" i="8" s="1"/>
  <c r="D52" i="8" a="1"/>
  <c r="D52" i="8" s="1"/>
  <c r="D28" i="8" a="1"/>
  <c r="D28" i="8" s="1"/>
  <c r="CD30" i="8" a="1"/>
  <c r="CD30" i="8" s="1"/>
  <c r="CX38" i="8" a="1"/>
  <c r="CX38" i="8" s="1"/>
  <c r="D83" i="8" a="1"/>
  <c r="D83" i="8" s="1"/>
  <c r="D8" i="8" a="1"/>
  <c r="D8" i="8" s="1"/>
  <c r="CD18" i="8" a="1"/>
  <c r="CD18" i="8" s="1"/>
  <c r="BA36" i="22"/>
  <c r="BD36" i="22" s="1"/>
  <c r="D17" i="8" a="1"/>
  <c r="D17" i="8" s="1"/>
  <c r="CX25" i="8" a="1"/>
  <c r="CX25" i="8" s="1"/>
  <c r="D35" i="8" a="1"/>
  <c r="D35" i="8" s="1"/>
  <c r="D89" i="8" a="1"/>
  <c r="D89" i="8" s="1"/>
  <c r="D18" i="8" a="1"/>
  <c r="D18" i="8" s="1"/>
  <c r="CD26" i="8" a="1"/>
  <c r="CD26" i="8" s="1"/>
  <c r="CD13" i="8" a="1"/>
  <c r="CD13" i="8" s="1"/>
  <c r="BA16" i="22"/>
  <c r="BD16" i="22" s="1"/>
  <c r="D26" i="8" a="1"/>
  <c r="D26" i="8" s="1"/>
  <c r="CX11" i="8" a="1"/>
  <c r="CX11" i="8" s="1"/>
  <c r="CD8" i="8" a="1"/>
  <c r="CD8" i="8" s="1"/>
  <c r="D54" i="8" a="1"/>
  <c r="D54" i="8" s="1"/>
  <c r="CD38" i="8" a="1"/>
  <c r="CD38" i="8" s="1"/>
  <c r="D81" i="8" a="1"/>
  <c r="D81" i="8" s="1"/>
  <c r="D27" i="8" a="1"/>
  <c r="D27" i="8" s="1"/>
  <c r="D59" i="8" a="1"/>
  <c r="D59" i="8" s="1"/>
  <c r="BA33" i="22"/>
  <c r="BD33" i="22" s="1"/>
  <c r="CX19" i="8" a="1"/>
  <c r="CX19" i="8" s="1"/>
  <c r="CD12" i="8" a="1"/>
  <c r="CD12" i="8" s="1"/>
  <c r="BB16" i="22"/>
  <c r="CD22" i="8" a="1"/>
  <c r="CD22" i="8" s="1"/>
  <c r="BA29" i="22"/>
  <c r="BD29" i="22" s="1"/>
  <c r="CD7" i="8" a="1"/>
  <c r="CD7" i="8" s="1"/>
  <c r="I16" i="21"/>
  <c r="J94" i="21"/>
  <c r="J47" i="21"/>
  <c r="D103" i="8" a="1"/>
  <c r="D103" i="8" s="1"/>
  <c r="D13" i="8" a="1"/>
  <c r="D13" i="8" s="1"/>
  <c r="G46" i="21"/>
  <c r="H47" i="21"/>
  <c r="D130" i="8" a="1"/>
  <c r="D130" i="8" s="1"/>
  <c r="BB26" i="22"/>
  <c r="BE26" i="22" s="1"/>
  <c r="J99" i="21"/>
  <c r="D124" i="8" a="1"/>
  <c r="D124" i="8" s="1"/>
  <c r="D114" i="8" a="1"/>
  <c r="D114" i="8" s="1"/>
  <c r="F40" i="21"/>
  <c r="D63" i="8" a="1"/>
  <c r="D63" i="8" s="1"/>
  <c r="CX13" i="8" a="1"/>
  <c r="CX13" i="8" s="1"/>
  <c r="BJ6" i="10"/>
  <c r="BI6" i="10" s="1"/>
  <c r="G44" i="21"/>
  <c r="D94" i="8" a="1"/>
  <c r="D94" i="8" s="1"/>
  <c r="H93" i="21"/>
  <c r="F30" i="21"/>
  <c r="D96" i="21"/>
  <c r="L96" i="21" s="1"/>
  <c r="CX22" i="8" a="1"/>
  <c r="CX22" i="8" s="1"/>
  <c r="J42" i="21"/>
  <c r="D66" i="8" a="1"/>
  <c r="D66" i="8" s="1"/>
  <c r="D115" i="8" a="1"/>
  <c r="D115" i="8" s="1"/>
  <c r="J40" i="21"/>
  <c r="D131" i="8" a="1"/>
  <c r="D131" i="8" s="1"/>
  <c r="D9" i="8" a="1"/>
  <c r="D9" i="8" s="1"/>
  <c r="I12" i="21"/>
  <c r="D23" i="8" a="1"/>
  <c r="D23" i="8" s="1"/>
  <c r="F97" i="21"/>
  <c r="CX4" i="8" a="1"/>
  <c r="CX4" i="8" s="1"/>
  <c r="H98" i="21"/>
  <c r="D71" i="8" a="1"/>
  <c r="D71" i="8" s="1"/>
  <c r="I93" i="21"/>
  <c r="I45" i="21"/>
  <c r="H96" i="21"/>
  <c r="BJ9" i="10"/>
  <c r="BI9" i="10" s="1"/>
  <c r="CX14" i="8" a="1"/>
  <c r="CX14" i="8" s="1"/>
  <c r="D95" i="8" a="1"/>
  <c r="D95" i="8" s="1"/>
  <c r="D77" i="8" a="1"/>
  <c r="D77" i="8" s="1"/>
  <c r="G99" i="21"/>
  <c r="BA13" i="22"/>
  <c r="BD13" i="22" s="1"/>
  <c r="D68" i="8" a="1"/>
  <c r="D68" i="8" s="1"/>
  <c r="CD32" i="8" a="1"/>
  <c r="CD32" i="8" s="1"/>
  <c r="D112" i="8" a="1"/>
  <c r="D112" i="8" s="1"/>
  <c r="BB23" i="22"/>
  <c r="BE23" i="22" s="1"/>
  <c r="F93" i="21"/>
  <c r="F47" i="21"/>
  <c r="D50" i="8" a="1"/>
  <c r="D50" i="8" s="1"/>
  <c r="G94" i="21"/>
  <c r="D72" i="8" a="1"/>
  <c r="D72" i="8" s="1"/>
  <c r="BA22" i="22"/>
  <c r="BD22" i="22" s="1"/>
  <c r="D99" i="21"/>
  <c r="L99" i="21" s="1"/>
  <c r="D92" i="21"/>
  <c r="L92" i="21" s="1"/>
  <c r="G47" i="21"/>
  <c r="BA9" i="22"/>
  <c r="BD9" i="22" s="1"/>
  <c r="I97" i="21"/>
  <c r="BA30" i="22"/>
  <c r="BD30" i="22" s="1"/>
  <c r="I99" i="21"/>
  <c r="E96" i="21"/>
  <c r="D51" i="8" a="1"/>
  <c r="D51" i="8" s="1"/>
  <c r="BA24" i="22"/>
  <c r="BD24" i="22" s="1"/>
  <c r="G12" i="21"/>
  <c r="CD33" i="8" a="1"/>
  <c r="CD33" i="8" s="1"/>
  <c r="D104" i="8" a="1"/>
  <c r="D104" i="8" s="1"/>
  <c r="H92" i="21"/>
  <c r="CD16" i="8" a="1"/>
  <c r="CD16" i="8" s="1"/>
  <c r="BA25" i="22"/>
  <c r="BD25" i="22" s="1"/>
  <c r="G96" i="21"/>
  <c r="BA42" i="22"/>
  <c r="BD42" i="22" s="1"/>
  <c r="H41" i="21"/>
  <c r="D111" i="8" a="1"/>
  <c r="D111" i="8" s="1"/>
  <c r="G43" i="21"/>
  <c r="I11" i="21"/>
  <c r="CX31" i="8" a="1"/>
  <c r="CX31" i="8" s="1"/>
  <c r="BB18" i="22"/>
  <c r="BF18" i="22" s="1"/>
  <c r="J11" i="21"/>
  <c r="D5" i="8" a="1"/>
  <c r="D5" i="8" s="1"/>
  <c r="BB9" i="22"/>
  <c r="BF9" i="22" s="1"/>
  <c r="BA39" i="22"/>
  <c r="BD39" i="22" s="1"/>
  <c r="BB38" i="22"/>
  <c r="BE38" i="22" s="1"/>
  <c r="BA37" i="22"/>
  <c r="BD37" i="22" s="1"/>
  <c r="G40" i="21"/>
  <c r="I90" i="21"/>
  <c r="J95" i="21"/>
  <c r="BA14" i="22"/>
  <c r="BD14" i="22" s="1"/>
  <c r="BB43" i="22"/>
  <c r="BF43" i="22" s="1"/>
  <c r="CX32" i="8" a="1"/>
  <c r="CX32" i="8" s="1"/>
  <c r="D12" i="8" a="1"/>
  <c r="D12" i="8" s="1"/>
  <c r="J96" i="21"/>
  <c r="D24" i="8" a="1"/>
  <c r="D24" i="8" s="1"/>
  <c r="D96" i="8" a="1"/>
  <c r="D96" i="8" s="1"/>
  <c r="G91" i="21"/>
  <c r="D107" i="8" a="1"/>
  <c r="D107" i="8" s="1"/>
  <c r="CD41" i="8" a="1"/>
  <c r="CD41" i="8" s="1"/>
  <c r="E95" i="21"/>
  <c r="D10" i="8" a="1"/>
  <c r="D10" i="8" s="1"/>
  <c r="E91" i="21"/>
  <c r="D93" i="8" a="1"/>
  <c r="D93" i="8" s="1"/>
  <c r="I92" i="21"/>
  <c r="BA17" i="22"/>
  <c r="BD17" i="22" s="1"/>
  <c r="H30" i="21"/>
  <c r="H23" i="21"/>
  <c r="CX33" i="8" a="1"/>
  <c r="CX33" i="8" s="1"/>
  <c r="J89" i="21"/>
  <c r="D120" i="8" a="1"/>
  <c r="D120" i="8" s="1"/>
  <c r="H12" i="21"/>
  <c r="D123" i="8" a="1"/>
  <c r="D123" i="8" s="1"/>
  <c r="D44" i="8" a="1"/>
  <c r="D44" i="8" s="1"/>
  <c r="BB17" i="22"/>
  <c r="BE17" i="22" s="1"/>
  <c r="D69" i="8" a="1"/>
  <c r="D69" i="8" s="1"/>
  <c r="D98" i="21"/>
  <c r="L98" i="21" s="1"/>
  <c r="BA26" i="22"/>
  <c r="BD26" i="22" s="1"/>
  <c r="D21" i="8" a="1"/>
  <c r="D21" i="8" s="1"/>
  <c r="I40" i="21"/>
  <c r="E98" i="21"/>
  <c r="F95" i="21"/>
  <c r="D70" i="8" a="1"/>
  <c r="D70" i="8" s="1"/>
  <c r="BJ5" i="10"/>
  <c r="BI5" i="10" s="1"/>
  <c r="D89" i="21"/>
  <c r="L89" i="21" s="1"/>
  <c r="D74" i="8" a="1"/>
  <c r="D74" i="8" s="1"/>
  <c r="BA18" i="22"/>
  <c r="BD18" i="22" s="1"/>
  <c r="G42" i="21"/>
  <c r="D136" i="8" a="1"/>
  <c r="D136" i="8" s="1"/>
  <c r="BB13" i="22"/>
  <c r="BF13" i="22" s="1"/>
  <c r="I30" i="21"/>
  <c r="BA7" i="22"/>
  <c r="BD7" i="22" s="1"/>
  <c r="CX36" i="8" a="1"/>
  <c r="CX36" i="8" s="1"/>
  <c r="CX7" i="8" a="1"/>
  <c r="CX7" i="8" s="1"/>
  <c r="D40" i="8" a="1"/>
  <c r="D40" i="8" s="1"/>
  <c r="BA23" i="22"/>
  <c r="BD23" i="22" s="1"/>
  <c r="BA35" i="22"/>
  <c r="BD35" i="22" s="1"/>
  <c r="F12" i="21"/>
  <c r="F90" i="21"/>
  <c r="H11" i="21"/>
  <c r="BA27" i="22"/>
  <c r="BD27" i="22" s="1"/>
  <c r="D98" i="8" a="1"/>
  <c r="D98" i="8" s="1"/>
  <c r="G92" i="21"/>
  <c r="BA6" i="22"/>
  <c r="BD6" i="22" s="1"/>
  <c r="D7" i="8" a="1"/>
  <c r="D7" i="8" s="1"/>
  <c r="J46" i="21"/>
  <c r="D4" i="8" a="1"/>
  <c r="D4" i="8" s="1"/>
  <c r="BA43" i="22"/>
  <c r="BD43" i="22" s="1"/>
  <c r="I23" i="21"/>
  <c r="I95" i="21"/>
  <c r="BB37" i="22"/>
  <c r="BF37" i="22" s="1"/>
  <c r="D62" i="8" a="1"/>
  <c r="D62" i="8" s="1"/>
  <c r="J93" i="21"/>
  <c r="J90" i="21"/>
  <c r="D99" i="8" a="1"/>
  <c r="D99" i="8" s="1"/>
  <c r="BA38" i="22"/>
  <c r="BD38" i="22" s="1"/>
  <c r="J98" i="21"/>
  <c r="D122" i="8" a="1"/>
  <c r="D122" i="8" s="1"/>
  <c r="BA8" i="22"/>
  <c r="BD8" i="22" s="1"/>
  <c r="D100" i="8" a="1"/>
  <c r="D100" i="8" s="1"/>
  <c r="BB31" i="22"/>
  <c r="BF31" i="22" s="1"/>
  <c r="D58" i="8" a="1"/>
  <c r="D58" i="8" s="1"/>
  <c r="BB39" i="22"/>
  <c r="BF39" i="22" s="1"/>
  <c r="BA40" i="22"/>
  <c r="BD40" i="22" s="1"/>
  <c r="F45" i="21"/>
  <c r="J12" i="21"/>
  <c r="G89" i="21"/>
  <c r="D133" i="8" a="1"/>
  <c r="D133" i="8" s="1"/>
  <c r="I43" i="21"/>
  <c r="G95" i="21"/>
  <c r="BB25" i="22"/>
  <c r="BF25" i="22" s="1"/>
  <c r="D79" i="8" a="1"/>
  <c r="D79" i="8" s="1"/>
  <c r="E89" i="21"/>
  <c r="F92" i="21"/>
  <c r="D117" i="8" a="1"/>
  <c r="D117" i="8" s="1"/>
  <c r="D126" i="8" a="1"/>
  <c r="D126" i="8" s="1"/>
  <c r="F41" i="21"/>
  <c r="F94" i="21"/>
  <c r="CX5" i="8" a="1"/>
  <c r="CX5" i="8" s="1"/>
  <c r="G23" i="21"/>
  <c r="BA21" i="22"/>
  <c r="BD21" i="22" s="1"/>
  <c r="CD39" i="8" a="1"/>
  <c r="CD39" i="8" s="1"/>
  <c r="CD31" i="8" a="1"/>
  <c r="CD31" i="8" s="1"/>
  <c r="D78" i="8" a="1"/>
  <c r="D78" i="8" s="1"/>
  <c r="H97" i="21"/>
  <c r="H94" i="21"/>
  <c r="D37" i="8" a="1"/>
  <c r="D37" i="8" s="1"/>
  <c r="E99" i="21"/>
  <c r="D90" i="21"/>
  <c r="L90" i="21" s="1"/>
  <c r="BB8" i="22"/>
  <c r="BE8" i="22" s="1"/>
  <c r="J97" i="21"/>
  <c r="BB22" i="22"/>
  <c r="BE22" i="22" s="1"/>
  <c r="H42" i="21"/>
  <c r="D105" i="8" a="1"/>
  <c r="D105" i="8" s="1"/>
  <c r="D119" i="8" a="1"/>
  <c r="D119" i="8" s="1"/>
  <c r="J23" i="21"/>
  <c r="CX8" i="8" a="1"/>
  <c r="CX8" i="8" s="1"/>
  <c r="E92" i="21"/>
  <c r="J43" i="21"/>
  <c r="H90" i="21"/>
  <c r="BB42" i="22"/>
  <c r="BF42" i="22" s="1"/>
  <c r="D22" i="8" a="1"/>
  <c r="D22" i="8" s="1"/>
  <c r="G41" i="21"/>
  <c r="CD15" i="8" a="1"/>
  <c r="CD15" i="8" s="1"/>
  <c r="D92" i="8" a="1"/>
  <c r="D92" i="8" s="1"/>
  <c r="F42" i="21"/>
  <c r="BJ10" i="10"/>
  <c r="BI10" i="10" s="1"/>
  <c r="H44" i="21"/>
  <c r="G90" i="21"/>
  <c r="D113" i="8" a="1"/>
  <c r="D113" i="8" s="1"/>
  <c r="H99" i="21"/>
  <c r="D121" i="8" a="1"/>
  <c r="D121" i="8" s="1"/>
  <c r="D41" i="8" a="1"/>
  <c r="D41" i="8" s="1"/>
  <c r="J92" i="21"/>
  <c r="D106" i="8" a="1"/>
  <c r="D106" i="8" s="1"/>
  <c r="F44" i="21"/>
  <c r="I91" i="21"/>
  <c r="D94" i="21"/>
  <c r="L94" i="21" s="1"/>
  <c r="D20" i="8" a="1"/>
  <c r="D20" i="8" s="1"/>
  <c r="D73" i="8" a="1"/>
  <c r="D73" i="8" s="1"/>
  <c r="D134" i="8" a="1"/>
  <c r="D134" i="8" s="1"/>
  <c r="F99" i="21"/>
  <c r="E94" i="21"/>
  <c r="BB28" i="22"/>
  <c r="BF28" i="22" s="1"/>
  <c r="D6" i="8" a="1"/>
  <c r="D6" i="8" s="1"/>
  <c r="BB30" i="22"/>
  <c r="BE30" i="22" s="1"/>
  <c r="G11" i="21"/>
  <c r="F11" i="21"/>
  <c r="H45" i="21"/>
  <c r="F89" i="21"/>
  <c r="D129" i="8" a="1"/>
  <c r="D129" i="8" s="1"/>
  <c r="J91" i="21"/>
  <c r="D97" i="8" a="1"/>
  <c r="D97" i="8" s="1"/>
  <c r="D75" i="8" a="1"/>
  <c r="D75" i="8" s="1"/>
  <c r="D61" i="8" a="1"/>
  <c r="D61" i="8" s="1"/>
  <c r="J45" i="21"/>
  <c r="F98" i="21"/>
  <c r="BJ8" i="10"/>
  <c r="BI8" i="10" s="1"/>
  <c r="I98" i="21"/>
  <c r="CX35" i="8" a="1"/>
  <c r="CX35" i="8" s="1"/>
  <c r="F23" i="21"/>
  <c r="J30" i="21"/>
  <c r="H46" i="21"/>
  <c r="G97" i="21"/>
  <c r="BB24" i="22"/>
  <c r="BF24" i="22" s="1"/>
  <c r="H43" i="21"/>
  <c r="I96" i="21"/>
  <c r="D116" i="8" a="1"/>
  <c r="D116" i="8" s="1"/>
  <c r="H40" i="21"/>
  <c r="BJ3" i="10"/>
  <c r="BI3" i="10" s="1"/>
  <c r="F96" i="21"/>
  <c r="I46" i="21"/>
  <c r="D11" i="8" a="1"/>
  <c r="D11" i="8" s="1"/>
  <c r="BA28" i="22"/>
  <c r="BD28" i="22" s="1"/>
  <c r="F46" i="21"/>
  <c r="I41" i="21"/>
  <c r="BB40" i="22"/>
  <c r="BE40" i="22" s="1"/>
  <c r="D91" i="21"/>
  <c r="L91" i="21" s="1"/>
  <c r="D76" i="8" a="1"/>
  <c r="D76" i="8" s="1"/>
  <c r="D45" i="8" a="1"/>
  <c r="D45" i="8" s="1"/>
  <c r="D135" i="8" a="1"/>
  <c r="D135" i="8" s="1"/>
  <c r="F91" i="21"/>
  <c r="I44" i="21"/>
  <c r="D128" i="8" a="1"/>
  <c r="D128" i="8" s="1"/>
  <c r="D43" i="8" a="1"/>
  <c r="D43" i="8" s="1"/>
  <c r="CX26" i="8" a="1"/>
  <c r="CX26" i="8" s="1"/>
  <c r="H95" i="21"/>
  <c r="D67" i="8" a="1"/>
  <c r="D67" i="8" s="1"/>
  <c r="D127" i="8" a="1"/>
  <c r="D127" i="8" s="1"/>
  <c r="BB7" i="22"/>
  <c r="BE7" i="22" s="1"/>
  <c r="G98" i="21"/>
  <c r="CX21" i="8" a="1"/>
  <c r="CX21" i="8" s="1"/>
  <c r="BB21" i="22"/>
  <c r="BE21" i="22" s="1"/>
  <c r="D93" i="21"/>
  <c r="L93" i="21" s="1"/>
  <c r="BJ7" i="10"/>
  <c r="BI7" i="10" s="1"/>
  <c r="G45" i="21"/>
  <c r="D95" i="21"/>
  <c r="L95" i="21" s="1"/>
  <c r="F43" i="21"/>
  <c r="I42" i="21"/>
  <c r="J44" i="21"/>
  <c r="A4" i="2"/>
  <c r="G30" i="21"/>
  <c r="D118" i="8" a="1"/>
  <c r="D118" i="8" s="1"/>
  <c r="BB14" i="22"/>
  <c r="BF14" i="22" s="1"/>
  <c r="I89" i="21"/>
  <c r="H89" i="21"/>
  <c r="D42" i="8" a="1"/>
  <c r="D42" i="8" s="1"/>
  <c r="J41" i="21"/>
  <c r="CD34" i="8" a="1"/>
  <c r="CD34" i="8" s="1"/>
  <c r="CD35" i="8" a="1"/>
  <c r="CD35" i="8" s="1"/>
  <c r="BJ4" i="10"/>
  <c r="BI4" i="10" s="1"/>
  <c r="BB27" i="22"/>
  <c r="BE27" i="22" s="1"/>
  <c r="CD40" i="8" a="1"/>
  <c r="CD40" i="8" s="1"/>
  <c r="I47" i="21"/>
  <c r="G93" i="21"/>
  <c r="E97" i="21"/>
  <c r="BA31" i="22"/>
  <c r="BD31" i="22" s="1"/>
  <c r="D46" i="8" a="1"/>
  <c r="D46" i="8" s="1"/>
  <c r="BB6" i="22"/>
  <c r="BE6" i="22" s="1"/>
  <c r="CX16" i="8" a="1"/>
  <c r="CX16" i="8" s="1"/>
  <c r="BB35" i="22"/>
  <c r="BF35" i="22" s="1"/>
  <c r="BJ2" i="10"/>
  <c r="BI2" i="10" s="1"/>
  <c r="I94" i="21"/>
  <c r="D125" i="8" a="1"/>
  <c r="D125" i="8" s="1"/>
  <c r="CX15" i="8" a="1"/>
  <c r="CX15" i="8" s="1"/>
  <c r="E90" i="21"/>
  <c r="H91" i="21"/>
  <c r="E93" i="21"/>
  <c r="D97" i="21"/>
  <c r="L97" i="21" s="1"/>
  <c r="AA22" i="4"/>
  <c r="AA15" i="4"/>
  <c r="AA17" i="4"/>
  <c r="AA19" i="4"/>
  <c r="AA11" i="4"/>
  <c r="AA12" i="4"/>
  <c r="AA7" i="4"/>
  <c r="AA16" i="4"/>
  <c r="AA18" i="4"/>
  <c r="AA6" i="4"/>
  <c r="AA23" i="4"/>
  <c r="AA21" i="4"/>
  <c r="AA10" i="4"/>
  <c r="AA13" i="4"/>
  <c r="AA8" i="4"/>
  <c r="AA5" i="4"/>
  <c r="AA20" i="4"/>
  <c r="AA9" i="4"/>
  <c r="L2" i="2"/>
  <c r="J2" i="2" s="1"/>
  <c r="AA14" i="4"/>
  <c r="AA4" i="4"/>
  <c r="H16" i="21"/>
  <c r="W74" i="8" a="1"/>
  <c r="W74" i="8" s="1"/>
  <c r="AQ106" i="8" a="1"/>
  <c r="AQ106" i="8" s="1"/>
  <c r="D24" i="2"/>
  <c r="D27" i="2"/>
  <c r="E8" i="2"/>
  <c r="D39" i="2"/>
  <c r="F30" i="2"/>
  <c r="F23" i="2"/>
  <c r="G14" i="2"/>
  <c r="G34" i="2"/>
  <c r="G11" i="2"/>
  <c r="D26" i="2"/>
  <c r="F41" i="2"/>
  <c r="E10" i="2"/>
  <c r="G25" i="2"/>
  <c r="F13" i="2"/>
  <c r="E9" i="2"/>
  <c r="G21" i="2"/>
  <c r="E28" i="2"/>
  <c r="G42" i="2"/>
  <c r="F43" i="2"/>
  <c r="E44" i="2"/>
  <c r="D46" i="2"/>
  <c r="M16" i="2"/>
  <c r="V41" i="2"/>
  <c r="M28" i="2"/>
  <c r="V7" i="2"/>
  <c r="V44" i="2"/>
  <c r="C39" i="21"/>
  <c r="M34" i="2"/>
  <c r="V27" i="2"/>
  <c r="M30" i="2"/>
  <c r="V18" i="2"/>
  <c r="E24" i="2"/>
  <c r="F8" i="2"/>
  <c r="G30" i="2"/>
  <c r="D14" i="2"/>
  <c r="D35" i="2"/>
  <c r="G41" i="2"/>
  <c r="E25" i="2"/>
  <c r="D9" i="2"/>
  <c r="F44" i="2"/>
  <c r="D47" i="2"/>
  <c r="M31" i="2"/>
  <c r="M15" i="2"/>
  <c r="M11" i="2"/>
  <c r="M8" i="2"/>
  <c r="V19" i="2"/>
  <c r="E34" i="2"/>
  <c r="F18" i="2"/>
  <c r="G37" i="2"/>
  <c r="D28" i="2"/>
  <c r="F7" i="2"/>
  <c r="V26" i="2"/>
  <c r="M24" i="2"/>
  <c r="F14" i="2"/>
  <c r="D10" i="2"/>
  <c r="G32" i="2"/>
  <c r="M25" i="2"/>
  <c r="M41" i="2"/>
  <c r="D40" i="2"/>
  <c r="G20" i="2"/>
  <c r="E27" i="2"/>
  <c r="E39" i="2"/>
  <c r="G23" i="2"/>
  <c r="G15" i="2"/>
  <c r="E26" i="2"/>
  <c r="F10" i="2"/>
  <c r="G13" i="2"/>
  <c r="G43" i="2"/>
  <c r="E46" i="2"/>
  <c r="M35" i="2"/>
  <c r="M46" i="2"/>
  <c r="M32" i="2"/>
  <c r="V30" i="2"/>
  <c r="M43" i="2"/>
  <c r="E12" i="2"/>
  <c r="M27" i="2"/>
  <c r="G39" i="2"/>
  <c r="F11" i="2"/>
  <c r="D33" i="2"/>
  <c r="E13" i="2"/>
  <c r="F42" i="2"/>
  <c r="V8" i="2"/>
  <c r="M10" i="2"/>
  <c r="D29" i="2"/>
  <c r="G36" i="2"/>
  <c r="E40" i="2"/>
  <c r="F20" i="2"/>
  <c r="F24" i="2"/>
  <c r="F27" i="2"/>
  <c r="G8" i="2"/>
  <c r="F39" i="2"/>
  <c r="D30" i="2"/>
  <c r="D31" i="2"/>
  <c r="E22" i="2"/>
  <c r="D15" i="2"/>
  <c r="E35" i="2"/>
  <c r="F26" i="2"/>
  <c r="E41" i="2"/>
  <c r="G10" i="2"/>
  <c r="D25" i="2"/>
  <c r="G44" i="2"/>
  <c r="F46" i="2"/>
  <c r="E47" i="2"/>
  <c r="D45" i="2"/>
  <c r="M7" i="2"/>
  <c r="V22" i="2"/>
  <c r="V31" i="2"/>
  <c r="V20" i="2"/>
  <c r="V23" i="2"/>
  <c r="V14" i="2"/>
  <c r="M20" i="2"/>
  <c r="V36" i="2"/>
  <c r="C10" i="21"/>
  <c r="M9" i="2"/>
  <c r="F32" i="2"/>
  <c r="V39" i="2"/>
  <c r="F28" i="2"/>
  <c r="M42" i="2"/>
  <c r="D37" i="2"/>
  <c r="F17" i="2"/>
  <c r="E29" i="2"/>
  <c r="F36" i="2"/>
  <c r="F40" i="2"/>
  <c r="D20" i="2"/>
  <c r="G24" i="2"/>
  <c r="G27" i="2"/>
  <c r="D16" i="2"/>
  <c r="D19" i="2"/>
  <c r="E38" i="2"/>
  <c r="E31" i="2"/>
  <c r="F22" i="2"/>
  <c r="E15" i="2"/>
  <c r="F35" i="2"/>
  <c r="G26" i="2"/>
  <c r="D41" i="2"/>
  <c r="G46" i="2"/>
  <c r="F47" i="2"/>
  <c r="E45" i="2"/>
  <c r="V42" i="2"/>
  <c r="V46" i="2"/>
  <c r="M19" i="2"/>
  <c r="V9" i="2"/>
  <c r="V35" i="2"/>
  <c r="V15" i="2"/>
  <c r="V43" i="2"/>
  <c r="M14" i="2"/>
  <c r="M47" i="2"/>
  <c r="M33" i="2"/>
  <c r="V40" i="2"/>
  <c r="V38" i="2"/>
  <c r="V13" i="2"/>
  <c r="V21" i="2"/>
  <c r="V12" i="2"/>
  <c r="E11" i="2"/>
  <c r="F9" i="2"/>
  <c r="D38" i="2"/>
  <c r="D43" i="2"/>
  <c r="V10" i="2"/>
  <c r="V16" i="2"/>
  <c r="E30" i="2"/>
  <c r="G9" i="2"/>
  <c r="D44" i="2"/>
  <c r="M44" i="2"/>
  <c r="D18" i="2"/>
  <c r="F33" i="2"/>
  <c r="E37" i="2"/>
  <c r="G17" i="2"/>
  <c r="F29" i="2"/>
  <c r="D36" i="2"/>
  <c r="G40" i="2"/>
  <c r="E20" i="2"/>
  <c r="D32" i="2"/>
  <c r="G12" i="2"/>
  <c r="E16" i="2"/>
  <c r="E19" i="2"/>
  <c r="F38" i="2"/>
  <c r="F31" i="2"/>
  <c r="G22" i="2"/>
  <c r="F15" i="2"/>
  <c r="G35" i="2"/>
  <c r="G47" i="2"/>
  <c r="F45" i="2"/>
  <c r="D7" i="2"/>
  <c r="V29" i="2"/>
  <c r="V32" i="2"/>
  <c r="V11" i="2"/>
  <c r="V47" i="2"/>
  <c r="M22" i="2"/>
  <c r="V33" i="2"/>
  <c r="V28" i="2"/>
  <c r="D23" i="2"/>
  <c r="E33" i="2"/>
  <c r="E17" i="2"/>
  <c r="E21" i="2"/>
  <c r="G19" i="2"/>
  <c r="V45" i="2"/>
  <c r="M17" i="2"/>
  <c r="M29" i="2"/>
  <c r="E23" i="2"/>
  <c r="G7" i="2"/>
  <c r="M40" i="2"/>
  <c r="M26" i="2"/>
  <c r="D34" i="2"/>
  <c r="D11" i="2"/>
  <c r="E18" i="2"/>
  <c r="G33" i="2"/>
  <c r="F37" i="2"/>
  <c r="D17" i="2"/>
  <c r="G29" i="2"/>
  <c r="E36" i="2"/>
  <c r="D21" i="2"/>
  <c r="G28" i="2"/>
  <c r="E32" i="2"/>
  <c r="D12" i="2"/>
  <c r="F16" i="2"/>
  <c r="F19" i="2"/>
  <c r="G38" i="2"/>
  <c r="G31" i="2"/>
  <c r="D22" i="2"/>
  <c r="G45" i="2"/>
  <c r="E7" i="2"/>
  <c r="D42" i="2"/>
  <c r="V34" i="2"/>
  <c r="V25" i="2"/>
  <c r="M18" i="2"/>
  <c r="M21" i="2"/>
  <c r="V24" i="2"/>
  <c r="M38" i="2"/>
  <c r="M13" i="2"/>
  <c r="M23" i="2"/>
  <c r="M36" i="2"/>
  <c r="V17" i="2"/>
  <c r="M12" i="2"/>
  <c r="E14" i="2"/>
  <c r="D13" i="2"/>
  <c r="G16" i="2"/>
  <c r="E42" i="2"/>
  <c r="M37" i="2"/>
  <c r="M45" i="2"/>
  <c r="D8" i="2"/>
  <c r="F34" i="2"/>
  <c r="G18" i="2"/>
  <c r="F25" i="2"/>
  <c r="F21" i="2"/>
  <c r="E43" i="2"/>
  <c r="V37" i="2"/>
  <c r="M39" i="2"/>
  <c r="F12" i="2"/>
  <c r="K39" i="21" l="1"/>
  <c r="I39" i="21"/>
  <c r="H39" i="21"/>
  <c r="J39" i="21"/>
  <c r="G39" i="21"/>
  <c r="F39" i="21"/>
  <c r="F10" i="21"/>
  <c r="G10" i="21"/>
  <c r="H10" i="21"/>
  <c r="I10" i="21"/>
  <c r="K10" i="21"/>
  <c r="J10" i="21"/>
  <c r="E24" i="21"/>
  <c r="D10" i="21"/>
  <c r="L10" i="21" s="1"/>
  <c r="D7" i="21"/>
  <c r="L7" i="21" s="1"/>
  <c r="D14" i="21"/>
  <c r="L14" i="21" s="1"/>
  <c r="D11" i="21"/>
  <c r="L11" i="21" s="1"/>
  <c r="E38" i="21"/>
  <c r="E10" i="21"/>
  <c r="D19" i="21"/>
  <c r="L19" i="21" s="1"/>
  <c r="D22" i="21"/>
  <c r="L22" i="21" s="1"/>
  <c r="E9" i="21"/>
  <c r="D32" i="21"/>
  <c r="L32" i="21" s="1"/>
  <c r="E39" i="21"/>
  <c r="D36" i="21"/>
  <c r="L36" i="21" s="1"/>
  <c r="E7" i="21"/>
  <c r="E35" i="21"/>
  <c r="E43" i="21"/>
  <c r="E20" i="21"/>
  <c r="D16" i="21"/>
  <c r="L16" i="21" s="1"/>
  <c r="D42" i="21"/>
  <c r="L42" i="21" s="1"/>
  <c r="E40" i="21"/>
  <c r="D21" i="21"/>
  <c r="L21" i="21" s="1"/>
  <c r="E19" i="21"/>
  <c r="E37" i="21"/>
  <c r="D9" i="21"/>
  <c r="L9" i="21" s="1"/>
  <c r="E11" i="21"/>
  <c r="D31" i="21"/>
  <c r="L31" i="21" s="1"/>
  <c r="E25" i="21"/>
  <c r="E26" i="21"/>
  <c r="E14" i="21"/>
  <c r="D20" i="21"/>
  <c r="L20" i="21" s="1"/>
  <c r="E42" i="21"/>
  <c r="E17" i="21"/>
  <c r="E22" i="21"/>
  <c r="D37" i="21"/>
  <c r="L37" i="21" s="1"/>
  <c r="D30" i="21"/>
  <c r="L30" i="21" s="1"/>
  <c r="E46" i="21"/>
  <c r="E13" i="21"/>
  <c r="D41" i="21"/>
  <c r="L41" i="21" s="1"/>
  <c r="D25" i="21"/>
  <c r="L25" i="21" s="1"/>
  <c r="D26" i="21"/>
  <c r="L26" i="21" s="1"/>
  <c r="E16" i="21"/>
  <c r="E15" i="21"/>
  <c r="E32" i="21"/>
  <c r="E33" i="21"/>
  <c r="E45" i="21"/>
  <c r="D23" i="21"/>
  <c r="L23" i="21" s="1"/>
  <c r="E44" i="21"/>
  <c r="D13" i="21"/>
  <c r="L13" i="21" s="1"/>
  <c r="D8" i="21"/>
  <c r="L8" i="21" s="1"/>
  <c r="D47" i="21"/>
  <c r="L47" i="21" s="1"/>
  <c r="D17" i="21"/>
  <c r="L17" i="21" s="1"/>
  <c r="E21" i="21"/>
  <c r="E30" i="21"/>
  <c r="D39" i="21"/>
  <c r="L39" i="21" s="1"/>
  <c r="D33" i="21"/>
  <c r="L33" i="21" s="1"/>
  <c r="D12" i="21"/>
  <c r="L12" i="21" s="1"/>
  <c r="D46" i="21"/>
  <c r="L46" i="21" s="1"/>
  <c r="E41" i="21"/>
  <c r="D43" i="21"/>
  <c r="L43" i="21" s="1"/>
  <c r="D28" i="21"/>
  <c r="L28" i="21" s="1"/>
  <c r="D29" i="21"/>
  <c r="L29" i="21" s="1"/>
  <c r="E27" i="21"/>
  <c r="D15" i="21"/>
  <c r="L15" i="21" s="1"/>
  <c r="D45" i="21"/>
  <c r="L45" i="21" s="1"/>
  <c r="E23" i="21"/>
  <c r="E12" i="21"/>
  <c r="E34" i="21"/>
  <c r="D44" i="21"/>
  <c r="L44" i="21" s="1"/>
  <c r="E31" i="21"/>
  <c r="E18" i="21"/>
  <c r="E8" i="21"/>
  <c r="E29" i="21"/>
  <c r="D24" i="21"/>
  <c r="L24" i="21" s="1"/>
  <c r="D27" i="21"/>
  <c r="L27" i="21" s="1"/>
  <c r="E47" i="21"/>
  <c r="D40" i="21"/>
  <c r="L40" i="21" s="1"/>
  <c r="E36" i="21"/>
  <c r="D35" i="21"/>
  <c r="L35" i="21" s="1"/>
  <c r="D38" i="21"/>
  <c r="L38" i="21" s="1"/>
  <c r="D34" i="21"/>
  <c r="L34" i="21" s="1"/>
  <c r="D18" i="21"/>
  <c r="L18" i="21" s="1"/>
  <c r="E28" i="21"/>
  <c r="BF26" i="22"/>
  <c r="O27" i="2" a="1"/>
  <c r="O27" i="2" s="1"/>
  <c r="U45" i="2"/>
  <c r="U7" i="2"/>
  <c r="U11" i="2"/>
  <c r="U46" i="2"/>
  <c r="O40" i="2" a="1"/>
  <c r="O40" i="2" s="1"/>
  <c r="O45" i="2" a="1"/>
  <c r="O45" i="2" s="1"/>
  <c r="U34" i="2"/>
  <c r="U32" i="2"/>
  <c r="O9" i="2" a="1"/>
  <c r="O9" i="2" s="1"/>
  <c r="U16" i="2"/>
  <c r="O41" i="2" a="1"/>
  <c r="O41" i="2" s="1"/>
  <c r="U38" i="2"/>
  <c r="O7" i="2" a="1"/>
  <c r="O7" i="2" s="1"/>
  <c r="O15" i="2" a="1"/>
  <c r="O15" i="2" s="1"/>
  <c r="O17" i="2" a="1"/>
  <c r="O17" i="2" s="1"/>
  <c r="O35" i="2" a="1"/>
  <c r="O35" i="2" s="1"/>
  <c r="U13" i="2"/>
  <c r="U44" i="2"/>
  <c r="O42" i="2" a="1"/>
  <c r="O42" i="2" s="1"/>
  <c r="U31" i="2"/>
  <c r="O34" i="2" a="1"/>
  <c r="O34" i="2" s="1"/>
  <c r="O39" i="2" a="1"/>
  <c r="O39" i="2" s="1"/>
  <c r="U9" i="2"/>
  <c r="O46" i="2" a="1"/>
  <c r="O46" i="2" s="1"/>
  <c r="U30" i="2"/>
  <c r="O28" i="2" a="1"/>
  <c r="O28" i="2" s="1"/>
  <c r="O36" i="2" a="1"/>
  <c r="O36" i="2" s="1"/>
  <c r="O11" i="2" a="1"/>
  <c r="O11" i="2" s="1"/>
  <c r="U35" i="2"/>
  <c r="O44" i="2" a="1"/>
  <c r="O44" i="2" s="1"/>
  <c r="O25" i="2" a="1"/>
  <c r="O25" i="2" s="1"/>
  <c r="O32" i="2" a="1"/>
  <c r="O32" i="2" s="1"/>
  <c r="U39" i="2"/>
  <c r="U29" i="2"/>
  <c r="O18" i="2" a="1"/>
  <c r="O18" i="2" s="1"/>
  <c r="O10" i="2" a="1"/>
  <c r="O10" i="2" s="1"/>
  <c r="U43" i="2"/>
  <c r="U28" i="2"/>
  <c r="U36" i="2"/>
  <c r="O13" i="2" a="1"/>
  <c r="O13" i="2" s="1"/>
  <c r="O12" i="2" a="1"/>
  <c r="O12" i="2" s="1"/>
  <c r="O16" i="2" a="1"/>
  <c r="O16" i="2" s="1"/>
  <c r="O24" i="2" a="1"/>
  <c r="O24" i="2" s="1"/>
  <c r="O19" i="2" a="1"/>
  <c r="O19" i="2" s="1"/>
  <c r="U26" i="2"/>
  <c r="O20" i="2" a="1"/>
  <c r="O20" i="2" s="1"/>
  <c r="U10" i="2"/>
  <c r="U8" i="2"/>
  <c r="U21" i="2"/>
  <c r="U25" i="2"/>
  <c r="O31" i="2" a="1"/>
  <c r="O31" i="2" s="1"/>
  <c r="O29" i="2" a="1"/>
  <c r="O29" i="2" s="1"/>
  <c r="U41" i="2"/>
  <c r="U24" i="2"/>
  <c r="U47" i="2"/>
  <c r="U18" i="2"/>
  <c r="O43" i="2" a="1"/>
  <c r="O43" i="2" s="1"/>
  <c r="U17" i="2"/>
  <c r="U22" i="2"/>
  <c r="U23" i="2"/>
  <c r="O37" i="2" a="1"/>
  <c r="O37" i="2" s="1"/>
  <c r="U12" i="2"/>
  <c r="U19" i="2"/>
  <c r="O26" i="2" a="1"/>
  <c r="O26" i="2" s="1"/>
  <c r="O47" i="2" a="1"/>
  <c r="O47" i="2" s="1"/>
  <c r="O14" i="2" a="1"/>
  <c r="O14" i="2" s="1"/>
  <c r="U20" i="2"/>
  <c r="O30" i="2" a="1"/>
  <c r="O30" i="2" s="1"/>
  <c r="O33" i="2" a="1"/>
  <c r="O33" i="2" s="1"/>
  <c r="O8" i="2" a="1"/>
  <c r="O8" i="2" s="1"/>
  <c r="O23" i="2" a="1"/>
  <c r="O23" i="2" s="1"/>
  <c r="U27" i="2"/>
  <c r="U37" i="2"/>
  <c r="O21" i="2" a="1"/>
  <c r="O21" i="2" s="1"/>
  <c r="U42" i="2"/>
  <c r="O38" i="2" a="1"/>
  <c r="O38" i="2" s="1"/>
  <c r="U15" i="2"/>
  <c r="U40" i="2"/>
  <c r="U14" i="2"/>
  <c r="U33" i="2"/>
  <c r="O22" i="2" a="1"/>
  <c r="O22" i="2" s="1"/>
  <c r="BE43" i="22"/>
  <c r="BE39" i="22"/>
  <c r="BF22" i="22"/>
  <c r="BF17" i="22"/>
  <c r="BE9" i="22"/>
  <c r="BE31" i="22"/>
  <c r="BF23" i="22"/>
  <c r="BE13" i="22"/>
  <c r="BF30" i="22"/>
  <c r="BF33" i="22"/>
  <c r="BE33" i="22"/>
  <c r="BE29" i="22"/>
  <c r="BF29" i="22"/>
  <c r="BE10" i="22"/>
  <c r="BF10" i="22"/>
  <c r="BE15" i="22"/>
  <c r="BF15" i="22"/>
  <c r="BE19" i="22"/>
  <c r="BF19" i="22"/>
  <c r="BE32" i="22"/>
  <c r="BF32" i="22"/>
  <c r="BE16" i="22"/>
  <c r="BF16" i="22"/>
  <c r="BF20" i="22"/>
  <c r="BE20" i="22"/>
  <c r="BE34" i="22"/>
  <c r="BF34" i="22"/>
  <c r="BE41" i="22"/>
  <c r="BF41" i="22"/>
  <c r="BE36" i="22"/>
  <c r="BF36" i="22"/>
  <c r="BE25" i="22"/>
  <c r="BF40" i="22"/>
  <c r="BE28" i="22"/>
  <c r="BF6" i="22"/>
  <c r="BF21" i="22"/>
  <c r="BE18" i="22"/>
  <c r="BE37" i="22"/>
  <c r="BF8" i="22"/>
  <c r="Z2" i="4"/>
  <c r="BE24" i="22"/>
  <c r="BF38" i="22"/>
  <c r="BE35" i="22"/>
  <c r="BE42" i="22"/>
  <c r="J3" i="21"/>
  <c r="BE14" i="22"/>
  <c r="BF7" i="22"/>
  <c r="BF27" i="22"/>
  <c r="N14" i="2"/>
  <c r="N21" i="2"/>
  <c r="N30" i="2"/>
  <c r="N47" i="2"/>
  <c r="N37" i="2"/>
  <c r="N15" i="2"/>
  <c r="N39" i="2"/>
  <c r="N38" i="2"/>
  <c r="N40" i="2"/>
  <c r="N31" i="2"/>
  <c r="N29" i="2"/>
  <c r="N22" i="2"/>
  <c r="N34" i="2"/>
  <c r="N12" i="2"/>
  <c r="N9" i="2"/>
  <c r="N10" i="2"/>
  <c r="N32" i="2"/>
  <c r="N36" i="2"/>
  <c r="N13" i="2"/>
  <c r="N45" i="2"/>
  <c r="N25" i="2"/>
  <c r="N19" i="2"/>
  <c r="N28" i="2"/>
  <c r="N18" i="2"/>
  <c r="N23" i="2"/>
  <c r="N24" i="2"/>
  <c r="N26" i="2"/>
  <c r="N35" i="2"/>
  <c r="N16" i="2"/>
  <c r="N33" i="2"/>
  <c r="N43" i="2"/>
  <c r="N17" i="2"/>
  <c r="N44" i="2"/>
  <c r="N7" i="2"/>
  <c r="N20" i="2"/>
  <c r="N27" i="2"/>
  <c r="N42" i="2"/>
  <c r="N41" i="2"/>
  <c r="N46" i="2"/>
  <c r="N11" i="2"/>
  <c r="N8" i="2"/>
  <c r="O5"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 Luis Jurado Almaraz</author>
  </authors>
  <commentList>
    <comment ref="B6" authorId="0" shapeId="0" xr:uid="{2189C69E-D6F8-442D-A97E-52EB97BC6688}">
      <text>
        <r>
          <rPr>
            <b/>
            <sz val="9"/>
            <color indexed="81"/>
            <rFont val="Tahoma"/>
            <family val="2"/>
          </rPr>
          <t>Please note that the “Interview Date” is to be used when the letter is being sent on a different day from the date of the actual review.</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Ronald Isaac Cordero</author>
  </authors>
  <commentList>
    <comment ref="V157" authorId="0" shapeId="0" xr:uid="{5611B780-3D6B-47CF-923F-6B59C21ABF5F}">
      <text>
        <r>
          <rPr>
            <b/>
            <sz val="9"/>
            <color indexed="81"/>
            <rFont val="Tahoma"/>
            <family val="2"/>
          </rPr>
          <t>Ronald Isaac Cordero:</t>
        </r>
        <r>
          <rPr>
            <sz val="9"/>
            <color indexed="81"/>
            <rFont val="Tahoma"/>
            <family val="2"/>
          </rPr>
          <t xml:space="preserve">
doc required - training program
</t>
        </r>
      </text>
    </comment>
    <comment ref="V163" authorId="0" shapeId="0" xr:uid="{7DE143AE-370F-4DC5-9BDF-C00A38822F54}">
      <text>
        <r>
          <rPr>
            <b/>
            <sz val="9"/>
            <color indexed="81"/>
            <rFont val="Tahoma"/>
            <family val="2"/>
          </rPr>
          <t>Ronald Isaac Cordero:</t>
        </r>
        <r>
          <rPr>
            <sz val="9"/>
            <color indexed="81"/>
            <rFont val="Tahoma"/>
            <family val="2"/>
          </rPr>
          <t xml:space="preserve">
doc required
</t>
        </r>
      </text>
    </comment>
    <comment ref="V187" authorId="0" shapeId="0" xr:uid="{F2D18614-E847-4B4C-ABD7-CD0C617C1D16}">
      <text>
        <r>
          <rPr>
            <b/>
            <sz val="9"/>
            <color indexed="81"/>
            <rFont val="Tahoma"/>
            <family val="2"/>
          </rPr>
          <t>Ronald Isaac Cordero:</t>
        </r>
        <r>
          <rPr>
            <sz val="9"/>
            <color indexed="81"/>
            <rFont val="Tahoma"/>
            <family val="2"/>
          </rPr>
          <t xml:space="preserve">
P&amp;Ps
</t>
        </r>
      </text>
    </comment>
    <comment ref="V188" authorId="0" shapeId="0" xr:uid="{F7D1213F-B2D2-4AF7-A7E6-475F78A521D5}">
      <text>
        <r>
          <rPr>
            <b/>
            <sz val="9"/>
            <color indexed="81"/>
            <rFont val="Tahoma"/>
            <family val="2"/>
          </rPr>
          <t>Ronald Isaac Cordero:</t>
        </r>
        <r>
          <rPr>
            <sz val="9"/>
            <color indexed="81"/>
            <rFont val="Tahoma"/>
            <family val="2"/>
          </rPr>
          <t xml:space="preserve">
P&amp;Ps</t>
        </r>
      </text>
    </comment>
    <comment ref="V194" authorId="0" shapeId="0" xr:uid="{9D0892C2-A136-4CAD-A713-157B182D1969}">
      <text>
        <r>
          <rPr>
            <b/>
            <sz val="9"/>
            <color indexed="81"/>
            <rFont val="Tahoma"/>
            <family val="2"/>
          </rPr>
          <t>Ronald Isaac Cordero:</t>
        </r>
        <r>
          <rPr>
            <sz val="9"/>
            <color indexed="81"/>
            <rFont val="Tahoma"/>
            <family val="2"/>
          </rPr>
          <t xml:space="preserve">
ONLY FOR US, PHILLIPIENS AND WUPSIL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<sst xmlns="http://schemas.openxmlformats.org/spreadsheetml/2006/main" count="16025" uniqueCount="5290">
  <si>
    <t>Version:</t>
  </si>
  <si>
    <t>Select
Suggested Script Language</t>
  </si>
  <si>
    <t>English</t>
  </si>
  <si>
    <t>GAO CRT Site</t>
  </si>
  <si>
    <t>Feedback 2:</t>
  </si>
  <si>
    <t>joseluis.jurado@westernunion.com; Rafael.Guzman@wu.com; Daniel.FernandezVindas@westernunion.com; Rochelle.Valdez@westernunion.com</t>
  </si>
  <si>
    <t>joseluis.jurado@westernunion.com; Jefferson.Dixon@westernunion.com; Ronald.Cordero@wu.com</t>
  </si>
  <si>
    <t>Short Letter Date</t>
  </si>
  <si>
    <t>Input
Location ID/NAID</t>
  </si>
  <si>
    <t>Select
Questionnaire Type</t>
  </si>
  <si>
    <t>Select
Agent Country</t>
  </si>
  <si>
    <t>Select Letter Language</t>
  </si>
  <si>
    <t>Input
Sales Executive
(people to be CC´ed in the email)</t>
  </si>
  <si>
    <t>WUCO
Name</t>
  </si>
  <si>
    <t>WUCO
Position</t>
  </si>
  <si>
    <t>WUCO
Phone:</t>
  </si>
  <si>
    <t>WUCO
Email</t>
  </si>
  <si>
    <t>Master Agent Name</t>
  </si>
  <si>
    <t>Agent Name</t>
  </si>
  <si>
    <t>Network ID</t>
  </si>
  <si>
    <t>Agent ID</t>
  </si>
  <si>
    <t>Address 1</t>
  </si>
  <si>
    <t>Address 2</t>
  </si>
  <si>
    <t>City</t>
  </si>
  <si>
    <t>State</t>
  </si>
  <si>
    <t>Zip</t>
  </si>
  <si>
    <t>Country</t>
  </si>
  <si>
    <t>Agent Type</t>
  </si>
  <si>
    <t>Products</t>
  </si>
  <si>
    <t>Input
Compliance Officer or
Compliance Delegate name</t>
  </si>
  <si>
    <t>Input
Compliance Officer/Delegate
LETTER RECEPIENT EMAIL</t>
  </si>
  <si>
    <t>Letter date</t>
  </si>
  <si>
    <t>Due Date</t>
  </si>
  <si>
    <t>15 Business Days (CUBA)</t>
  </si>
  <si>
    <t>Interview Date</t>
  </si>
  <si>
    <t>joseluis.jurado@westernunion.com; Aniruddha.Pethe@wu.com</t>
  </si>
  <si>
    <t>Select Country Region
to reduce Agent Country list:</t>
  </si>
  <si>
    <t>Interview Date
(MM/DD/YYYY)</t>
  </si>
  <si>
    <t>SYNC CRT Share point here</t>
  </si>
  <si>
    <t>WUCO FAX:</t>
  </si>
  <si>
    <t>iWatch Case #</t>
  </si>
  <si>
    <t>Findings Found</t>
  </si>
  <si>
    <t xml:space="preserve"> </t>
  </si>
  <si>
    <t xml:space="preserve"> -- Select BO due date --</t>
  </si>
  <si>
    <t>Co/CD Name</t>
  </si>
  <si>
    <t>CO/CD Name
LETTER RECEPIENT EMAIL</t>
  </si>
  <si>
    <t>Sales Executive
(people to be CC´ed in the email)</t>
  </si>
  <si>
    <t>Column1</t>
  </si>
  <si>
    <t>iWatch Question #</t>
  </si>
  <si>
    <t>iWatch Question</t>
  </si>
  <si>
    <t>Did you receive/verify this document?
(Yes/No)</t>
  </si>
  <si>
    <t>DI - Date Range</t>
  </si>
  <si>
    <t>Location ID:</t>
  </si>
  <si>
    <t xml:space="preserve">Number of Findings: </t>
  </si>
  <si>
    <t>PDF</t>
  </si>
  <si>
    <t>Is there a due date?</t>
  </si>
  <si>
    <t>Count Response_Required</t>
  </si>
  <si>
    <t>Agent:</t>
  </si>
  <si>
    <t xml:space="preserve">Repeated Findings: </t>
  </si>
  <si>
    <t>Create outlook reminder?</t>
  </si>
  <si>
    <t>No</t>
  </si>
  <si>
    <t>Language:</t>
  </si>
  <si>
    <t>Select AAL version</t>
  </si>
  <si>
    <t>Due Date:</t>
  </si>
  <si>
    <t>Missing Fields</t>
  </si>
  <si>
    <t>Questionnaire Type:</t>
  </si>
  <si>
    <t>Compliance Officer/FLA:
Interviewee Email Address:</t>
  </si>
  <si>
    <t>GAO AAL v1.4_11-01-2022</t>
  </si>
  <si>
    <t>Order</t>
  </si>
  <si>
    <t>iWatch #</t>
  </si>
  <si>
    <t>iWatch Questions</t>
  </si>
  <si>
    <t>Section</t>
  </si>
  <si>
    <t>Suggested Script</t>
  </si>
  <si>
    <t>Guidance</t>
  </si>
  <si>
    <t>Answer</t>
  </si>
  <si>
    <t>Finding Type</t>
  </si>
  <si>
    <t>Finding</t>
  </si>
  <si>
    <t>Remediation</t>
  </si>
  <si>
    <t>Free Text</t>
  </si>
  <si>
    <t>Column2</t>
  </si>
  <si>
    <t>Select Finding Type</t>
  </si>
  <si>
    <t>Incomplete fields</t>
  </si>
  <si>
    <t>Highlight</t>
  </si>
  <si>
    <t>efral questions</t>
  </si>
  <si>
    <t>iWatch #2</t>
  </si>
  <si>
    <t>QNumber</t>
  </si>
  <si>
    <t>Attachments</t>
  </si>
  <si>
    <t>Category</t>
  </si>
  <si>
    <t>Findings</t>
  </si>
  <si>
    <t>Jose Jurado</t>
  </si>
  <si>
    <t>If the answer to the previous question is "Yes", provide previous case number and an explicit statement confirming that the WUCO reviewed the previous program review case and has verified that all findings were remediated.
If the answer to the previous question is "No", provide the previous case number and list of findings that were not cleared.</t>
  </si>
  <si>
    <t>Yes</t>
  </si>
  <si>
    <t>If the question is answered with a YES: The CO/CD is XXXXXXXXXX Store’s XXXXXXXXXX (Manager, Owner, etc) and oversees the AML/CTF and Anti-Fraud policies. The document examined by the WUCO is the customized version of the Western Union AML/CFT and Anti-Fraud P&amp;Ps.
If the question is answered with a NO: The CO/CD is XXXXXXXXXX Store’s XXXXXXXXXX (Manager, Owner, etc) and is in charge of the AML/CTF and Anti-Fraud policies; however, P&amp;Ps were not provided.</t>
  </si>
  <si>
    <t>If GS5.GQ1 is answered NO, GS5.GQ2 should be answered N/A.</t>
  </si>
  <si>
    <t>**Note: If the Agent only submits key pages (e.g., table of contents, Compliance Acknowledgement Page) from the Compliance Manual and the
Anti-Fraud P&amp;Ps, during the review, the WUCO should confirm the full document is available. Also, the WUCO must add a case comment
confirming the pages that were submitted, and confirmation of the availability of the full document. The comment applies for both FO &amp; BO
stages.</t>
  </si>
  <si>
    <t xml:space="preserve">**Note: If GS5.GQ3 is answered NO GS5.GQ4 should be answered N/A
If the Agent only submits key pages (e.g., table of contents, Compliance Acknowledgement Page) from the Compliance Manual and the Anti-
Fraud P&amp;Ps, during the review, the WUCO should confirm the full document is available. Also, the WUCO must add a case comment confirming the
pages that were submitted, and confirmation of the availability of the full document. The comment applies for both FO &amp; BO stages.
</t>
  </si>
  <si>
    <t>Special Note to the WUCO: This is a conditional question. Please CHECK guidance specifically if the agent has owned P&amp;Ps.</t>
  </si>
  <si>
    <t>Select one of the following: 
• Excel Macro
• TransVision
• Voyager
• CMR
• Translink
• WUPOS Transaction Log</t>
  </si>
  <si>
    <t>Effective Monitoring: Agent performs the monitoring process by reviewing transaction records on a weekly/monthly  basis, by comparing the transactions frequency. The WU’s AML/CFT  &amp; Anti- Fraud Compliance Monitoring Log &amp; WUCO determined that their Monitoring is effective.                                                                           Not Effective Monitoring: The agent did not provide the proper monitoring documentation prior the Compliance Review.       The agent is not performing an effective monitoring sin they indicated XXXXXXXXXXXXXXXXXXXXXXXXXXXXXX.</t>
  </si>
  <si>
    <t>Special Note to the WUCO: If the review conducted ONSITE obtain their commitment to this via the Agent Action List.</t>
  </si>
  <si>
    <t>1)What is being found? 2) Agent's response to that? 3) Recommendation to the Agent 4) Finding or No Finding assigned Although the report brought up results associated with address inconsistencies, the agent explained that the location is in a rural area and there are no street names or apartment numbers; therefore, no significant questionable activity was detected. Regarding senders showing more than one ID, after reviewing the report it was noticed that they are different type and different number; therefore, no significant questionable activity was detected.</t>
  </si>
  <si>
    <t>Compliance Review Tool  (CRT)-  Network_Agent Questionnaire English - United_States</t>
  </si>
  <si>
    <t>Location ID</t>
  </si>
  <si>
    <t>Agent ID:</t>
  </si>
  <si>
    <t>Contact Name &amp; Role:</t>
  </si>
  <si>
    <t>CO Name
Coname@domain.com</t>
  </si>
  <si>
    <t>Agent Name &amp; Account #</t>
  </si>
  <si>
    <t>Agent Name:</t>
  </si>
  <si>
    <t>Review Date:</t>
  </si>
  <si>
    <t>Interviewee Email Address</t>
  </si>
  <si>
    <t>Number of Findings</t>
  </si>
  <si>
    <t>Language</t>
  </si>
  <si>
    <t>DI Range:</t>
  </si>
  <si>
    <t>Repeated Findings</t>
  </si>
  <si>
    <t>Questionnarire Type</t>
  </si>
  <si>
    <t>iWatch Order</t>
  </si>
  <si>
    <t>Answers</t>
  </si>
  <si>
    <t>Free Text or WUCO Comments</t>
  </si>
  <si>
    <t>Conditional Format</t>
  </si>
  <si>
    <t>EFRAL?</t>
  </si>
  <si>
    <t>Question</t>
  </si>
  <si>
    <t>Fynding Type</t>
  </si>
  <si>
    <t>Action Required</t>
  </si>
  <si>
    <t>Follow Up Required</t>
  </si>
  <si>
    <t>Sorting</t>
  </si>
  <si>
    <t>Counting Findings</t>
  </si>
  <si>
    <t>Add Missing</t>
  </si>
  <si>
    <t>Row size</t>
  </si>
  <si>
    <t>Counting findings2</t>
  </si>
  <si>
    <t>Findings counting</t>
  </si>
  <si>
    <t>Numbering</t>
  </si>
  <si>
    <t>Dif</t>
  </si>
  <si>
    <t>Sheets to printer</t>
  </si>
  <si>
    <t>Sections</t>
  </si>
  <si>
    <t>Print area</t>
  </si>
  <si>
    <t>SECCION</t>
  </si>
  <si>
    <t>Findings Count</t>
  </si>
  <si>
    <t>Spanish</t>
  </si>
  <si>
    <t>French</t>
  </si>
  <si>
    <t>Portuguese</t>
  </si>
  <si>
    <t>Findings found</t>
  </si>
  <si>
    <t>Agent Readiness</t>
  </si>
  <si>
    <t>Preparación del Agente</t>
  </si>
  <si>
    <t>État de préparation de l'Agent</t>
  </si>
  <si>
    <t>Preparação da agência</t>
  </si>
  <si>
    <t>Languege Chosen:</t>
  </si>
  <si>
    <t>Compliance History</t>
  </si>
  <si>
    <t>Historial de Cumplimiento</t>
  </si>
  <si>
    <t>Historique de Conformité</t>
  </si>
  <si>
    <t>Histórico de conformidade</t>
  </si>
  <si>
    <t>Questionnaire:</t>
  </si>
  <si>
    <t>Compliance Officer/Compliance Delegate</t>
  </si>
  <si>
    <t>Delegado/Representante de Cumplimiento</t>
  </si>
  <si>
    <t>Agent/Délégué de Conformité</t>
  </si>
  <si>
    <t>Diretor Responsável Pelas Atividades de Compliance</t>
  </si>
  <si>
    <t>Rows size sum</t>
  </si>
  <si>
    <t>Responsable de la conformité/délégué à la conformité</t>
  </si>
  <si>
    <t>Responsável de Compliance</t>
  </si>
  <si>
    <t>Limit number of findings per sheet</t>
  </si>
  <si>
    <t>Consumer Protection</t>
  </si>
  <si>
    <t>Protección del Consumidor</t>
  </si>
  <si>
    <t>Protection du Consommateur</t>
  </si>
  <si>
    <t>Proteção dos consumidores</t>
  </si>
  <si>
    <t>FLA Knowledge - Suspicious Activity and Fraud</t>
  </si>
  <si>
    <t>Conocimiento de Operador (FLA) - Actvidad Sospechosa y Fraude</t>
  </si>
  <si>
    <t>Connaissance des opérateurs - Activités douteuses et Fraude</t>
  </si>
  <si>
    <t>Conhecimento do FLA - Atividades suspeitas e fraude</t>
  </si>
  <si>
    <t>Limit cell size total per sheet</t>
  </si>
  <si>
    <t>Independent Review</t>
  </si>
  <si>
    <t>Revisión Independiente</t>
  </si>
  <si>
    <t>Révision Indépendante</t>
  </si>
  <si>
    <t>Revisão Independente</t>
  </si>
  <si>
    <t>Revue indépendante</t>
  </si>
  <si>
    <t>Análise Independente</t>
  </si>
  <si>
    <t>Findings size total</t>
  </si>
  <si>
    <t>KYC Requirements</t>
  </si>
  <si>
    <t>Requerimientos de KYC</t>
  </si>
  <si>
    <t>Exigences en Matière de Connaissance Client</t>
  </si>
  <si>
    <t>Requisitos de KYC</t>
  </si>
  <si>
    <t>KYC/Customer Identification Program</t>
  </si>
  <si>
    <t>Resolved on site sum</t>
  </si>
  <si>
    <t>Monitoring</t>
  </si>
  <si>
    <t>Seguimiento</t>
  </si>
  <si>
    <t>Surveillance des transactions</t>
  </si>
  <si>
    <t>Monitorização</t>
  </si>
  <si>
    <t>Susp-Resp Req Sum</t>
  </si>
  <si>
    <t>Policies and Procedures</t>
  </si>
  <si>
    <t>Políticas y Procedimientos</t>
  </si>
  <si>
    <t>Politiques et de Procédures</t>
  </si>
  <si>
    <t>Políticas e Procedimentos</t>
  </si>
  <si>
    <t>Politiques et Procédures</t>
  </si>
  <si>
    <t>Requisitos e Procedimentos</t>
  </si>
  <si>
    <t>AAL Acum Findings</t>
  </si>
  <si>
    <t>Recordkeeping</t>
  </si>
  <si>
    <t>Mantenimiento de Registros</t>
  </si>
  <si>
    <t>Archivage</t>
  </si>
  <si>
    <t>Manutenção de Registros</t>
  </si>
  <si>
    <t>RecordKeeping</t>
  </si>
  <si>
    <t>Tenue des Registres</t>
  </si>
  <si>
    <t>Reporting</t>
  </si>
  <si>
    <t>Informes</t>
  </si>
  <si>
    <t>Reportage</t>
  </si>
  <si>
    <t>Reportes</t>
  </si>
  <si>
    <t>Print Area for table only</t>
  </si>
  <si>
    <t>Signalement d'activité douteuse/déclarations de doute interne</t>
  </si>
  <si>
    <t>Denúncias</t>
  </si>
  <si>
    <t>Sub-Agent Management and Oversight</t>
  </si>
  <si>
    <t>Gestión y Supervisión de los Subagentes</t>
  </si>
  <si>
    <t>Gestion et Surveillance des Sous-Agents</t>
  </si>
  <si>
    <t>Treinamento</t>
  </si>
  <si>
    <t>Training Program</t>
  </si>
  <si>
    <t>Programa de Formación</t>
  </si>
  <si>
    <t>Formation</t>
  </si>
  <si>
    <t>Programa de formação</t>
  </si>
  <si>
    <t>Programme de formation</t>
  </si>
  <si>
    <t>Gestão e Supervisão de subagentes</t>
  </si>
  <si>
    <t>POINT OF SALE</t>
  </si>
  <si>
    <t>Independent Review and Other Regional Specific Requirements</t>
  </si>
  <si>
    <t>KYC &amp; DATA INTEGRITY</t>
  </si>
  <si>
    <t>LOCATION READINESS</t>
  </si>
  <si>
    <t>FLA TRAINING</t>
  </si>
  <si>
    <t>SUSPICIOUS TRANSACTIONS AND ACTIVITIES</t>
  </si>
  <si>
    <t>MONITORING AND REPORTING</t>
  </si>
  <si>
    <t>INDEPENDENT REVIEW - OTHER REGIONAL SPECIFIC REQUIREMENTS</t>
  </si>
  <si>
    <t>Location Readiness Check</t>
  </si>
  <si>
    <t>INDEPENDENT ENGLISH</t>
  </si>
  <si>
    <t>NETWORK ENGLISH</t>
  </si>
  <si>
    <t>INDEPENDENT SPANISH</t>
  </si>
  <si>
    <t>NETWORK SPANISH</t>
  </si>
  <si>
    <t>INDEPENDENT FRENCH</t>
  </si>
  <si>
    <t>NETWORK FRENCH</t>
  </si>
  <si>
    <t>INDEPENDENT PORTUGUESE</t>
  </si>
  <si>
    <t>NETWORK PORTUGUESE</t>
  </si>
  <si>
    <t>INDEPENDENT PORTUGUESE P</t>
  </si>
  <si>
    <t>NETWORK PORTUGUESE P</t>
  </si>
  <si>
    <t>Cher agent/délégué de conformité autorisé:</t>
  </si>
  <si>
    <t>Prezado diretor responsável pelas atividades de Compliance:</t>
  </si>
  <si>
    <t>Caro Responsável/Delegado de Compliance:Caro Responsável/Delegado de Compliance:</t>
  </si>
  <si>
    <t>Cette revue a été réalisée pour évaluer la conformité au programme de lutte contre le blanchiment d'argent, le financement d'activités terroristes et la fraude en ce qui a exclusivement trait aux produits et services fournis par Western Union.
La revue comprenait, sans s’y limiter, les éléments suivants:</t>
  </si>
  <si>
    <t>Essa revisão foi realizada para avaliar a adesão ao programa de AML/CFT (PLD/CFT) e ao programa de prevenção à fraude relacionada exclusivamente aos produtos e serviços fornecidos pela Western Union.</t>
  </si>
  <si>
    <t>A análise foi realizada com o objetivo de avaliar o cumprimento do Programa AML/CFT e Antifraude exclusivamente em relação aos produtos e serviços fornecidos pela Western Union. A análise incluiu, sem limitação, os seguintes aspectos:</t>
  </si>
  <si>
    <r>
      <rPr>
        <sz val="10"/>
        <color rgb="FF000000"/>
        <rFont val="Calibri"/>
        <family val="2"/>
        <scheme val="minor"/>
      </rPr>
      <t xml:space="preserve">The review included, but was not limited to, the following components:
</t>
    </r>
    <r>
      <rPr>
        <sz val="8"/>
        <color rgb="FF000000"/>
        <rFont val="Symbol"/>
        <family val="1"/>
        <charset val="2"/>
      </rPr>
      <t xml:space="preserve">
</t>
    </r>
    <r>
      <rPr>
        <sz val="10"/>
        <color rgb="FF000000"/>
        <rFont val="Symbol"/>
        <family val="1"/>
        <charset val="2"/>
      </rPr>
      <t>·</t>
    </r>
    <r>
      <rPr>
        <sz val="10"/>
        <color rgb="FF000000"/>
        <rFont val="Calibri"/>
        <family val="2"/>
        <scheme val="minor"/>
      </rPr>
      <t xml:space="preserve"> </t>
    </r>
    <r>
      <rPr>
        <b/>
        <sz val="10"/>
        <color rgb="FF000000"/>
        <rFont val="Calibri"/>
        <family val="2"/>
        <scheme val="minor"/>
      </rPr>
      <t>Compliance Officer:</t>
    </r>
    <r>
      <rPr>
        <sz val="10"/>
        <color rgb="FF000000"/>
        <rFont val="Calibri"/>
        <family val="2"/>
        <scheme val="minor"/>
      </rPr>
      <t xml:space="preserve"> The designation in writing of a Compliance officer who is trained and knowledgeable in AML/CFT and Anti-Fraud matters.
</t>
    </r>
    <r>
      <rPr>
        <sz val="6"/>
        <color rgb="FF000000"/>
        <rFont val="Calibri"/>
        <family val="2"/>
        <scheme val="minor"/>
      </rPr>
      <t xml:space="preserve">
</t>
    </r>
    <r>
      <rPr>
        <b/>
        <sz val="10"/>
        <color rgb="FF000000"/>
        <rFont val="Symbol"/>
        <family val="1"/>
        <charset val="2"/>
      </rPr>
      <t>·</t>
    </r>
    <r>
      <rPr>
        <b/>
        <sz val="10"/>
        <color rgb="FF000000"/>
        <rFont val="Calibri"/>
        <family val="2"/>
        <scheme val="minor"/>
      </rPr>
      <t xml:space="preserve"> Policies &amp; Procedures:</t>
    </r>
    <r>
      <rPr>
        <sz val="10"/>
        <color rgb="FF000000"/>
        <rFont val="Calibri"/>
        <family val="1"/>
        <charset val="2"/>
        <scheme val="minor"/>
      </rPr>
      <t xml:space="preserve"> Documented AML/CFT and Anti-Fraud Policies and Procedures that comply with applicable jurisdictional requirements.
</t>
    </r>
    <r>
      <rPr>
        <sz val="6"/>
        <color rgb="FF000000"/>
        <rFont val="Calibri"/>
        <family val="2"/>
        <scheme val="minor"/>
      </rPr>
      <t xml:space="preserve">
</t>
    </r>
    <r>
      <rPr>
        <b/>
        <sz val="10"/>
        <color rgb="FF000000"/>
        <rFont val="Symbol"/>
        <family val="1"/>
        <charset val="2"/>
      </rPr>
      <t>·</t>
    </r>
    <r>
      <rPr>
        <b/>
        <sz val="10"/>
        <color rgb="FF000000"/>
        <rFont val="Calibri"/>
        <family val="2"/>
        <scheme val="minor"/>
      </rPr>
      <t> Training:</t>
    </r>
    <r>
      <rPr>
        <sz val="10"/>
        <color rgb="FF000000"/>
        <rFont val="Calibri"/>
        <family val="1"/>
        <charset val="2"/>
        <scheme val="minor"/>
      </rPr>
      <t xml:space="preserve"> A program to ensure initial and ongoing employee training on AML/CFT and Anti-Fraud requirements, as required by the Policies &amp; Procedures, including training logs showing all compliance training events.
</t>
    </r>
    <r>
      <rPr>
        <sz val="6"/>
        <color rgb="FF000000"/>
        <rFont val="Calibri"/>
        <family val="2"/>
        <scheme val="minor"/>
      </rPr>
      <t xml:space="preserve">
</t>
    </r>
    <r>
      <rPr>
        <b/>
        <sz val="10"/>
        <color rgb="FF000000"/>
        <rFont val="Symbol"/>
        <family val="1"/>
        <charset val="2"/>
      </rPr>
      <t>·</t>
    </r>
    <r>
      <rPr>
        <b/>
        <sz val="10"/>
        <color rgb="FF000000"/>
        <rFont val="Calibri"/>
        <family val="2"/>
        <scheme val="minor"/>
      </rPr>
      <t> Monitoring and Reporting:</t>
    </r>
    <r>
      <rPr>
        <sz val="10"/>
        <color rgb="FF000000"/>
        <rFont val="Calibri"/>
        <family val="1"/>
        <charset val="2"/>
        <scheme val="minor"/>
      </rPr>
      <t xml:space="preserve"> Monitoring of transactions as required by the Policies &amp; Procedures.  Evidence of monitoring and reporting on transactions resulting in appropriate and timely filing of Suspicious Activity Reports or Suspicious Transaction Reports (SARs/STRs).
</t>
    </r>
    <r>
      <rPr>
        <sz val="6"/>
        <color rgb="FF000000"/>
        <rFont val="Calibri"/>
        <family val="2"/>
        <scheme val="minor"/>
      </rPr>
      <t xml:space="preserve">
</t>
    </r>
    <r>
      <rPr>
        <b/>
        <sz val="10"/>
        <color rgb="FF000000"/>
        <rFont val="Symbol"/>
        <family val="1"/>
        <charset val="2"/>
      </rPr>
      <t>·</t>
    </r>
    <r>
      <rPr>
        <b/>
        <sz val="10"/>
        <color rgb="FF000000"/>
        <rFont val="Calibri"/>
        <family val="2"/>
        <scheme val="minor"/>
      </rPr>
      <t> Suspicious Activity:</t>
    </r>
    <r>
      <rPr>
        <sz val="10"/>
        <color rgb="FF000000"/>
        <rFont val="Calibri"/>
        <family val="1"/>
        <charset val="2"/>
        <scheme val="minor"/>
      </rPr>
      <t xml:space="preserve"> Referral of SARs/STRs to WU, along with evidence of retention for the legally-required period.
</t>
    </r>
    <r>
      <rPr>
        <sz val="6"/>
        <color rgb="FF000000"/>
        <rFont val="Calibri"/>
        <family val="2"/>
        <scheme val="minor"/>
      </rPr>
      <t xml:space="preserve">
</t>
    </r>
    <r>
      <rPr>
        <b/>
        <sz val="10"/>
        <color rgb="FF000000"/>
        <rFont val="Symbol"/>
        <family val="1"/>
        <charset val="2"/>
      </rPr>
      <t>·</t>
    </r>
    <r>
      <rPr>
        <b/>
        <sz val="10"/>
        <color rgb="FF000000"/>
        <rFont val="Calibri"/>
        <family val="2"/>
        <scheme val="minor"/>
      </rPr>
      <t xml:space="preserve"> FLAs logs and identifications: </t>
    </r>
    <r>
      <rPr>
        <sz val="10"/>
        <color rgb="FF000000"/>
        <rFont val="Calibri"/>
        <family val="1"/>
        <charset val="2"/>
        <scheme val="minor"/>
      </rPr>
      <t xml:space="preserve">Identification document logs for the money transfer system showing unique identification for each system user.
</t>
    </r>
    <r>
      <rPr>
        <sz val="6"/>
        <color rgb="FF000000"/>
        <rFont val="Calibri"/>
        <family val="2"/>
        <scheme val="minor"/>
      </rPr>
      <t xml:space="preserve">
</t>
    </r>
    <r>
      <rPr>
        <b/>
        <sz val="10"/>
        <color rgb="FF000000"/>
        <rFont val="Symbol"/>
        <family val="1"/>
        <charset val="2"/>
      </rPr>
      <t>·</t>
    </r>
    <r>
      <rPr>
        <b/>
        <sz val="10"/>
        <color rgb="FF000000"/>
        <rFont val="Calibri"/>
        <family val="2"/>
        <scheme val="minor"/>
      </rPr>
      <t> Record Keeping and Retention of Documents:</t>
    </r>
    <r>
      <rPr>
        <sz val="10"/>
        <color rgb="FF000000"/>
        <rFont val="Calibri"/>
        <family val="1"/>
        <charset val="2"/>
        <scheme val="minor"/>
      </rPr>
      <t xml:space="preserve"> Documentation of record retention in accordance with the Policies &amp; Procedures.
</t>
    </r>
    <r>
      <rPr>
        <sz val="6"/>
        <color rgb="FF000000"/>
        <rFont val="Calibri"/>
        <family val="2"/>
        <scheme val="minor"/>
      </rPr>
      <t xml:space="preserve">
</t>
    </r>
    <r>
      <rPr>
        <b/>
        <sz val="10"/>
        <color rgb="FF000000"/>
        <rFont val="Symbol"/>
        <family val="1"/>
        <charset val="2"/>
      </rPr>
      <t>·</t>
    </r>
    <r>
      <rPr>
        <b/>
        <sz val="10"/>
        <color rgb="FF000000"/>
        <rFont val="Calibri"/>
        <family val="2"/>
        <scheme val="minor"/>
      </rPr>
      <t> Independent Review:</t>
    </r>
    <r>
      <rPr>
        <sz val="10"/>
        <color rgb="FF000000"/>
        <rFont val="Calibri"/>
        <family val="1"/>
        <charset val="2"/>
        <scheme val="minor"/>
      </rPr>
      <t xml:space="preserve"> Independent review of the AML program conducted by a qualified party and documented in accordance with Policies &amp; Procedures, including any corrective actions or recommendations that have been implemented.
</t>
    </r>
    <r>
      <rPr>
        <sz val="6"/>
        <color rgb="FF000000"/>
        <rFont val="Calibri"/>
        <family val="2"/>
        <scheme val="minor"/>
      </rPr>
      <t xml:space="preserve">
</t>
    </r>
    <r>
      <rPr>
        <b/>
        <sz val="10"/>
        <color rgb="FF000000"/>
        <rFont val="Symbol"/>
        <family val="1"/>
        <charset val="2"/>
      </rPr>
      <t>·</t>
    </r>
    <r>
      <rPr>
        <b/>
        <sz val="10"/>
        <color rgb="FF000000"/>
        <rFont val="Calibri"/>
        <family val="2"/>
        <scheme val="minor"/>
      </rPr>
      <t> Sub Agents management and oversight:</t>
    </r>
    <r>
      <rPr>
        <sz val="10"/>
        <color rgb="FF000000"/>
        <rFont val="Calibri"/>
        <family val="1"/>
        <charset val="2"/>
        <scheme val="minor"/>
      </rPr>
      <t xml:space="preserve"> Review of Sub Agents Compliance Program and Master Agent supervisory controls.
</t>
    </r>
    <r>
      <rPr>
        <sz val="6"/>
        <color rgb="FF000000"/>
        <rFont val="Calibri"/>
        <family val="2"/>
        <scheme val="minor"/>
      </rPr>
      <t xml:space="preserve">
</t>
    </r>
    <r>
      <rPr>
        <b/>
        <sz val="10"/>
        <color rgb="FF000000"/>
        <rFont val="Symbol"/>
        <family val="1"/>
        <charset val="2"/>
      </rPr>
      <t>·</t>
    </r>
    <r>
      <rPr>
        <b/>
        <sz val="10"/>
        <color rgb="FF000000"/>
        <rFont val="Calibri"/>
        <family val="2"/>
        <scheme val="minor"/>
      </rPr>
      <t> Documentation pertaining to regulatory reporting requirements.</t>
    </r>
  </si>
  <si>
    <r>
      <t xml:space="preserve">
The review included, but was not limited to, the following components:
</t>
    </r>
    <r>
      <rPr>
        <b/>
        <sz val="10"/>
        <color rgb="FF000000"/>
        <rFont val="Calibri"/>
        <family val="2"/>
        <scheme val="minor"/>
      </rPr>
      <t xml:space="preserve">
• Location Readiness Check: </t>
    </r>
    <r>
      <rPr>
        <sz val="10"/>
        <color rgb="FF000000"/>
        <rFont val="Calibri"/>
        <family val="2"/>
        <scheme val="minor"/>
      </rPr>
      <t xml:space="preserve">Review accuracy of Location’s information in WU records.
</t>
    </r>
    <r>
      <rPr>
        <b/>
        <sz val="10"/>
        <color rgb="FF000000"/>
        <rFont val="Calibri"/>
        <family val="2"/>
        <scheme val="minor"/>
      </rPr>
      <t>• FLA Training:</t>
    </r>
    <r>
      <rPr>
        <sz val="10"/>
        <color rgb="FF000000"/>
        <rFont val="Calibri"/>
        <family val="2"/>
        <scheme val="minor"/>
      </rPr>
      <t xml:space="preserve"> Ensure Location’s Front-Line Associates (FLAs) received AML/CFT training. 
</t>
    </r>
    <r>
      <rPr>
        <b/>
        <sz val="10"/>
        <color rgb="FF000000"/>
        <rFont val="Calibri"/>
        <family val="2"/>
        <scheme val="minor"/>
      </rPr>
      <t xml:space="preserve">• KYC Requirements: </t>
    </r>
    <r>
      <rPr>
        <sz val="10"/>
        <color rgb="FF000000"/>
        <rFont val="Calibri"/>
        <family val="2"/>
        <scheme val="minor"/>
      </rPr>
      <t>Assess FLAs’ knowledge regarding customers’ activity and WU requirements.
•</t>
    </r>
    <r>
      <rPr>
        <b/>
        <sz val="10"/>
        <color rgb="FF000000"/>
        <rFont val="Calibri"/>
        <family val="2"/>
        <scheme val="minor"/>
      </rPr>
      <t xml:space="preserve"> Suspicious Transactions and Activities:</t>
    </r>
    <r>
      <rPr>
        <sz val="10"/>
        <color rgb="FF000000"/>
        <rFont val="Calibri"/>
        <family val="2"/>
        <scheme val="minor"/>
      </rPr>
      <t xml:space="preserve"> Assess knowledge and capabilities to recognize unusual customer behavior related to suspicious transactions patterns.
</t>
    </r>
    <r>
      <rPr>
        <b/>
        <sz val="10"/>
        <color rgb="FF000000"/>
        <rFont val="Calibri"/>
        <family val="2"/>
        <scheme val="minor"/>
      </rPr>
      <t xml:space="preserve">• Recordkeeping: </t>
    </r>
    <r>
      <rPr>
        <sz val="10"/>
        <color rgb="FF000000"/>
        <rFont val="Calibri"/>
        <family val="2"/>
        <scheme val="minor"/>
      </rPr>
      <t xml:space="preserve">Documentation retention in accordance with the Master Agent’s Policies &amp; Procedures. </t>
    </r>
  </si>
  <si>
    <r>
      <rPr>
        <b/>
        <sz val="10"/>
        <color rgb="FF000000"/>
        <rFont val="Calibri"/>
        <family val="2"/>
        <scheme val="minor"/>
      </rPr>
      <t>• Oficial de cumplimiento:</t>
    </r>
    <r>
      <rPr>
        <sz val="10"/>
        <color rgb="FF000000"/>
        <rFont val="Calibri"/>
        <family val="2"/>
        <scheme val="minor"/>
      </rPr>
      <t xml:space="preserve"> La designación por escrito de un oficial de cumplimiento que está capacitado y tiene conocimientos en asuntos sobre Antifraude y ALD/CFT.
</t>
    </r>
    <r>
      <rPr>
        <sz val="4"/>
        <color rgb="FF000000"/>
        <rFont val="Calibri"/>
        <family val="2"/>
        <scheme val="minor"/>
      </rPr>
      <t xml:space="preserve">
</t>
    </r>
    <r>
      <rPr>
        <b/>
        <sz val="10"/>
        <color rgb="FF000000"/>
        <rFont val="Calibri"/>
        <family val="2"/>
        <scheme val="minor"/>
      </rPr>
      <t>• Políticas y procedimientos:</t>
    </r>
    <r>
      <rPr>
        <sz val="10"/>
        <color rgb="FF000000"/>
        <rFont val="Calibri"/>
        <family val="2"/>
        <scheme val="minor"/>
      </rPr>
      <t xml:space="preserve"> Políticas y procedimientos Antifraude y ALD/CFT documentados que cumplan con los requisitos jurisdiccionales aplicables.
</t>
    </r>
    <r>
      <rPr>
        <sz val="4"/>
        <color rgb="FF000000"/>
        <rFont val="Calibri"/>
        <family val="2"/>
        <scheme val="minor"/>
      </rPr>
      <t xml:space="preserve">
</t>
    </r>
    <r>
      <rPr>
        <b/>
        <sz val="10"/>
        <color rgb="FF000000"/>
        <rFont val="Calibri"/>
        <family val="2"/>
        <scheme val="minor"/>
      </rPr>
      <t>• Capacitación:</t>
    </r>
    <r>
      <rPr>
        <sz val="10"/>
        <color rgb="FF000000"/>
        <rFont val="Calibri"/>
        <family val="2"/>
        <scheme val="minor"/>
      </rPr>
      <t xml:space="preserve"> Un programa para garantizar la capacitación inicial y permanente de los empleados sobre los requisitos de Antifraude y ALD/CFT, según lo requerido por las Políticas y procedimientos, incluidos los registros de capacitación que muestran todos los eventos de capacitación de cumplimiento.
</t>
    </r>
    <r>
      <rPr>
        <sz val="4"/>
        <color rgb="FF000000"/>
        <rFont val="Calibri"/>
        <family val="2"/>
        <scheme val="minor"/>
      </rPr>
      <t xml:space="preserve">
</t>
    </r>
    <r>
      <rPr>
        <b/>
        <sz val="10"/>
        <color rgb="FF000000"/>
        <rFont val="Calibri"/>
        <family val="2"/>
        <scheme val="minor"/>
      </rPr>
      <t>• Supervisión y elaboración de informes:</t>
    </r>
    <r>
      <rPr>
        <sz val="10"/>
        <color rgb="FF000000"/>
        <rFont val="Calibri"/>
        <family val="2"/>
        <scheme val="minor"/>
      </rPr>
      <t xml:space="preserve"> Supervisión de transacciones, según lo requerido por las Políticas y procedimientos.  Evidencia de supervisión y elaboración de informes de transacciones que da como resultado la presentación apropiada y oportuna de Informes de Actividad Sospechosas o Informes de Transacciones Sospechosas (SAR/STR por sus siglas en inglés).
</t>
    </r>
    <r>
      <rPr>
        <sz val="4"/>
        <color rgb="FF000000"/>
        <rFont val="Calibri"/>
        <family val="2"/>
        <scheme val="minor"/>
      </rPr>
      <t xml:space="preserve">
</t>
    </r>
    <r>
      <rPr>
        <b/>
        <sz val="10"/>
        <color rgb="FF000000"/>
        <rFont val="Calibri"/>
        <family val="2"/>
        <scheme val="minor"/>
      </rPr>
      <t>• Actividad sospechosa:</t>
    </r>
    <r>
      <rPr>
        <sz val="10"/>
        <color rgb="FF000000"/>
        <rFont val="Calibri"/>
        <family val="2"/>
        <scheme val="minor"/>
      </rPr>
      <t xml:space="preserve"> Derivación de SAR/STR a WU, junto con la evidencia de retención por el período legalmente requerido.
</t>
    </r>
    <r>
      <rPr>
        <sz val="4"/>
        <color rgb="FF000000"/>
        <rFont val="Calibri"/>
        <family val="2"/>
        <scheme val="minor"/>
      </rPr>
      <t xml:space="preserve">
</t>
    </r>
    <r>
      <rPr>
        <b/>
        <sz val="10"/>
        <color rgb="FF000000"/>
        <rFont val="Calibri"/>
        <family val="2"/>
        <scheme val="minor"/>
      </rPr>
      <t>• Registros e identificaciones de operadores:</t>
    </r>
    <r>
      <rPr>
        <sz val="10"/>
        <color rgb="FF000000"/>
        <rFont val="Calibri"/>
        <family val="2"/>
        <scheme val="minor"/>
      </rPr>
      <t xml:space="preserve"> Registros de documentos de identificación para el sistema de transferencia de dinero, en el cual se muestra la identificación única para cada usuario del sistema.
</t>
    </r>
    <r>
      <rPr>
        <sz val="4"/>
        <color rgb="FF000000"/>
        <rFont val="Calibri"/>
        <family val="2"/>
        <scheme val="minor"/>
      </rPr>
      <t xml:space="preserve">
</t>
    </r>
    <r>
      <rPr>
        <b/>
        <sz val="10"/>
        <color rgb="FF000000"/>
        <rFont val="Calibri"/>
        <family val="2"/>
        <scheme val="minor"/>
      </rPr>
      <t>• Mantenimiento de registros y retención de documentos:</t>
    </r>
    <r>
      <rPr>
        <sz val="10"/>
        <color rgb="FF000000"/>
        <rFont val="Calibri"/>
        <family val="2"/>
        <scheme val="minor"/>
      </rPr>
      <t xml:space="preserve"> Documentación de la retención de registros de acuerdo con las Políticas y procedimientos.
</t>
    </r>
    <r>
      <rPr>
        <sz val="4"/>
        <color rgb="FF000000"/>
        <rFont val="Calibri"/>
        <family val="2"/>
        <scheme val="minor"/>
      </rPr>
      <t xml:space="preserve">
</t>
    </r>
    <r>
      <rPr>
        <b/>
        <sz val="10"/>
        <color rgb="FF000000"/>
        <rFont val="Calibri"/>
        <family val="2"/>
        <scheme val="minor"/>
      </rPr>
      <t>• Revisión independiente:</t>
    </r>
    <r>
      <rPr>
        <sz val="10"/>
        <color rgb="FF000000"/>
        <rFont val="Calibri"/>
        <family val="2"/>
        <scheme val="minor"/>
      </rPr>
      <t xml:space="preserve"> Revisión independiente del programa ALD realizada por un tercero calificado y documentado de acuerdo con las Políticas y procedimientos, incluidas todas las medidas correctivas o recomendaciones que se hayan implementado.
</t>
    </r>
    <r>
      <rPr>
        <sz val="4"/>
        <color rgb="FF000000"/>
        <rFont val="Calibri"/>
        <family val="2"/>
        <scheme val="minor"/>
      </rPr>
      <t xml:space="preserve">
</t>
    </r>
    <r>
      <rPr>
        <b/>
        <sz val="10"/>
        <color rgb="FF000000"/>
        <rFont val="Calibri"/>
        <family val="2"/>
        <scheme val="minor"/>
      </rPr>
      <t>• Administración y supervisión de subagentes:</t>
    </r>
    <r>
      <rPr>
        <sz val="10"/>
        <color rgb="FF000000"/>
        <rFont val="Calibri"/>
        <family val="2"/>
        <scheme val="minor"/>
      </rPr>
      <t xml:space="preserve"> Revisión del programa de Cumplimiento de subagentes y controles de supervisión del agente.
</t>
    </r>
    <r>
      <rPr>
        <sz val="4"/>
        <color rgb="FF000000"/>
        <rFont val="Calibri"/>
        <family val="2"/>
        <scheme val="minor"/>
      </rPr>
      <t xml:space="preserve">
</t>
    </r>
    <r>
      <rPr>
        <b/>
        <sz val="10"/>
        <color rgb="FF000000"/>
        <rFont val="Calibri"/>
        <family val="2"/>
        <scheme val="minor"/>
      </rPr>
      <t>•Documentación relacionada con los requisitos de informes reglamentarios.</t>
    </r>
  </si>
  <si>
    <r>
      <rPr>
        <sz val="10"/>
        <color theme="1"/>
        <rFont val="Calibri"/>
        <family val="2"/>
        <scheme val="minor"/>
      </rPr>
      <t xml:space="preserve">
La revisión incluyó, pero no se limitó a, los siguientes componentes:
</t>
    </r>
    <r>
      <rPr>
        <b/>
        <sz val="10"/>
        <color theme="1"/>
        <rFont val="Calibri"/>
        <family val="2"/>
        <scheme val="minor"/>
      </rPr>
      <t xml:space="preserve">
• Verificación de disponibilidad de la localidad:</t>
    </r>
    <r>
      <rPr>
        <sz val="10"/>
        <color theme="1"/>
        <rFont val="Calibri"/>
        <family val="2"/>
        <scheme val="minor"/>
      </rPr>
      <t xml:space="preserve"> Revisar la precisión de la información de la localidad en los registros de WU.
</t>
    </r>
    <r>
      <rPr>
        <b/>
        <sz val="10"/>
        <color theme="1"/>
        <rFont val="Calibri"/>
        <family val="2"/>
        <scheme val="minor"/>
      </rPr>
      <t xml:space="preserve">
• Capacitación de FLA: </t>
    </r>
    <r>
      <rPr>
        <sz val="10"/>
        <color theme="1"/>
        <rFont val="Calibri"/>
        <family val="2"/>
        <scheme val="minor"/>
      </rPr>
      <t xml:space="preserve">Asegurarse de que los operadores (FLA por sus siglas en inglés) de la localidad reciban capacitación en ALD/CFT. 
</t>
    </r>
    <r>
      <rPr>
        <b/>
        <sz val="10"/>
        <color theme="1"/>
        <rFont val="Calibri"/>
        <family val="2"/>
        <scheme val="minor"/>
      </rPr>
      <t xml:space="preserve">
• Requisitos de KYC (conozca a su consumidor): </t>
    </r>
    <r>
      <rPr>
        <sz val="10"/>
        <color theme="1"/>
        <rFont val="Calibri"/>
        <family val="2"/>
        <scheme val="minor"/>
      </rPr>
      <t>Evaluar el conocimiento del FLA respecto a la actividad de los clientes y los requisitos de WU.</t>
    </r>
    <r>
      <rPr>
        <b/>
        <sz val="10"/>
        <color theme="1"/>
        <rFont val="Calibri"/>
        <family val="2"/>
        <scheme val="minor"/>
      </rPr>
      <t xml:space="preserve">
• Transacciones y actividades sospechosas: </t>
    </r>
    <r>
      <rPr>
        <sz val="10"/>
        <color theme="1"/>
        <rFont val="Calibri"/>
        <family val="2"/>
        <scheme val="minor"/>
      </rPr>
      <t xml:space="preserve">Evaluar el conocimiento y las capacidades para reconocer el comportamiento inusual del cliente relacionado con patrones de transacciones sospechosas.
</t>
    </r>
    <r>
      <rPr>
        <b/>
        <sz val="10"/>
        <color theme="1"/>
        <rFont val="Calibri"/>
        <family val="2"/>
        <scheme val="minor"/>
      </rPr>
      <t xml:space="preserve">
• Conservación de registros: </t>
    </r>
    <r>
      <rPr>
        <sz val="10"/>
        <color theme="1"/>
        <rFont val="Calibri"/>
        <family val="2"/>
        <scheme val="minor"/>
      </rPr>
      <t xml:space="preserve">Retención de documentación de acuerdo con las Políticas y procedimientos del agente. </t>
    </r>
  </si>
  <si>
    <r>
      <rPr>
        <b/>
        <sz val="9.6999999999999993"/>
        <color rgb="FF000000"/>
        <rFont val="Calibri"/>
        <family val="2"/>
        <scheme val="minor"/>
      </rPr>
      <t>• Agent de conformité</t>
    </r>
    <r>
      <rPr>
        <sz val="9.6999999999999993"/>
        <color rgb="FF000000"/>
        <rFont val="Calibri"/>
        <family val="2"/>
        <scheme val="minor"/>
      </rPr>
      <t xml:space="preserve"> – la nomination par écrit d’un agent de conformité possédant la formation et l’expertise en matière de lutte contre le blanchiment d'argent, le financement d'activités terroristes et la fraude. 
</t>
    </r>
    <r>
      <rPr>
        <b/>
        <sz val="9.6999999999999993"/>
        <color rgb="FF000000"/>
        <rFont val="Calibri"/>
        <family val="2"/>
        <scheme val="minor"/>
      </rPr>
      <t xml:space="preserve">• Politiques et procédures </t>
    </r>
    <r>
      <rPr>
        <sz val="9.6999999999999993"/>
        <color rgb="FF000000"/>
        <rFont val="Calibri"/>
        <family val="2"/>
        <scheme val="minor"/>
      </rPr>
      <t xml:space="preserve">–  politiques et procédures documentées en matière de lutte contre le blanchiment d’argent, le financement d'activités terroristes et la fraude, conformes aux exigences régionales applicables.
</t>
    </r>
    <r>
      <rPr>
        <b/>
        <sz val="9.6999999999999993"/>
        <color rgb="FF000000"/>
        <rFont val="Calibri"/>
        <family val="2"/>
        <scheme val="minor"/>
      </rPr>
      <t xml:space="preserve">•Formation </t>
    </r>
    <r>
      <rPr>
        <sz val="9.6999999999999993"/>
        <color rgb="FF000000"/>
        <rFont val="Calibri"/>
        <family val="2"/>
        <scheme val="minor"/>
      </rPr>
      <t xml:space="preserve">- un programme permettant d’assurer la formation initiale et continue des employés sur les exigences en matière de lutte contre le blanchiment d’argent, le financement d'activités terroristes et la fraude, selon les exigences des politiques et procédures, y compris des journaux de formation indiquant toutes les activités de formation sur la conformité.
</t>
    </r>
    <r>
      <rPr>
        <b/>
        <sz val="9.6999999999999993"/>
        <color rgb="FF000000"/>
        <rFont val="Calibri"/>
        <family val="2"/>
        <scheme val="minor"/>
      </rPr>
      <t xml:space="preserve">• Surveillance et déclarations </t>
    </r>
    <r>
      <rPr>
        <sz val="9.6999999999999993"/>
        <color rgb="FF000000"/>
        <rFont val="Calibri"/>
        <family val="2"/>
        <scheme val="minor"/>
      </rPr>
      <t xml:space="preserve">– surveillance des transactions selon les exigences des politiques et des procédures.  Preuves du suivi et du signalement de transactions ayant pour résultat la soumission appropriée et en temps opportun de Rapports d'activité douteuse ou de Rapports de transaction douteuse.
</t>
    </r>
    <r>
      <rPr>
        <b/>
        <sz val="9.6999999999999993"/>
        <color rgb="FF000000"/>
        <rFont val="Calibri"/>
        <family val="2"/>
        <scheme val="minor"/>
      </rPr>
      <t xml:space="preserve">• Activités douteuses </t>
    </r>
    <r>
      <rPr>
        <sz val="9.6999999999999993"/>
        <color rgb="FF000000"/>
        <rFont val="Calibri"/>
        <family val="2"/>
        <scheme val="minor"/>
      </rPr>
      <t xml:space="preserve">– transmission des Rapports d'activité douteuse/Rapports de transaction douteuse à WU, accompagnés de la preuve de conservation pour la période requise.
</t>
    </r>
    <r>
      <rPr>
        <b/>
        <sz val="9.6999999999999993"/>
        <color rgb="FF000000"/>
        <rFont val="Calibri"/>
        <family val="2"/>
        <scheme val="minor"/>
      </rPr>
      <t xml:space="preserve">• Journaux et identifications des employés en contact direct avec la clientèle </t>
    </r>
    <r>
      <rPr>
        <sz val="9.6999999999999993"/>
        <color rgb="FF000000"/>
        <rFont val="Calibri"/>
        <family val="2"/>
        <scheme val="minor"/>
      </rPr>
      <t xml:space="preserve">– les protocoles de documents d'identification dans le cadre du système de transfert d'argent montrant des identifiants distincts pour chaque utilisateur du système.
</t>
    </r>
    <r>
      <rPr>
        <b/>
        <sz val="9.6999999999999993"/>
        <color rgb="FF000000"/>
        <rFont val="Calibri"/>
        <family val="2"/>
        <scheme val="minor"/>
      </rPr>
      <t xml:space="preserve">• Tenue et conservation des documents </t>
    </r>
    <r>
      <rPr>
        <sz val="9.6999999999999993"/>
        <color rgb="FF000000"/>
        <rFont val="Calibri"/>
        <family val="2"/>
        <scheme val="minor"/>
      </rPr>
      <t xml:space="preserve">– Documentation sur la tenue des dossiers conformément aux politiques et procédures. 
</t>
    </r>
    <r>
      <rPr>
        <b/>
        <sz val="9.6999999999999993"/>
        <color rgb="FF000000"/>
        <rFont val="Calibri"/>
        <family val="2"/>
        <scheme val="minor"/>
      </rPr>
      <t xml:space="preserve">• Revue indépendante </t>
    </r>
    <r>
      <rPr>
        <sz val="9.6999999999999993"/>
        <color rgb="FF000000"/>
        <rFont val="Calibri"/>
        <family val="2"/>
        <scheme val="minor"/>
      </rPr>
      <t xml:space="preserve">– revue indépendante du programme de lutte contre le blanchiment d'argent, le financement d’activités terroristes et la fraude, effectuée par un tiers qualifié, et documentée conformément aux politiques et procédures, comprenant toute mesure corrective ou recommandation ayant été prise. 
</t>
    </r>
    <r>
      <rPr>
        <b/>
        <sz val="9.6999999999999993"/>
        <color rgb="FF000000"/>
        <rFont val="Calibri"/>
        <family val="2"/>
        <scheme val="minor"/>
      </rPr>
      <t xml:space="preserve">• Gestion et surveillance des sous-agents </t>
    </r>
    <r>
      <rPr>
        <sz val="9.6999999999999993"/>
        <color rgb="FF000000"/>
        <rFont val="Calibri"/>
        <family val="2"/>
        <scheme val="minor"/>
      </rPr>
      <t xml:space="preserve">– revue des programmes de conformité des sous-agents et des contrôles de surveillance des agents principaux
</t>
    </r>
    <r>
      <rPr>
        <b/>
        <sz val="9.6999999999999993"/>
        <color rgb="FF000000"/>
        <rFont val="Calibri"/>
        <family val="2"/>
        <scheme val="minor"/>
      </rPr>
      <t>• Documentation se rapportant aux exigences en matière de production de rapports réglementaires</t>
    </r>
  </si>
  <si>
    <r>
      <t xml:space="preserve">L'examen comprenait, mais n'était pas limité, aux éléments suivants:
</t>
    </r>
    <r>
      <rPr>
        <b/>
        <sz val="8"/>
        <color theme="1"/>
        <rFont val="Calibri"/>
        <family val="2"/>
        <scheme val="minor"/>
      </rPr>
      <t xml:space="preserve">
</t>
    </r>
    <r>
      <rPr>
        <b/>
        <sz val="10"/>
        <color theme="1"/>
        <rFont val="Calibri"/>
        <family val="2"/>
        <scheme val="minor"/>
      </rPr>
      <t xml:space="preserve">• Vérification de la préparation des lieux </t>
    </r>
    <r>
      <rPr>
        <sz val="10"/>
        <color theme="1"/>
        <rFont val="Calibri"/>
        <family val="2"/>
        <scheme val="minor"/>
      </rPr>
      <t>–</t>
    </r>
    <r>
      <rPr>
        <b/>
        <sz val="10"/>
        <color theme="1"/>
        <rFont val="Calibri"/>
        <family val="2"/>
        <scheme val="minor"/>
      </rPr>
      <t xml:space="preserve"> </t>
    </r>
    <r>
      <rPr>
        <sz val="10"/>
        <color theme="1"/>
        <rFont val="Calibri"/>
        <family val="2"/>
        <scheme val="minor"/>
      </rPr>
      <t xml:space="preserve">examen de l’exactitude des informations relatives aux lieux dans les registres de WU.
</t>
    </r>
    <r>
      <rPr>
        <b/>
        <sz val="10"/>
        <color theme="1"/>
        <rFont val="Calibri"/>
        <family val="2"/>
        <scheme val="minor"/>
      </rPr>
      <t xml:space="preserve">• Formation des opérateurs d’agence </t>
    </r>
    <r>
      <rPr>
        <sz val="10"/>
        <color theme="1"/>
        <rFont val="Calibri"/>
        <family val="2"/>
        <scheme val="minor"/>
      </rPr>
      <t xml:space="preserve">– s’assurer que les conseillers clientèle ont bénéficié d’une formation LAB/LFT. 
</t>
    </r>
    <r>
      <rPr>
        <b/>
        <sz val="10"/>
        <color theme="1"/>
        <rFont val="Calibri"/>
        <family val="2"/>
        <scheme val="minor"/>
      </rPr>
      <t xml:space="preserve">• Exigences « connaître votre client » </t>
    </r>
    <r>
      <rPr>
        <sz val="10"/>
        <color theme="1"/>
        <rFont val="Calibri"/>
        <family val="2"/>
        <scheme val="minor"/>
      </rPr>
      <t xml:space="preserve">– évaluer les connaissances de l’opérateur d’agence concernant les activités des clients et les exigences de WU.
</t>
    </r>
    <r>
      <rPr>
        <b/>
        <sz val="10"/>
        <color theme="1"/>
        <rFont val="Calibri"/>
        <family val="2"/>
        <scheme val="minor"/>
      </rPr>
      <t xml:space="preserve">• Transactions et activités suspectes </t>
    </r>
    <r>
      <rPr>
        <sz val="10"/>
        <color theme="1"/>
        <rFont val="Calibri"/>
        <family val="2"/>
        <scheme val="minor"/>
      </rPr>
      <t xml:space="preserve">– évaluer les connaissances et la capacité à reconnaître des comportements inhabituels, notamment en termes de transactions douteuses.
</t>
    </r>
    <r>
      <rPr>
        <b/>
        <sz val="10"/>
        <color theme="1"/>
        <rFont val="Calibri"/>
        <family val="2"/>
        <scheme val="minor"/>
      </rPr>
      <t xml:space="preserve">• Archivage </t>
    </r>
    <r>
      <rPr>
        <sz val="10"/>
        <color theme="1"/>
        <rFont val="Calibri"/>
        <family val="2"/>
        <scheme val="minor"/>
      </rPr>
      <t xml:space="preserve">– conservation des données, conformément aux politiques et procédures de l’agent « Grand Compte ». </t>
    </r>
  </si>
  <si>
    <r>
      <rPr>
        <sz val="5"/>
        <color rgb="FF000000"/>
        <rFont val="Calibri"/>
        <family val="2"/>
        <scheme val="minor"/>
      </rPr>
      <t xml:space="preserve">
</t>
    </r>
    <r>
      <rPr>
        <sz val="10"/>
        <color rgb="FF000000"/>
        <rFont val="Calibri"/>
        <family val="2"/>
        <scheme val="minor"/>
      </rPr>
      <t xml:space="preserve">A revisão contemplou, mas não se limitou, aos seguintes itens:
</t>
    </r>
    <r>
      <rPr>
        <b/>
        <sz val="5"/>
        <color rgb="FF000000"/>
        <rFont val="Calibri"/>
        <family val="2"/>
        <scheme val="minor"/>
      </rPr>
      <t xml:space="preserve">
</t>
    </r>
    <r>
      <rPr>
        <b/>
        <sz val="10"/>
        <color rgb="FF000000"/>
        <rFont val="Calibri"/>
        <family val="2"/>
        <scheme val="minor"/>
      </rPr>
      <t>• Diretor responsável pelas atividades de Compliance:</t>
    </r>
    <r>
      <rPr>
        <sz val="10"/>
        <color rgb="FF000000"/>
        <rFont val="Calibri"/>
        <family val="2"/>
        <scheme val="minor"/>
      </rPr>
      <t xml:space="preserve"> designação, por escrito, de um diretor de Compliance, treinado e instruído nas questões relacionadas a AML/CFT (PLD/CFT) e prevenção à fraude. 
</t>
    </r>
    <r>
      <rPr>
        <b/>
        <sz val="10"/>
        <color rgb="FF000000"/>
        <rFont val="Calibri"/>
        <family val="2"/>
        <scheme val="minor"/>
      </rPr>
      <t>• Políticas e procedimentos:</t>
    </r>
    <r>
      <rPr>
        <sz val="10"/>
        <color rgb="FF000000"/>
        <rFont val="Calibri"/>
        <family val="2"/>
        <scheme val="minor"/>
      </rPr>
      <t xml:space="preserve"> políticas e procedimentos de AML/CFT (PLD/CFT) e prevenção à fraude devidamente documentados, em conformidade com os requisitos da legislação aplicável.
</t>
    </r>
    <r>
      <rPr>
        <b/>
        <sz val="10"/>
        <color rgb="FF000000"/>
        <rFont val="Calibri"/>
        <family val="2"/>
        <scheme val="minor"/>
      </rPr>
      <t>• Treinamento:</t>
    </r>
    <r>
      <rPr>
        <sz val="10"/>
        <color rgb="FF000000"/>
        <rFont val="Calibri"/>
        <family val="2"/>
        <scheme val="minor"/>
      </rPr>
      <t xml:space="preserve"> programa que garanta um treinamento inicial e contínuo dos colaboradores, sobre os requisitos de AML/CFT (PLD/CFT) e prevenção à fraude, conforme exigido pelas políticas e procedimentos, incluindo os registros desses treinamentos que evidenciem sua realização e controle de presença.
</t>
    </r>
    <r>
      <rPr>
        <b/>
        <sz val="10"/>
        <color rgb="FF000000"/>
        <rFont val="Calibri"/>
        <family val="2"/>
        <scheme val="minor"/>
      </rPr>
      <t>• Monitoramento e relatórios de controle:</t>
    </r>
    <r>
      <rPr>
        <sz val="10"/>
        <color rgb="FF000000"/>
        <rFont val="Calibri"/>
        <family val="2"/>
        <scheme val="minor"/>
      </rPr>
      <t xml:space="preserve"> monitoramento de transações, conforme exigido pelas políticas e procedimentos. Evidências de monitoramento e relatórios de controle das transações, devidamente formalizados e arquivados, incluindo relatórios de atividades ou de transações suspeitas (SARs/STRs).
</t>
    </r>
    <r>
      <rPr>
        <b/>
        <sz val="10"/>
        <color rgb="FF000000"/>
        <rFont val="Calibri"/>
        <family val="2"/>
        <scheme val="minor"/>
      </rPr>
      <t>• Atividades suspeitas:</t>
    </r>
    <r>
      <rPr>
        <sz val="10"/>
        <color rgb="FF000000"/>
        <rFont val="Calibri"/>
        <family val="2"/>
        <scheme val="minor"/>
      </rPr>
      <t xml:space="preserve"> envio de SARs/STRs para a WU, além das evidências de comunicação e arquivamento estabelecido pela legislação aplicável.
</t>
    </r>
    <r>
      <rPr>
        <b/>
        <sz val="10"/>
        <color rgb="FF000000"/>
        <rFont val="Calibri"/>
        <family val="2"/>
        <scheme val="minor"/>
      </rPr>
      <t>• Registro e identificação dos FLAs (Operadores):</t>
    </r>
    <r>
      <rPr>
        <sz val="10"/>
        <color rgb="FF000000"/>
        <rFont val="Calibri"/>
        <family val="2"/>
        <scheme val="minor"/>
      </rPr>
      <t xml:space="preserve"> registro dos documentos de identificação dos operadores para cada um dos usuários criados no sistema de transferência de dinheiro.
</t>
    </r>
    <r>
      <rPr>
        <b/>
        <sz val="10"/>
        <color rgb="FF000000"/>
        <rFont val="Calibri"/>
        <family val="2"/>
        <scheme val="minor"/>
      </rPr>
      <t>• Manutenção de registros e guarda de documentos:</t>
    </r>
    <r>
      <rPr>
        <sz val="10"/>
        <color rgb="FF000000"/>
        <rFont val="Calibri"/>
        <family val="2"/>
        <scheme val="minor"/>
      </rPr>
      <t xml:space="preserve"> documentação sobre retenção de registros de acordo com as políticas e procedimentos. 
</t>
    </r>
    <r>
      <rPr>
        <b/>
        <sz val="10"/>
        <color rgb="FF000000"/>
        <rFont val="Calibri"/>
        <family val="2"/>
        <scheme val="minor"/>
      </rPr>
      <t>• Revisão independente:</t>
    </r>
    <r>
      <rPr>
        <sz val="10"/>
        <color rgb="FF000000"/>
        <rFont val="Calibri"/>
        <family val="2"/>
        <scheme val="minor"/>
      </rPr>
      <t xml:space="preserve"> revisão independente do Programa de AML (PLD) realizada por um terceiro qualificado e documentada de acordo com as políticas e procedimentos, incluindo quaisquer ações corretivas ou recomendações que tenham sido implementadas.
</t>
    </r>
    <r>
      <rPr>
        <b/>
        <sz val="10"/>
        <color rgb="FF000000"/>
        <rFont val="Calibri"/>
        <family val="2"/>
        <scheme val="minor"/>
      </rPr>
      <t>• Gerenciamento e supervisão de subagentes:</t>
    </r>
    <r>
      <rPr>
        <sz val="10"/>
        <color rgb="FF000000"/>
        <rFont val="Calibri"/>
        <family val="2"/>
        <scheme val="minor"/>
      </rPr>
      <t xml:space="preserve"> revisão do programa de Compliance de correspondentes e os devidos controles de supervisão realizados pelo Master Agente.
</t>
    </r>
    <r>
      <rPr>
        <b/>
        <sz val="10"/>
        <color rgb="FF000000"/>
        <rFont val="Calibri"/>
        <family val="2"/>
        <scheme val="minor"/>
      </rPr>
      <t>• Documentação relacionada aos requisitos de reportes regulatórios.</t>
    </r>
  </si>
  <si>
    <r>
      <t xml:space="preserve">Essa revisão foi realizada para avaliar a adesão ao programa de AML/CFT (PLD/CFT) e ao programa de prevenção à fraude relacionada exclusivamente aos produtos e serviços fornecidos pela Western Union. 
</t>
    </r>
    <r>
      <rPr>
        <sz val="8"/>
        <color theme="1"/>
        <rFont val="Calibri"/>
        <family val="2"/>
        <scheme val="minor"/>
      </rPr>
      <t xml:space="preserve">
</t>
    </r>
    <r>
      <rPr>
        <sz val="10"/>
        <color theme="1"/>
        <rFont val="Calibri"/>
        <family val="2"/>
        <scheme val="minor"/>
      </rPr>
      <t xml:space="preserve">A revisão contemplou, mas não se limitou, aos seguintes itens:
</t>
    </r>
    <r>
      <rPr>
        <sz val="5"/>
        <color theme="1"/>
        <rFont val="Calibri"/>
        <family val="2"/>
        <scheme val="minor"/>
      </rPr>
      <t xml:space="preserve">
</t>
    </r>
    <r>
      <rPr>
        <b/>
        <sz val="10"/>
        <color theme="1"/>
        <rFont val="Calibri"/>
        <family val="2"/>
        <scheme val="minor"/>
      </rPr>
      <t>• Informações gerais e cadastrais:</t>
    </r>
    <r>
      <rPr>
        <sz val="10"/>
        <color theme="1"/>
        <rFont val="Calibri"/>
        <family val="2"/>
        <scheme val="minor"/>
      </rPr>
      <t xml:space="preserve"> verificação da exatidão das informações registradas nos sistemas da Western Union.
</t>
    </r>
    <r>
      <rPr>
        <b/>
        <sz val="10"/>
        <color theme="1"/>
        <rFont val="Calibri"/>
        <family val="2"/>
        <scheme val="minor"/>
      </rPr>
      <t>• Treinamento dos FLAs (Operadores):</t>
    </r>
    <r>
      <rPr>
        <sz val="10"/>
        <color theme="1"/>
        <rFont val="Calibri"/>
        <family val="2"/>
        <scheme val="minor"/>
      </rPr>
      <t xml:space="preserve"> certificação de que os operadores da loja receberam treinamento em AML/CFT (PLD/CFT) e prevenção à fraudes.
</t>
    </r>
    <r>
      <rPr>
        <b/>
        <sz val="10"/>
        <color theme="1"/>
        <rFont val="Calibri"/>
        <family val="2"/>
        <scheme val="minor"/>
      </rPr>
      <t>• Requisitos de KYC (Conheça seu Cliente):</t>
    </r>
    <r>
      <rPr>
        <sz val="10"/>
        <color theme="1"/>
        <rFont val="Calibri"/>
        <family val="2"/>
        <scheme val="minor"/>
      </rPr>
      <t xml:space="preserve"> avaliação do conhecimento dos FLAs (Operadores) em relação aos requisitos da WU quanto à identificação dos clientes e o propósito das transações.
</t>
    </r>
    <r>
      <rPr>
        <b/>
        <sz val="10"/>
        <color theme="1"/>
        <rFont val="Calibri"/>
        <family val="2"/>
        <scheme val="minor"/>
      </rPr>
      <t>• Transações e atividades suspeitas:</t>
    </r>
    <r>
      <rPr>
        <sz val="10"/>
        <color theme="1"/>
        <rFont val="Calibri"/>
        <family val="2"/>
        <scheme val="minor"/>
      </rPr>
      <t xml:space="preserve"> avaliação do conhecimento e capacidade dos FLAs (Operadores) para reconhecer comportamentos incomuns ou atípicos dos clientes, com base nos padrões informados de transações suspeitas.
</t>
    </r>
    <r>
      <rPr>
        <b/>
        <sz val="10"/>
        <color theme="1"/>
        <rFont val="Calibri"/>
        <family val="2"/>
        <scheme val="minor"/>
      </rPr>
      <t>• Manutenção de registros:</t>
    </r>
    <r>
      <rPr>
        <sz val="10"/>
        <color theme="1"/>
        <rFont val="Calibri"/>
        <family val="2"/>
        <scheme val="minor"/>
      </rPr>
      <t xml:space="preserve"> formalização das transações nos sistemas e retenção dos comprovantes obrigatórios, conforme definido nas Políticas e Procedimentos da WU.</t>
    </r>
  </si>
  <si>
    <r>
      <t xml:space="preserve">•	Responsável de Compliance – a designação por escrito de um Responsável de Compliance formado e com experiência em questões relacionadas com AML/CFT e Antifraude. 
</t>
    </r>
    <r>
      <rPr>
        <sz val="4"/>
        <color rgb="FF000000"/>
        <rFont val="Calibri"/>
        <family val="2"/>
        <scheme val="minor"/>
      </rPr>
      <t xml:space="preserve">
</t>
    </r>
    <r>
      <rPr>
        <sz val="10"/>
        <color rgb="FF000000"/>
        <rFont val="Calibri"/>
        <family val="2"/>
        <scheme val="minor"/>
      </rPr>
      <t xml:space="preserve">•	Políticas e Procedimentos – Políticas e Procedimentos AML/CFT e Antifraude documentados em conformidade com os requisitos jurisdicionais aplicáveis.
</t>
    </r>
    <r>
      <rPr>
        <sz val="4"/>
        <color rgb="FF000000"/>
        <rFont val="Calibri"/>
        <family val="2"/>
        <scheme val="minor"/>
      </rPr>
      <t xml:space="preserve">
</t>
    </r>
    <r>
      <rPr>
        <sz val="10"/>
        <color rgb="FF000000"/>
        <rFont val="Calibri"/>
        <family val="2"/>
        <scheme val="minor"/>
      </rPr>
      <t xml:space="preserve">•	Formação – um programa que garante a formação inicial e contínua dos colaboradores de acordo com os requisitos AML/CFT e Antifraude, conforme exigido pelas Políticas e Procedimentos, incluindo registos de formação que apresentam todos os eventos de formação de Compliance
</t>
    </r>
    <r>
      <rPr>
        <sz val="4"/>
        <color rgb="FF000000"/>
        <rFont val="Calibri"/>
        <family val="2"/>
        <scheme val="minor"/>
      </rPr>
      <t xml:space="preserve">
</t>
    </r>
    <r>
      <rPr>
        <sz val="10"/>
        <color rgb="FF000000"/>
        <rFont val="Calibri"/>
        <family val="2"/>
        <scheme val="minor"/>
      </rPr>
      <t xml:space="preserve">•	Monitorização e Denúncias – monitorização de transações, conforme exigido pelas Políticas e Procedimentos.  Provas de monitorização e denúncia das transações, resultando no preenchimento adequado e atempado de Denúncias de Atividade Suspeita ou de Denúncias de Transação Suspeita (SAR/STR).
</t>
    </r>
    <r>
      <rPr>
        <sz val="4"/>
        <color rgb="FF000000"/>
        <rFont val="Calibri"/>
        <family val="2"/>
        <scheme val="minor"/>
      </rPr>
      <t xml:space="preserve">
</t>
    </r>
    <r>
      <rPr>
        <sz val="10"/>
        <color rgb="FF000000"/>
        <rFont val="Calibri"/>
        <family val="2"/>
        <scheme val="minor"/>
      </rPr>
      <t xml:space="preserve">•	Atividade Suspeita: comunicação de SAR/STR à WU, juntamente com provas de retenção para o período legalmente exigido
</t>
    </r>
    <r>
      <rPr>
        <sz val="4"/>
        <color rgb="FF000000"/>
        <rFont val="Calibri"/>
        <family val="2"/>
        <scheme val="minor"/>
      </rPr>
      <t xml:space="preserve">
</t>
    </r>
    <r>
      <rPr>
        <sz val="10"/>
        <color rgb="FF000000"/>
        <rFont val="Calibri"/>
        <family val="2"/>
        <scheme val="minor"/>
      </rPr>
      <t xml:space="preserve">•	Registos e identificações de FLA: registos de documentos de identificação atuais para o sistema de transferências de fundos que mostrem identificações únicas para cada utilizador do sistema.
</t>
    </r>
    <r>
      <rPr>
        <sz val="4"/>
        <color rgb="FF000000"/>
        <rFont val="Calibri"/>
        <family val="2"/>
        <scheme val="minor"/>
      </rPr>
      <t xml:space="preserve">
</t>
    </r>
    <r>
      <rPr>
        <sz val="10"/>
        <color rgb="FF000000"/>
        <rFont val="Calibri"/>
        <family val="2"/>
        <scheme val="minor"/>
      </rPr>
      <t xml:space="preserve">•	Manutenção de Registos e Retenção de Documentos – documentação de retenção de registos em conformidade com as Políticas e Procedimentos. 
</t>
    </r>
    <r>
      <rPr>
        <sz val="4"/>
        <color rgb="FF000000"/>
        <rFont val="Calibri"/>
        <family val="2"/>
        <scheme val="minor"/>
      </rPr>
      <t xml:space="preserve">
</t>
    </r>
    <r>
      <rPr>
        <sz val="10"/>
        <color rgb="FF000000"/>
        <rFont val="Calibri"/>
        <family val="2"/>
        <scheme val="minor"/>
      </rPr>
      <t xml:space="preserve">•	Análise Independente – análise independente do programa AML conduzido por uma parte qualificada e documentada em conformidade com as Políticas e Procedimentos, incluindo quaisquer ações corretivas ou recomendações que tenham sido implementadas. 
</t>
    </r>
    <r>
      <rPr>
        <sz val="4"/>
        <color rgb="FF000000"/>
        <rFont val="Calibri"/>
        <family val="2"/>
        <scheme val="minor"/>
      </rPr>
      <t xml:space="preserve">
</t>
    </r>
    <r>
      <rPr>
        <sz val="10"/>
        <color rgb="FF000000"/>
        <rFont val="Calibri"/>
        <family val="2"/>
        <scheme val="minor"/>
      </rPr>
      <t xml:space="preserve">•	Gestão e supervisão dos subagentes – análise do Programa de Compliance dos Subagentes e controlos de supervisão do Agente Principal
</t>
    </r>
    <r>
      <rPr>
        <sz val="4"/>
        <color rgb="FF000000"/>
        <rFont val="Calibri"/>
        <family val="2"/>
        <scheme val="minor"/>
      </rPr>
      <t xml:space="preserve">
</t>
    </r>
    <r>
      <rPr>
        <sz val="10"/>
        <color rgb="FF000000"/>
        <rFont val="Calibri"/>
        <family val="2"/>
        <scheme val="minor"/>
      </rPr>
      <t>•	Documentação relativa aos requisitos de denúncias regulamentares.</t>
    </r>
  </si>
  <si>
    <t>A análise foi realizada com o objetivo de avaliar o cumprimento do Programa AML/CFT e Antifraude exclusivamente em relação aos produtos e serviços fornecidos pela Western Union.
A análise incluiu, sem limitação, os seguintes componentes:
•	Verificação da Preparação da Agência – analisar a precisão das informações da Agência nos registos da WU.
•	Formação dos FLA – garantir que os Colaboradores com Contacto Direto com o Cliente (FLA) da Agência receberam formação em AML/CFT. 
•	Requisitos KYC – avaliar o conhecimento dos FLA relativamente à atividade dos clientes e aos requisitos da WU.
•	Transações e Atividades Suspeitas – avaliar o conhecimento e as capacidades para reconhecer comportamentos atípicos dos clientes relacionados com padrões de transações suspeitas.
•	Manutenção de registos – retenção de documentação de acordo com as Políticas e Procedimentos do Agente principal.</t>
  </si>
  <si>
    <t>This document should be helpful in administering and improving your AML processes. If you offer other financial services that are not provided by Western Union and they are regulated, you may need additional written Policies &amp; Procedures. Please note that failure to comply with the below recommendations and timeline could result in adverse action being taken, including suspension and/or termination. We will continue to monitor your progress in completing the required actions. 
We thank you for your time and support in helping Western Union conduct this review. We look forward to your continued cooperation as you complete the action items on the attached list.  We are committed to strengthening our business relationship and sharing information that will help you to continually enhance your Compliance Program.</t>
  </si>
  <si>
    <t>Este documento debería ser útil para administrar y mejorar sus procesos de ALD.  Si ofrece otros servicios financieros que Western Union no proporciona y están regulados, es posible que necesite Políticas y procedimientos adicionales por escrito.
Tenga en cuenta que el incumplimiento de las recomendaciones y la fecha de vencimiento que aparecen a continuación podrían dar lugar a que se tomen medidas de rechazo, incluida la suspensión y/o terminación. Continuaremos supervisando su progreso en lo que respecta a completar las medidas requeridas.
Le agradecemos su tiempo y apoyo para ayudar a Western Union a realizar esta revisión.  Esperamos contar con su cooperación continua a medida que completa los elementos de acción que se encuentran en la lista adjunta. Nos comprometemos a fortalecer nuestra relación comercial y a compartir información que lo ayudará a mejorar continuamente su Programa de cumplimiento.</t>
  </si>
  <si>
    <t>Ce document devrait vous aider à administrer et à améliorer vos processus en matière de lutte contre le blanchiment d'argent.  Si vous offrez d'autres services qui ne sont pas fournis par Western Union et qui font l'objet d'une réglementation, vous pourriez avoir besoin d'autres politiques et procédures écrites.  Veuillez noter que le défaut de vous conformer aux recommandations et au calendrier ci-dessous pourrait entraîner la prise de mesures indésirables, notamment la suspension ou la résiliation immédiate de votre droit de fournir des services Western Union. Nous continuerons de surveiller votre progression dans la prise des mesures requises.</t>
  </si>
  <si>
    <t>Este documento deve ser útil na administração e aprimoramento dos processos de AML (PLD). Caso o Correspondente ofereça outros serviços financeiros regulamentados, além dos fornecidos pela Western Union, o Correspondente pode precisar de políticas e procedimentos adicionais formalizados.
Observe que o não cumprimento das recomendações e prazos listados abaixo podem resultar em sanções, incluindo a suspensão e/ou rescisão do Contrato de Prestação de Serviços em vigor. Continuaremos monitorando seu progresso no sentido de concluir os planos de ação definidos. Agradecemos por seu tempo e apoio para ajudar a Western Union a realizar esta revisão.
Esperamos sua cooperação contínua na execução dos planos de ação listados na tabela a seguir. Estamos comprometidos com o fortalecimento de nossa relação comercial e com o compartilhamento de informações que o ajudarão a aprimorar continuamente seu programa de Compliance. Entre em contato conosco para discutir quaisquer questões adicionais relacionadas aos resultados desta revisão e/ou para ajudar a desenvolver as ações corretivas que possam ser necessárias.</t>
  </si>
  <si>
    <t xml:space="preserve">Este documento deverá ser útil para a gestão e melhoria dos processos seus processos AML.  Se oferecer outros serviços financeiros não fornecidos pela Western Union e que estejam regulamentados, poderá precisar de Políticas e Procedimentos adicionais por escrito. Tenha em atenção que o não cumprimento das recomendações e dos prazos abaixo pode resultar em ações adversas, incluindo a suspensão e/ou rescisão. Continuaremos a monitorizar o seu progresso na conclusão das ações necessárias. 
Agradecemos o tempo dispensado e a sua colaboração na realização da presente análise por parte da Western Union.  Esperamos poder continuar a contar com a sua colaboração à medida que completa os itens da lista em anexo.  Estamos empenhados em fortalecer a nossa relação profissional e em partilhar informações que o irão ajudar a melhorar continuamente o seu Programa de Compliance.  Pode contactar-nos para discutir quaisquer questões adicionais que possa ter sobre os resultados da análise, de modo a ajudar a desenvolver as ações corretivas necessárias. 
</t>
  </si>
  <si>
    <t>This document should be helpful in administering and improving your AML processes.  If you offer other financial services that are not provided by Western Union and they are regulated, you may need additional written Policies &amp; Procedures.  Please note that failure to comply with the below recommendations and timeline could result in adverse action being taken, including suspension and/or termination. We will continue to monitor your progress in completing the required actions. We thank you for your time and support in helping Western Union conduct this review.</t>
  </si>
  <si>
    <t>Este documento debería ser útil para administrar y mejorar sus procesos de ALD.  Si ofrece otros servicios financieros que Western Union no proporciona y están regulados, es posible que necesite Políticas y procedimientos adicionales por escrito.  Tenga en cuenta que el incumplimiento de las recomendaciones y el cronograma que aparecen a continuación podría dar lugar a que se tomen medidas de rechazo, incluida la suspensión y/o terminación. Continuaremos supervisando su progreso en lo que respecta a completar las medidas requeridas.</t>
  </si>
  <si>
    <t>Ce document devrait vous aider à administrer et à améliorer vos processus en matière de lutte contre le blanchiment d'argent.Si vous offrez d’autres services qui ne sont pas fournis par Western Union et qui font l’objet d’une réglementation, vous pourriez avoir besoin d’autres politiques et procédures écrites. Veuillez noter que le défaut de vous conformer aux recommandations et au calendrier ci-dessous pourrait entraîner la prise de mesures indésirables, notamment la suspension ou la résiliation immédiate de votre droit de fournir des services Western Union. Nous continuerons de surveiller votre progression dans la prise des mesures requises.</t>
  </si>
  <si>
    <t xml:space="preserve">Nous vous remercions pour votre temps et votre aide dans le cadre de cette revue de Western Union.  Nous vous remercions à l’avance de votre collaboration continue afin de réaliser les éléments de la liste jointe.  Nous sommes déterminés à renforcer notre relation d'affaires et à vous faire part des renseignements qui vous aideront à améliorer de manière permanente votre programme de conformité. </t>
  </si>
  <si>
    <t>Este documento deve ser útil na administração e aprimoramento de processos de AML (PLD). Caso o Master Agente ofereça outros serviços financeiros regulamentados, além dos fornecidos pela Western Union, o Master Agente pode precisar de políticas e procedimentos adicionais formalizados. Observe que o não cumprimento das recomendações e prazos listados abaixo podem resultar em sanções, incluindo a suspensão e/ou rescisão do Contrato de Prestação de Serviços em vigor. Continuaremos monitorando seu progresso no sentido de concluir os planos de ação definidos.</t>
  </si>
  <si>
    <t>Este documento deverá ser útil para a gestão e melhoria dos seus processos AML.  Se oferecer outros serviços financeiros não fornecidos pela Western Union e que estejam regulamentados, poderá precisar de Políticas e Procedimentos adicionais por escrito.  Tenha em atenção que o não cumprimento das recomendações e dos prazos abaixo pode resultar em ações adversas, incluindo a suspensão e/ou rescisão. Continuaremos a monitorizar o seu progresso na conclusão das ações necessárias.</t>
  </si>
  <si>
    <t>Agradecemos por seu tempo e apoio para ajudar a Western Union a realizar esta revisão. Esperamos sua cooperação contínua na execução dos planos de ação listados na tabela a seguir. Estamos comprometidos com o fortalecimento de nossa relação comercial e com o compartilhamento de informações que o ajudarão a aprimorar continuamente seu programa de Compliance. Entre em contato conosco para discutir quaisquer questões adicionais relacionadas aos resultados desta revisão e/ou para ajudar a desenvolver as ações corretivas que possam ser necessárias.</t>
  </si>
  <si>
    <t>Agradecemos o tempo dispensado e a sua colaboração na realização da presente análise por parte da Western Union.  Esperamos poder continuar a contar com a sua colaboração à medida que completa os itens da lista em anexo.  Estamos empenhados em fortalecer a nossa relação profissional e em partilhar informações que o irão ajudar a melhorar continuamente o seu Programa de Compliance. Pode contactar-nos para discutir quaisquer questões adicionais que possa ter sobre os resultados da análise, de modo a ajudar a desenvolver as necessárias ações corretivas.</t>
  </si>
  <si>
    <t>Sincerely,</t>
  </si>
  <si>
    <t>Atentamente,</t>
  </si>
  <si>
    <t>Meilleures salutations,</t>
  </si>
  <si>
    <t>Cordialement,</t>
  </si>
  <si>
    <t>Atenciosamente,</t>
  </si>
  <si>
    <t>Com os melhores cumprimentos,</t>
  </si>
  <si>
    <t>WESTERN UNION AML COMPLIANCE DEPARTMENT</t>
  </si>
  <si>
    <t>DEPARTAMENTO DE COMPLIANCE E PLD DA WESTERN UNION</t>
  </si>
  <si>
    <t>DEPARTAMENTO DE CONFORMIDADE COM AML DA WESTERN UNION</t>
  </si>
  <si>
    <t>DEPARTAMENTO DE CONFORMIDADE AML DA WESTERN UNION</t>
  </si>
  <si>
    <t xml:space="preserve">We look forward to your continued cooperation as you complete the action items on the attached list. We are committed to strengthening our business relationship and sharing information that will help you to continually enhance your Compliance Program. </t>
  </si>
  <si>
    <t>Le agradecemos su tiempo y apoyo para ayudar a Western Union a realizar esta revisión.  Esperamos contar con su cooperación continua a medida que completa los elementos de acción que se encuentran en la lista adjunta.  Nos comprometemos a fortalecer nuestra relación comercial y a compartir información que lo ayudará a mejorar continuamente su programa de cumplimiento.</t>
  </si>
  <si>
    <t xml:space="preserve">Nous vous remercions pour votre temps et votre aide dans le cadre de cette revue de Western Union. Nous vous remercions à l’avance de votre collaboration continue afin de réaliser les éléments de la liste jointe. Nous sommes déterminés à renforcer notre relation d’affaires et à vous faire part des renseignements qui vous aideront à améliorer de manière permanente votre programme de conformité. </t>
  </si>
  <si>
    <t>N’hésitez pas à communiquer avec nous pour discuter de toute question supplémentaire que vous pourriez vous poser sur les résultats de la revue, pour vous aider à élaborer les mesures correctives qui pourraient s’avérer nécessaires.</t>
  </si>
  <si>
    <t xml:space="preserve"> Contactez-nous à 1-866-633-2247 (option 2) pour discuter de toute question supplémentaire que vous pourriez vous poser sur les résultats de la revue et pour vous aider à élaborer les mesures correctives qui pourraient s’avérer nécessaires.</t>
  </si>
  <si>
    <t xml:space="preserve">Findings and/or violations to </t>
  </si>
  <si>
    <t xml:space="preserve"> law and/or applicable Western Union compliance policies and procedures</t>
  </si>
  <si>
    <t xml:space="preserve">Hallazgos y/o infracciones de la ley en </t>
  </si>
  <si>
    <t xml:space="preserve"> y/o políticas y procedimientos de cumplimiento de Western Union</t>
  </si>
  <si>
    <t xml:space="preserve">Constatations et/ou violations de la loi de </t>
  </si>
  <si>
    <t xml:space="preserve"> et/ou des politiques et procédures de conformité de Western Union en vigueur</t>
  </si>
  <si>
    <t xml:space="preserve">Itens identificados e/ouviolações da legislação do </t>
  </si>
  <si>
    <t xml:space="preserve"> e/ou Políticas e Procedimentos de Compliance da Western Union</t>
  </si>
  <si>
    <t>Resultados/violações relativamente à lei de </t>
  </si>
  <si>
    <t xml:space="preserve"> e/ou políticas e procedimentos da Western Union</t>
  </si>
  <si>
    <t xml:space="preserve">Compliance Officer/Delegate: </t>
  </si>
  <si>
    <t xml:space="preserve">Oficial/Delegado de cumplimiento: </t>
  </si>
  <si>
    <t xml:space="preserve">Responsable de la conformité/délégué à la conformité: </t>
  </si>
  <si>
    <t xml:space="preserve">Diretor responsável pelas atividades de Compliance: </t>
  </si>
  <si>
    <t xml:space="preserve">Representante/Delegado de Compliance: </t>
  </si>
  <si>
    <t xml:space="preserve">Deadline to remediate all findings with follow up required: </t>
  </si>
  <si>
    <t xml:space="preserve">Fecha límite para solucionar todos los hallazgos con seguimiento requerido: </t>
  </si>
  <si>
    <t xml:space="preserve">Date limite pour remédier à toutes les constatations avec suivi requis: </t>
  </si>
  <si>
    <t xml:space="preserve">Prazo para corrigir todos os itens identificados e envio das evidências necessárias: </t>
  </si>
  <si>
    <t xml:space="preserve">Prazo para corrigir todos os resultados com acompanhamento necessário: </t>
  </si>
  <si>
    <t>Western Union – Confidential</t>
  </si>
  <si>
    <t>Western Union - Confidencial</t>
  </si>
  <si>
    <t>Western Union -Información confidencial</t>
  </si>
  <si>
    <t>Western Union – Confidentiel</t>
  </si>
  <si>
    <t>Western Union – Confidencial</t>
  </si>
  <si>
    <t>Western Union –Confidencial</t>
  </si>
  <si>
    <t>Outubro de 2022 v2.1</t>
  </si>
  <si>
    <t>Revisado; 01/10/22</t>
  </si>
  <si>
    <t>Revisado; 01/10/2022</t>
  </si>
  <si>
    <t>The contents of this letter and the Program Review report are confidential and may not be given or otherwise disclosed, in any manner, to any third party without permission from Western Union AML Compliance.</t>
  </si>
  <si>
    <t>El contenido de esta carta y del informe de revisión del programa son confidenciales y, de ninguna manera, se pueden divulgar a ningún tercero sin el permiso de Cumplimiento de ALD de Western Union.</t>
  </si>
  <si>
    <t>El contenido de esta carta y el informe de revisión del Programa son confidenciales y no pueden compartirse o divulgarse de ninguna otra manera con terceros sin el permiso del Cumplimiento de PBC de Western Union.</t>
  </si>
  <si>
    <t>Le contenu de cette lettre et le rapport sur l’examen du dispositif sont confidentiels et ne peuvent être ni partagés ni divulgués, d’aucune manière que ce soit, à une tierce partie, sans l’autorisation du Département de conformité LAB de Western Union.</t>
  </si>
  <si>
    <t>Le contenu de cette lettre et le rapport sur l’examen du dispositif sont confidentiels et ne peuvent être ni transmis ni divulgués, d’aucune manière que ce soit, à une tierce partie sans l’autorisation du Département de conformité LAB de Western Union.</t>
  </si>
  <si>
    <t>O conteúdo desta carta e o relatório da Revisão do Programa são confidenciais e não podem ser publicados ou de outra maneira fornecidos a nenhum terceiro sem permissão do Programa de conformidade com AML da Western Union.</t>
  </si>
  <si>
    <t>O conteúdo desta carta e o relatório da Revisão do Programa são confidenciais e não podem ser publicados ou de outra maneira fornecidos a nenhum terceiro sem permissão do Programa de Compliance e PLD da Western Union.</t>
  </si>
  <si>
    <t>Eng</t>
  </si>
  <si>
    <t xml:space="preserve">Note: A copy of this notice of violation will also be delivered to your location </t>
  </si>
  <si>
    <t>Spa</t>
  </si>
  <si>
    <t xml:space="preserve">Nota: También se entregará una copia de este aviso de infracción de su localidad </t>
  </si>
  <si>
    <t>Fre</t>
  </si>
  <si>
    <t xml:space="preserve">Remarque : une copie du présent avis de violation sera également livrée à votre emplacement </t>
  </si>
  <si>
    <t>Por</t>
  </si>
  <si>
    <t xml:space="preserve">Observação: Uma cópia deste relatório também será enviado para o responsável pela loja </t>
  </si>
  <si>
    <t xml:space="preserve">Nota: será também entregue uma cópia deste aviso de violação à sua agência </t>
  </si>
  <si>
    <t>Windows User</t>
  </si>
  <si>
    <t>Department</t>
  </si>
  <si>
    <t>WUCO Name</t>
  </si>
  <si>
    <t>Position</t>
  </si>
  <si>
    <t>Phone Number</t>
  </si>
  <si>
    <t>FAX Number</t>
  </si>
  <si>
    <t>Email Address</t>
  </si>
  <si>
    <t>Manager</t>
  </si>
  <si>
    <t>AML Compliance – NOAM Region</t>
  </si>
  <si>
    <t>Sr. Compliance Officer</t>
  </si>
  <si>
    <t>Compliance Officer I</t>
  </si>
  <si>
    <t>249719</t>
  </si>
  <si>
    <t>Leonardo Jose Escalante Quesada</t>
  </si>
  <si>
    <t>732 694-2190</t>
  </si>
  <si>
    <t>Leonardo.Escalante@westernunion.com</t>
  </si>
  <si>
    <t>195914</t>
  </si>
  <si>
    <t>Alexandra Feng</t>
  </si>
  <si>
    <t>Compliance Officer II</t>
  </si>
  <si>
    <t>732-694-2918</t>
  </si>
  <si>
    <t>alexandra.feng@wu.com</t>
  </si>
  <si>
    <t>308530</t>
  </si>
  <si>
    <t>Melissa Castro Ugalde</t>
  </si>
  <si>
    <t>Specialist, Agent Compliance</t>
  </si>
  <si>
    <t>732-694-2178</t>
  </si>
  <si>
    <t>Melissa.CastroUgalde@westernunion.com</t>
  </si>
  <si>
    <t>250742</t>
  </si>
  <si>
    <t>Jason Jimenez</t>
  </si>
  <si>
    <t>732-694-2236</t>
  </si>
  <si>
    <t>jasonalberto.jimenezbarrantes@westernunion.com</t>
  </si>
  <si>
    <t>307841</t>
  </si>
  <si>
    <t>Orlando Guardia</t>
  </si>
  <si>
    <t>732-694-2196</t>
  </si>
  <si>
    <t>orlando.guardia@wu.com</t>
  </si>
  <si>
    <t>317231</t>
  </si>
  <si>
    <t>Monica Oviedo Castro</t>
  </si>
  <si>
    <t>732-694-2920</t>
  </si>
  <si>
    <t>monica.oviedo@westernunion.com</t>
  </si>
  <si>
    <t>306682</t>
  </si>
  <si>
    <t>Priscilla Lopez Arias</t>
  </si>
  <si>
    <t>732-694-1358</t>
  </si>
  <si>
    <t>priscilla.lopez@westernunion.com</t>
  </si>
  <si>
    <t>243869</t>
  </si>
  <si>
    <t>Martin Sanchez Roque</t>
  </si>
  <si>
    <t>732-694-2227</t>
  </si>
  <si>
    <t>Martin.Sachez@westernunion.com</t>
  </si>
  <si>
    <t>307566</t>
  </si>
  <si>
    <t>Andres Lopez Arias</t>
  </si>
  <si>
    <t>732-694-2188</t>
  </si>
  <si>
    <t>Andres.LopezArias@westernunion.com</t>
  </si>
  <si>
    <t>306247</t>
  </si>
  <si>
    <t>Alejandro Matamoros</t>
  </si>
  <si>
    <t>732 694 1359</t>
  </si>
  <si>
    <t>Alejandro.matamoros@westernunion.com</t>
  </si>
  <si>
    <t>310363</t>
  </si>
  <si>
    <t>Mariana Granados Bloise</t>
  </si>
  <si>
    <t>732-694-2192</t>
  </si>
  <si>
    <t>Mariana.Granados@wu.com</t>
  </si>
  <si>
    <t>311904</t>
  </si>
  <si>
    <t>Ronald Cordero Serrano</t>
  </si>
  <si>
    <t xml:space="preserve">732 694 2919 </t>
  </si>
  <si>
    <t>Ronald.cordero@wu.com</t>
  </si>
  <si>
    <t>315850</t>
  </si>
  <si>
    <t>Daniel Morales</t>
  </si>
  <si>
    <t>732 694-2907</t>
  </si>
  <si>
    <t>Daniel.Morales@westernunion.com</t>
  </si>
  <si>
    <t>243374</t>
  </si>
  <si>
    <t>Supervisor</t>
  </si>
  <si>
    <t>554-345-3020</t>
  </si>
  <si>
    <t>joseluis.jurado@westernunion.com</t>
  </si>
  <si>
    <t>250631</t>
  </si>
  <si>
    <t>Melanie Alvarado</t>
  </si>
  <si>
    <t>(732) 694-2143</t>
  </si>
  <si>
    <t>Melanie.AlvaradoBolanos@westernunion.com</t>
  </si>
  <si>
    <t>305319</t>
  </si>
  <si>
    <t>Kevin Alonso Mena</t>
  </si>
  <si>
    <t>(732) 694-2952</t>
  </si>
  <si>
    <t>Kevin.Mena@westernunion.com</t>
  </si>
  <si>
    <t>314530</t>
  </si>
  <si>
    <t>Marcela Ramirez</t>
  </si>
  <si>
    <t xml:space="preserve">Compliance Officer </t>
  </si>
  <si>
    <t>732-694-2181</t>
  </si>
  <si>
    <t>marcela.ramirez@westernunion.com</t>
  </si>
  <si>
    <t>Allan Jimenez</t>
  </si>
  <si>
    <t>316505</t>
  </si>
  <si>
    <t>Denise Paola Goldstein</t>
  </si>
  <si>
    <t>NA</t>
  </si>
  <si>
    <t>denise.goldstein@wu.com</t>
  </si>
  <si>
    <t>Diego Ezequiel Bavio</t>
  </si>
  <si>
    <t>Diego Bavio</t>
  </si>
  <si>
    <t>AML Manager</t>
  </si>
  <si>
    <t>Georgina Rodriguez Pietsch</t>
  </si>
  <si>
    <t>313114</t>
  </si>
  <si>
    <t>Isaac Barrantes</t>
  </si>
  <si>
    <t>Isaac.barrantes@wu.com</t>
  </si>
  <si>
    <t>Kevin Mena</t>
  </si>
  <si>
    <t>249593</t>
  </si>
  <si>
    <t>Rafael Guzman</t>
  </si>
  <si>
    <t>732-694-2956</t>
  </si>
  <si>
    <t>Rafael.Guzman@wu.com</t>
  </si>
  <si>
    <t>318422</t>
  </si>
  <si>
    <t>Wesly Murillo Aguilar</t>
  </si>
  <si>
    <t>732-694-2934</t>
  </si>
  <si>
    <t>wesly.murillo@wu.com</t>
  </si>
  <si>
    <t>199789</t>
  </si>
  <si>
    <t>Maria Acuna</t>
  </si>
  <si>
    <t>Officer, Agent Compliance</t>
  </si>
  <si>
    <t>732-694-2958</t>
  </si>
  <si>
    <t>maria.acuna@wu.com</t>
  </si>
  <si>
    <t>310492</t>
  </si>
  <si>
    <t>Luis Diego Zumbado</t>
  </si>
  <si>
    <t xml:space="preserve">732-694-1354 </t>
  </si>
  <si>
    <t>luis.zumbado@wu.com</t>
  </si>
  <si>
    <t>Officer II, AML Compliance</t>
  </si>
  <si>
    <t>Compliance Officer l</t>
  </si>
  <si>
    <t>kchaves</t>
  </si>
  <si>
    <t>Karen Chaves</t>
  </si>
  <si>
    <t xml:space="preserve">Manager, AML Compliance </t>
  </si>
  <si>
    <t>506 25060881</t>
  </si>
  <si>
    <t>Karen.Chaves@westernunion.com</t>
  </si>
  <si>
    <t>Andrea Bogantes</t>
  </si>
  <si>
    <t>315617</t>
  </si>
  <si>
    <t>Gail Tatiana Tellez</t>
  </si>
  <si>
    <t>370 5 258 9786</t>
  </si>
  <si>
    <t>gail.tellez@wu.com</t>
  </si>
  <si>
    <t>245297</t>
  </si>
  <si>
    <t>Meyfer Rodriguez</t>
  </si>
  <si>
    <t xml:space="preserve">Compliance Officer I </t>
  </si>
  <si>
    <t>732-694-2233</t>
  </si>
  <si>
    <t>720-636-7939</t>
  </si>
  <si>
    <t>Meyfer.rodriguez@wu.com</t>
  </si>
  <si>
    <t>309215</t>
  </si>
  <si>
    <t>Aaron Dobles</t>
  </si>
  <si>
    <t>(732) 694-2241</t>
  </si>
  <si>
    <t xml:space="preserve">720 438 4900 </t>
  </si>
  <si>
    <t>jose.doblesavila@westernunion.com</t>
  </si>
  <si>
    <t>315356</t>
  </si>
  <si>
    <t>Luis Diego Rodriguez</t>
  </si>
  <si>
    <t>1-732-694-2232</t>
  </si>
  <si>
    <t>1-800-894-5148</t>
  </si>
  <si>
    <t>Luis.rodriguez@wu.com</t>
  </si>
  <si>
    <t>maacuna</t>
  </si>
  <si>
    <t>732- 694-2958</t>
  </si>
  <si>
    <t>720-438-4714</t>
  </si>
  <si>
    <t>maria.acuna@westernunion.com</t>
  </si>
  <si>
    <t>301860</t>
  </si>
  <si>
    <t>Pablo Zeledon Flores</t>
  </si>
  <si>
    <t>732 694 2225</t>
  </si>
  <si>
    <t>pablo.zeledonflores@westernunion.com</t>
  </si>
  <si>
    <t>305937</t>
  </si>
  <si>
    <t>Alison Cespedes Alvarez</t>
  </si>
  <si>
    <t>Senior Specialist</t>
  </si>
  <si>
    <t>732-694-2216</t>
  </si>
  <si>
    <t>1 800 894 5148</t>
  </si>
  <si>
    <t>alison.cespedesalvarez@westernunion.com</t>
  </si>
  <si>
    <t>303294</t>
  </si>
  <si>
    <t>Joselyn Godinez</t>
  </si>
  <si>
    <t>732 694 2147</t>
  </si>
  <si>
    <t>Joselyn.Godinez@westernunion.com</t>
  </si>
  <si>
    <t>307689</t>
  </si>
  <si>
    <t>Kevin Abarca</t>
  </si>
  <si>
    <t xml:space="preserve">Sr. Specialist Agent Compliance </t>
  </si>
  <si>
    <t>732-694-2195</t>
  </si>
  <si>
    <t xml:space="preserve">720-438-4931 </t>
  </si>
  <si>
    <t>Kevin.abarca@wu.com</t>
  </si>
  <si>
    <t>Monica Oviedo</t>
  </si>
  <si>
    <t>250633</t>
  </si>
  <si>
    <t xml:space="preserve">Yesenia Alvarado Rivera </t>
  </si>
  <si>
    <t>1-866-633-2247</t>
  </si>
  <si>
    <t>1-866-910-6301</t>
  </si>
  <si>
    <t>Yesenia.AlvaradoRivera@westernunion.com</t>
  </si>
  <si>
    <t>307564</t>
  </si>
  <si>
    <t>Aida Barrantes Bran</t>
  </si>
  <si>
    <t xml:space="preserve">1 732 694 2940 </t>
  </si>
  <si>
    <t xml:space="preserve">1 720 325 2685 </t>
  </si>
  <si>
    <t>aida.barrantesbran@wu.com</t>
  </si>
  <si>
    <t>Diego Rodriguez</t>
  </si>
  <si>
    <t>308620</t>
  </si>
  <si>
    <t>Katherine Ramirez</t>
  </si>
  <si>
    <t>732 694 2245</t>
  </si>
  <si>
    <t>720 864 0439</t>
  </si>
  <si>
    <t>Katherine.Ramirez@westernunion.com</t>
  </si>
  <si>
    <t>Priscilla Lopez</t>
  </si>
  <si>
    <t>319972</t>
  </si>
  <si>
    <t>AML Compliance North America</t>
  </si>
  <si>
    <t>David Arce Calvo</t>
  </si>
  <si>
    <t>732-694-1352</t>
  </si>
  <si>
    <t>720-325-2678</t>
  </si>
  <si>
    <t>david.arce@wu.com</t>
  </si>
  <si>
    <t>319914</t>
  </si>
  <si>
    <t>Jimena Cambronero Lopez</t>
  </si>
  <si>
    <t>732 694 2246</t>
  </si>
  <si>
    <t>732 227 4873</t>
  </si>
  <si>
    <t>Jimena.Cambronero@wu.com</t>
  </si>
  <si>
    <t>Daniel Fernandez</t>
  </si>
  <si>
    <t>313380</t>
  </si>
  <si>
    <t>Miguel Blanco</t>
  </si>
  <si>
    <t>732-694-2953</t>
  </si>
  <si>
    <t>Miguel.blanco@wu.com</t>
  </si>
  <si>
    <t>Georgina Rodriguez</t>
  </si>
  <si>
    <t>Senior Specialist, Agent Compliance</t>
  </si>
  <si>
    <t>Director</t>
  </si>
  <si>
    <t>318531</t>
  </si>
  <si>
    <t>Jeremy Ulate</t>
  </si>
  <si>
    <t>732-694-2938</t>
  </si>
  <si>
    <t>jeremy.ulate@wu.com</t>
  </si>
  <si>
    <t>314463</t>
  </si>
  <si>
    <t>Kevin Rivas</t>
  </si>
  <si>
    <t>Sr Specialist AML</t>
  </si>
  <si>
    <t>732-694-2149</t>
  </si>
  <si>
    <t>Kevin.Rivas@wu.com</t>
  </si>
  <si>
    <t>181833</t>
  </si>
  <si>
    <t>Veronica Espinoza Lopez</t>
  </si>
  <si>
    <t>(732) 694-2129</t>
  </si>
  <si>
    <t xml:space="preserve">720-864-0446 </t>
  </si>
  <si>
    <t>veronica.espinozalopez@wu.com</t>
  </si>
  <si>
    <t>319278</t>
  </si>
  <si>
    <t>David Murillo</t>
  </si>
  <si>
    <t>(732) 694-1360</t>
  </si>
  <si>
    <t>david.murillo@wu.com</t>
  </si>
  <si>
    <t>249587</t>
  </si>
  <si>
    <t>Melissa Rodriguez Zapata</t>
  </si>
  <si>
    <t>Melissa.RodriguezZapata@westernunion.com</t>
  </si>
  <si>
    <t>321323</t>
  </si>
  <si>
    <t>Raissa Ostroski</t>
  </si>
  <si>
    <t>Raissa.Ostroski@wu.com</t>
  </si>
  <si>
    <t>Rosana Lambert da Silva</t>
  </si>
  <si>
    <t>Maria Jose Roa Cabalceta</t>
  </si>
  <si>
    <t>mariajose.roacabalceta@wu.com</t>
  </si>
  <si>
    <t>Possible Answers</t>
  </si>
  <si>
    <t>Possible Answers Pool</t>
  </si>
  <si>
    <t>Guidance
If YES</t>
  </si>
  <si>
    <t>Guidance
If NO</t>
  </si>
  <si>
    <t>Guidance
If NO 2</t>
  </si>
  <si>
    <t>Guidance
If NA</t>
  </si>
  <si>
    <t>Free Text?</t>
  </si>
  <si>
    <t>Call Flow Order</t>
  </si>
  <si>
    <t>Verification Type</t>
  </si>
  <si>
    <t>Scripting English</t>
  </si>
  <si>
    <t>free1</t>
  </si>
  <si>
    <t>free2</t>
  </si>
  <si>
    <t>Action</t>
  </si>
  <si>
    <t>Verification Type English</t>
  </si>
  <si>
    <t>Suggested script English</t>
  </si>
  <si>
    <t>Verification Type Spanish</t>
  </si>
  <si>
    <t>Suggested script Spanish</t>
  </si>
  <si>
    <t>Verification Type French</t>
  </si>
  <si>
    <t>Suggested script French</t>
  </si>
  <si>
    <t>Verification Type Portuguese</t>
  </si>
  <si>
    <t>Suggested script Portuguese</t>
  </si>
  <si>
    <t>Guidance
If Yes</t>
  </si>
  <si>
    <t>Guidance
If No</t>
  </si>
  <si>
    <t>Guidance
If No 2</t>
  </si>
  <si>
    <t>GS1.GQ1</t>
  </si>
  <si>
    <t>Who conducted the interview (WUCO)?</t>
  </si>
  <si>
    <t xml:space="preserve">Please type the name of the WUCO in the Free Text response box. </t>
  </si>
  <si>
    <t>GS6.RQ1</t>
  </si>
  <si>
    <t>Is the Agent providing the required Pre-Transaction Disclosure Statement (PDS) to the consumer prior to collecting funds?</t>
  </si>
  <si>
    <t>Yes, No, N/A</t>
  </si>
  <si>
    <t>This question should be answered "YES" if: 
WUCO confirms that the Agent is providing the Pre-transaction Disclosure Statement (PDS) to the consumer, prior to accepting any money for the transaction, for all Dodd-Frank eligible transactions.</t>
  </si>
  <si>
    <t>This question should be answered  "NO" if:
 WUCO confirms that the Agent is NOT providing the Pre-transaction Disclosure Statement (PDS) to the consumer, prior to accepting any money for the transaction, for all Dodd-Frank eligible transactions</t>
  </si>
  <si>
    <t>This question should be answered "N/A" if:  
The Agent does not offer Money Transfer</t>
  </si>
  <si>
    <t>A_1</t>
  </si>
  <si>
    <t xml:space="preserve">Let’s say I am a consumer who is sending $300 outside the United States, before I can pay the transaction the system prints the Pre- Transaction Disclosure Statement (PDS), what do you do with it?
</t>
  </si>
  <si>
    <t xml:space="preserve">Supongamos que soy un cliente que está enviando $300 fuera del territorio Estadounidense y antes de pagarle la transferencia el sistema le imprime a usted un documento (PDS) que hace usted con el documento?
</t>
  </si>
  <si>
    <t>Proteção do Consumidor</t>
  </si>
  <si>
    <t>GS1.GQ2</t>
  </si>
  <si>
    <t>Date of Review</t>
  </si>
  <si>
    <t>Please enter the date of the review in the calendar field.</t>
  </si>
  <si>
    <t>GS6.RQ2</t>
  </si>
  <si>
    <t xml:space="preserve">Does the Agent understand how to handle a consumer’s request to cancel a transaction and receive a refund?
</t>
  </si>
  <si>
    <t xml:space="preserve">This question should be answered "YES" if: 
WUCO confirms that the Agent understands how to handle a consumer cancellation. </t>
  </si>
  <si>
    <t>This question should be answered "NO" if:  
WUCO cannot confirm that the Agent understands how to handle a consumer cancellation.
NOTE: This event is regarded as a Dodd-Frank "FAIL" and a case must be referred to the Consumer Protection Compliance Team (Dodd-Frank).</t>
  </si>
  <si>
    <t>If a consumer wants to cancel a transaction, how do you process this?              
                                                                                           (Through WUPOS OR by calling on behalf of the consumer to WU 1-800-435-2227)</t>
  </si>
  <si>
    <t>Si un cliente desea cancelar una transacción, sabe usted como hacerlo?      
                                                                                           (Through WUPOS OR by calling on behalf of the consumer to WU 1-800-435-2227)</t>
  </si>
  <si>
    <t>GS1.GQ3</t>
  </si>
  <si>
    <t>Interviewee Name, email address, and/or Fax:</t>
  </si>
  <si>
    <t>Please type the name and email address of the interviewee (the individual who was interviewed at the Agent location for the review).</t>
  </si>
  <si>
    <t>GS6.RQ3</t>
  </si>
  <si>
    <t>Does the FLA understand how to handle a consumer complaint?</t>
  </si>
  <si>
    <t>This question should be answered "YES" if: 
WUCO confirms that:
(1) the Agent is aware that they (the Agent) must contact WU regarding the consumer's complaint or issue, and that it is not permissible to simply direct the customer to call Western Union themselves; AND 
(2) the Agent is able to demonstrate or explain at least one appropriate mechanism for contacting WU regarding a consumer complaint or issue.</t>
  </si>
  <si>
    <t>This question should be answered "NO" if:
  WUCO confirms that:
(1) the Agent is not aware that they (the Agent) must contact WU regarding the consumer's complaint or issue, and that it is not permissible to simply direct the customer to call Western Union themselves; OR 
(2) the Agent is unable to demonstrate or explain at least one appropriate mechanism for contacting WU regarding a consumer complaint or issue.
NOTE: This event is regarded as a Dodd-Frank "FAIL" and a case must be referred to the Consumer Protection Compliance Team (Dodd-Frank).</t>
  </si>
  <si>
    <t>What happens if a consumer has a complaint about WU, how do you handle it? 
(Through WUPOS in the other services option complaints and fill out the consumer complaint form and submit it OR by calling on behalf of the consumer to 1-800-435-2227) Also in WU.com.</t>
  </si>
  <si>
    <t>Que pasa si un cliente desea realizar una queja acerca de WU o los servicios que se ofrecen, sabe usted como hacerlo?
(Through WUPOS in the other services option complaints and fill out the consumer complaint form and submit it OR by calling on behalf of the consumer to 1-800-435-2227) Also in WU.com.</t>
  </si>
  <si>
    <t>GS1.GQ4</t>
  </si>
  <si>
    <t xml:space="preserve">Is the Finding Level Assigned "With Findings" or higher? </t>
  </si>
  <si>
    <t>Yes, No</t>
  </si>
  <si>
    <t xml:space="preserve">	This question should be answered "YES" if:
WUCO should answer Yes if the Program Review resulted in a Finding Level of "With Findings" or higher.</t>
  </si>
  <si>
    <t xml:space="preserve"> This question should be answered "NO" if:
WUCO should answer No if the Program Review resulted in a Finding Level of "No Findings."</t>
  </si>
  <si>
    <t>GS6.RQ4</t>
  </si>
  <si>
    <t>Does the Agent know how to print the “Error Resolution and Cancellation Disclosures”?</t>
  </si>
  <si>
    <t>This question should be answered "YES" if: 
WUCO confirms that the Agent the Agent is able to demonstrate or explain how to print the "Error Resolution and Cancellation Rights" statement and explain it to the consumer.</t>
  </si>
  <si>
    <t>This question should be answered "NO" if: 
WUCO confirms that the Agent is NOT able to demonstrate or explain how to print the "Error Resolution and Cancellation Rights" statement and explain it to the consumer.</t>
  </si>
  <si>
    <t>If a client wants to know what rights they have regarding the Western Union services do you know where to find this information? There is a document that explains the client’s rights called the Error Resolution and Cancellation Rights…do you know where to find it?</t>
  </si>
  <si>
    <t xml:space="preserve">Si un cliente desea obtener información adicional acerca de cuales son sus derechos como clientes? Sabe usted donde obtener esa información?                                                                 In WUPOS you can go to other services and there is an Error Resolution and Cancellation rights option, you can print it and give it to the consumer or you can call on behalf of the consumer to 1-800-435-2227.
</t>
  </si>
  <si>
    <t>GS1.GQ5</t>
  </si>
  <si>
    <t>Attach a copy of the Findings Letter if the overall Level Assigned is "With Findings" or higher.</t>
  </si>
  <si>
    <t xml:space="preserve">If the overall Level Assigned is "With Findings" or higher: 
     •  Attach a copy of the Finding Letter email sent to the Agent or proof of mail (i.e. photo of the envelope)
     •  Add comment to Free Text box, i.e.,  "Attached" 
​​​​​​​​​​​​​​​​​​​​​If the overall Level Assigned is "No Findings":
    • Add comment to Free Text box, i.e.,  "Not Attached" 
</t>
  </si>
  <si>
    <t>GS6.RQ5</t>
  </si>
  <si>
    <t>Are Western Union advertising/marketing materials only displayed in an approved language?</t>
  </si>
  <si>
    <t>This question should be answered "YES" if: 
WUCO confirms that the Agent only displays marketing materials in one of the approved languages.</t>
  </si>
  <si>
    <t>This question should be answered "NO" if: 
WUCO confirms that the Agent displays marketing materials related to WU services in any language other than English or Spanish (Chinese or French Creole, if Agent is approved).</t>
  </si>
  <si>
    <t>This question should be answered "N/A" if:  
•The Agent does not offer Money Transfer</t>
  </si>
  <si>
    <t>In what languages are your Advertising/marketing signs displayed at the location?   English, Spanish, Chinese or French Creole</t>
  </si>
  <si>
    <t>En que idioma esta disponible la publicidad de la Marca de WU/VIGO/OV en la tienda?      English, Spanish, Chinese or French Creole</t>
  </si>
  <si>
    <t>GS1.GQ6</t>
  </si>
  <si>
    <t>Attach a copy of the Finding Letter email sent to the Agent (or proof of mail, i.e., photo of the envelope) if the overall Level Assigned is "With Findings" or higher.</t>
  </si>
  <si>
    <t>GS3.RQ1</t>
  </si>
  <si>
    <t>Is the Agent meeting their state specific requirements?</t>
  </si>
  <si>
    <t>This question should be answered "YES" if: 
WU CO confirms that the Agent is satisfying all state-specific requirements (prominent display, contract addenda, etc.). Refer to the "State Requirements" document on the US Field Organization SharePoint site for a list of requirements for each state.</t>
  </si>
  <si>
    <t>This question should be answered "NO" if:
There are any applicable state-specific requirements (as defined above) that this Agent is NOT satisfying.</t>
  </si>
  <si>
    <t>This question should be answered "N/A if:
There are no state-specific requirements in the Agent's state.</t>
  </si>
  <si>
    <t>For the state of XXX there are some state requirements you need to have.
Do you have them?
Can you please read what the notices states?
OR IF AGENT IS AT THE STORE, can you read to me what the sign says?                                            Do you offer any other financial services such as check cashing, travelers checks or currency exchange for more than $1000? IF YES please send the MSB registration.</t>
  </si>
  <si>
    <t>Para el estado de XXXX hay algunas especificaciones que usted debe tener. Usted las tiene? Podria que dicen los avisos?
O SI EL AGENTE ESTA EN LA TIENDA, puede leer que dice el anuncio?                                            Usted ofrece algun otro servicio de transferencia como cambios de cheques, travelers check o cambio de divisas por mas de $1,000 ? IF YES please send the MSB registration.</t>
  </si>
  <si>
    <t>Informações Gerais e Cadastrais</t>
  </si>
  <si>
    <t>GS2.GQ1</t>
  </si>
  <si>
    <t xml:space="preserve">Has the Agent cleared all findings and remediation action items related to the last program review or FIU/FRM Investigations, which were due on or before the date of the present review?
</t>
  </si>
  <si>
    <t>YES,NO,NA</t>
  </si>
  <si>
    <t>This question should be answered "YES" if:
The WUCO reviews all findings and remediation action items related to the last program review or FIU/FRM Investigations, which were due on or before the date of the present review, and determines that they have either been cleared or the due date has not yet arrived.
**Note: If this question is answered "YES", the questionnaire will display question GS2.GQ2.</t>
  </si>
  <si>
    <t>This question should be answered "NO" if:
After reviewing all findings and remediation action items related to the last program review or FIU/FRM Investigations, the WUCO determines that not all of the program review findings and remediation actions have been cleared.
**Note: If this question is answered "NO", the questionnaire will display question GS2.GQ2.</t>
  </si>
  <si>
    <t>This question should be answered "N/A" if:
• The WUCO determines that the Agent was not assigned any Findings or remediation actions during the last Program Review,or FIU/FRM Investigations.
• The Agent has not had a previous Program Review in iWatch.</t>
  </si>
  <si>
    <t>A_1A_2</t>
  </si>
  <si>
    <t>Review the previous program review (if any), to determine if the Agent cleared all findings and remediation action items.</t>
  </si>
  <si>
    <t>GS8.RQ3</t>
  </si>
  <si>
    <t>Does the Agent know who to contact in the event of lost or stolen documentation, unauthorized access, or if a system breach occurs?</t>
  </si>
  <si>
    <t>This question should be answered "YES" if:  
WUCO confirms that the Agent knows who to contact in the event of lost or stolen documentation, unauthorized access, or if a system breach occurs.</t>
  </si>
  <si>
    <t xml:space="preserve">This question should be answered "NO" if:
WUCO confirms that the Agent does NOT know who to contact in the event of lost or stolen documentation, unauthorized access, or if a system breach occurs.  </t>
  </si>
  <si>
    <t>Do you know who to contact for stolen, lost documentation or system issues? 
(Contact HQ or WU.)</t>
  </si>
  <si>
    <t>Sabe a quien contactar en caso del el extravío o robo algún documento relacionado con el servicio de WU?    (Contact HQ or WU.)</t>
  </si>
  <si>
    <t>GS2.GQ2</t>
  </si>
  <si>
    <t xml:space="preserve">If the answer to the previous question is "Yes", provide previous case number and an explicit statement confirming that the WUCO reviewed the previous program review or FIU/FRM Investigations case and has verified that all findings were remediated. 
If the answer to the previous question is "No", provide the previous case number and list of findings that were not cleared. </t>
  </si>
  <si>
    <t/>
  </si>
  <si>
    <t>GS8.RQ4</t>
  </si>
  <si>
    <t xml:space="preserve">Does the Agent know where to direct a customer for privacy questions and inquiries?
</t>
  </si>
  <si>
    <t>This question should be answered "YES" if:  
WUCO confirms that the Agent is able to explain where to direct a customer who has privacy questions or inquiries.</t>
  </si>
  <si>
    <t>This question should be answered "YES" if:  
WUCO confirms that the Agent is NOT able to explain where to direct a customer who has privacy questions or inquiries.</t>
  </si>
  <si>
    <t>How would you respond to a consumer’s question about their privacy, for example: “How do I know you will not sell or provide my personal information to a third party (such as my SSN or ID information)?”.</t>
  </si>
  <si>
    <t xml:space="preserve">Sabe usted a donde dirigir sus clientes en caso de que tengan preguntas acerca de Privacidad? Por ejemplo: Un cliente que pregunte acerca del porque necesitamos tanta información para poder utilizar el servicio.                                                                      (Correct answer: Visit WU website, calling WU # on the receipt)       </t>
  </si>
  <si>
    <t>GS3.GQ1</t>
  </si>
  <si>
    <t>Are the location name, address, and telephone number stored in Western Union ("WU") systems accurate?</t>
  </si>
  <si>
    <t xml:space="preserve">This question should be answered "YES" if:
The name, address, and telephone number (all three) match at least in one WU system  (i.e., AS400 or Salesforce).
**Note: During an onsite review, the name and address may be observed by the WUCO.  During an offsite review, the name and address must be indicated by the Agent representative.    </t>
  </si>
  <si>
    <t xml:space="preserve">This question should be answered "NO" if:
Any of the three (location name, address, and telephone number) do not match at least in one WU system  (i.e., AS400 or Salesforce). </t>
  </si>
  <si>
    <t>Before getting started, let's go ahead and verify the name of the location, address and phone number.</t>
  </si>
  <si>
    <t>Antes de iniciar, puede confirmar el nombre, dirección y número de teléfono de la agencia, por favor?
Me puede confirmar su dirección de correo electrónico?</t>
  </si>
  <si>
    <t>Est-ce que le nom de l'agence, l'adresse et le numéro de téléphone stockés dans les systèmes Western Union, sont-ils exacts?</t>
  </si>
  <si>
    <t>• Antes de começar, poderia confirmar o nome da loja, o endereço, o número de telefone, e o email? 
• Este número que eu disquei é o número da loja?</t>
  </si>
  <si>
    <t>GS4.RQ1</t>
  </si>
  <si>
    <t>Are the FLAs consistently following the Telemarketing prompt?</t>
  </si>
  <si>
    <t>This question should be answered "YES" if:  
WUCO can confirm, based on an interview with at least one FLA, that FLAs at this location: 
   -  Ask the consumer the question as required on the WUPOS Consumer Fraud Prompt and log the consumer’s response into the system. AND
   - Decline the transaction if the consumer affirms they are sending for a telemarketing purchase.  
NOTE:  FLAs are required to do both</t>
  </si>
  <si>
    <t>This question should be answered "NO" if:  
WUCO cannot confirm that FLAs at this location are following the Telemarketing Prompt as outlined on the WUPOS Fraud Prompt</t>
  </si>
  <si>
    <t>This question should be answered "N/A" if:  
The agent does not offer money Transfers or; 
The agent does not utilize WUPOS.</t>
  </si>
  <si>
    <t>How often do you read the telemarketing prompt on the screen to your customers? </t>
  </si>
  <si>
    <t>This questions will be automatically be answered based on response given on GS7.GQ16 unless the agent does not use WUPOS. If the agent does not use WUPOS assign an N/A.</t>
  </si>
  <si>
    <t>Conhecimento dos Operadores - Atividade Suspeita e Fraude</t>
  </si>
  <si>
    <t>GS3.GQ2</t>
  </si>
  <si>
    <t xml:space="preserve">Does each Front Line Associate ("FLA") use only their own unique Operator ID to process money transfer/money order transactions?
</t>
  </si>
  <si>
    <t>Yes, No, NA</t>
  </si>
  <si>
    <t xml:space="preserve">This question should be answered "YES" if:
After reviewing a sample* of transactions at this location, WUCO confirms that the number of Operator IDs processing transactions is generally consistent with:
• The number of FLAs observed working at the location (in case of an onsite review), OR
• The number of FLAs working at the location as communicated by the agent representative (in case of a telephone review)
**Note: 
• Transaction sample size must be at least 2 weeks worth of transactions and must be pulled no earlier than 30 days prior to the program review. 
• If the Agent is H2H but also offers Money Orders, the question should be answered   Yes, depending on WUCO’s observations during the review.
• Having an outdated list of operator IDs is considered an administrative task that should be handled outside of iWatch. Also, if the Agent needs to update their operator list to remove FLA names, but FLAs are otherwise using their own IDs, a finding should NOT be assigned under the question. </t>
  </si>
  <si>
    <t>This question should be answered "NO" &amp; Finding #1 Selected if:
The Agent cannot satisfactorily explain why fewer FLAs (Operator IDs) appear in the WU transaction records than are known to be processing WU transactions.
**Note: If the Agent is H2H but also offers Money Orders, the question should be answered No depending on WUCO’s observations during the review.
This question should be answered "NO" &amp; Finding #2 Selected if:
The Agent indicates during the review that Operators use shared IDs due to unwillingness to register with Western Union.
**Note: If the Agent is H2H but also offers Money Orders, the question should be answered No depending on WUCO’s observations during the review.</t>
  </si>
  <si>
    <t>This question should be answered "N/A" if:  
• This location’s transactions are entered remotely by a common Operator for multiple (or all) FLAs.
• The Agent is ONLY Host to Host (“H2H”) or 
• The Agent uses a system not recording FLA OP IDs.
**Note: If "N/A" is selected, a case comment is required stating the reason for the selection.</t>
  </si>
  <si>
    <t>A_2A_3</t>
  </si>
  <si>
    <t>How many operators are authorized to process transactions and Money Orders? Does each operator use a unique user ID and password to process MTs/MOs?</t>
  </si>
  <si>
    <t>• Actualmente, cuántos empleados tienen acceso a los sistemas de WU para realizar los envios y pagos de transacciones?
• Cada empleado usa su propio usuario y contraseña para accesar al sistema?</t>
  </si>
  <si>
    <t>Actuellement dans votre agence, combien d'employés ont accès aux systèmes WU?  Est-ce que chaque agent utilise son propre nom d'utilisateur et mot de passe pour entrer dans le système ?</t>
  </si>
  <si>
    <t>• Atualmente, quantos funcionários têm acesso ao sistema para fazer transações?
• Cada funcionário está usando um usuário e uma senha exclusivos para acessar o sistema?</t>
  </si>
  <si>
    <t>GS4.RQ2</t>
  </si>
  <si>
    <t>Are the FLAs following the Telemarketing prompt upon observation?</t>
  </si>
  <si>
    <t>This question should be answered "YES" if: 
WUCO can observe at least 1 FLA asking the question (displayed on the consumer fraud prompt) to a consumer and entering the consumer’s response in the WUPOS system.
NOTE:  FLAs are required to do both</t>
  </si>
  <si>
    <t>This question should be answered "NO" if:  
Upon observing at least 1 FLA conducting a money transfer, the WUCO observes at least 1 FLA NOT asking the question displayed on the consumer fraud prompt to a consumer and/or not marking the consumer’s response in the WUPOS system.
NOTE:  FLAs are required to do both</t>
  </si>
  <si>
    <t>This question should be answered "N/A" if: 
The Program Review is being conducted off-site.
The agent does not offer money Transfers or; 
The agent does not utilize WUPOS; or
WUCO cannot confirm by observation any transactions being conducted. 
      -   No customers sending money transfers while at location 
       -   System is unavailable</t>
  </si>
  <si>
    <t>GS3.GQ3</t>
  </si>
  <si>
    <t xml:space="preserve">Do FLAs have access to the Agent's complete AML/CFT and Anti-Fraud Compliance policies and procedures? 
</t>
  </si>
  <si>
    <t xml:space="preserve">This question should be answered "YES" if: 
WUCO can confirm that the Agent's complete AML/CFT and Anti-Fraud Compliance Policies &amp; Procedures document is accessible to all FLAs. Access can include (but is not limited to):
     • Hard copy of P&amp;Ps
     • Electronic copy of P&amp;Ps
</t>
  </si>
  <si>
    <t xml:space="preserve">This question should be answered "NO" if: 
FLAs do not have access to the Agent's complete AML/CFT and Anti-Fraud Compliance Policies and Procedures document. </t>
  </si>
  <si>
    <t>This question should be answered "N/A"  if: 
The Agent is located in Central America (including but not limited to: El Salvador, Costa Rica, Belize, Guatemala, Honduras, Nicaragua, and Panama) and offers Vigo Payouts only.</t>
  </si>
  <si>
    <t>A_2</t>
  </si>
  <si>
    <t>1) Do you have access to Anti-Money Laudering and Counter Terrorism Financing and Anti-Fraud P&amp;Ps?                                           2) If I were to ask you to access that information at this very moment, where would you go to find it? (Intranet communication, E-mail communication, Newsletters, store level communication, etc.</t>
  </si>
  <si>
    <t>• Ustedes tienen acceso a manuales de PLD y CFT?
• En qué lugar son almacenados o cómo son compartidos con los empleados?</t>
  </si>
  <si>
    <t>Avez-vous accès au Manuel des Politiques et Procédures de lutte contre le Blanchiment d'Argent et le Financement du Terrorisme ?                                        
Si je vous demandais d'accéder à cette information en ce moment, où la trouveriez-vous ? (Intranet, communication par courriel, bulletins, communication au niveau de l’agence, etc.)</t>
  </si>
  <si>
    <t>• Você tem acesso aos manuais de compliance (Manual de Prevenção à Lavagem de Dinheiro e Financiamento do Terrorismo) ou alguma outra informação de compliance?
• Onde é que eles são armazenados ou como é que eles são compartilhados com os funcionários (Rede interna, comunicações pelo email, etc)?</t>
  </si>
  <si>
    <t>GS4.RQ3</t>
  </si>
  <si>
    <t xml:space="preserve">Can FLAs demonstrate that they have been properly trained on the prohibition against sending or receiving telemarketing transactions? </t>
  </si>
  <si>
    <t>This question should be answered "YES" if:
WUCO can confirm, based on an interview with at least one FLA, that he/she knows that Western Union policy prohibits the use of Western Union products, services, and systems as a form of payment by sellers or telemarketers. FLAs must assist in identifying, preventing and stopping the use of WU products and services for telemarketing activities by:
     • Asking all consumers whether the transaction is a payment for goods or services offered through telemarketing
     • Declining to process known or suspected telemarketing transactions, and
     • Reporting suspected or known sellers and telemarketers to Western Union so that they may be interdicted.</t>
  </si>
  <si>
    <t>This question should be answered "NO" if:
In an interview, the FLA does not know that telemarketing transactions are prohibited</t>
  </si>
  <si>
    <t>1. Are there any restrictions when sending or receiving telemarketing transactions?
2. You may provide a telemarketing example (i.e. vacation package offer, phone purchases, etc.)</t>
  </si>
  <si>
    <t>1. Usted me puede explicar qué entiende por telemercadeo o ventas por teléfono?
2. Existe alguna restricción relacionada a enviar o recibir transacciones ligadas a telemercadeo?
3. ¿Cuál es?</t>
  </si>
  <si>
    <t>1. Existe-t-il des restrictions sur l'envoi ou la réception de transactions liées au télémarketing?
2. Savez-vous quelque chose à propos de cette restriction?</t>
  </si>
  <si>
    <t>1. Você pode explicar o que entende por Telemarketing ou vendas pelo telefone?
- Exemplo: Vamos supor que eu recebi uma ligação de uma empresa oferecendo um pacote de viagem. Eu aceito e a empresa pede o pagamento do pacote de viagem via Western Union. Eu vou a sua loja em pessoa, apresento todos os documentos de identidade e peço fazer um envio para XX, um empregado da empresa de viagens. O motivo da transação e pagar o pacote de viagens. Você aceitaria isso?
2. Existe alguma restrição relacionada com envios ou pagamentos de transações associadas com o Telemarketing?
3. Qual é?</t>
  </si>
  <si>
    <t>GS4.GQ1</t>
  </si>
  <si>
    <t>Can FLAs demonstrate that they have been properly trained by describing AML and CFT compliance characteristics?</t>
  </si>
  <si>
    <t xml:space="preserve">This question should be answered "YES" if:
• WUCO confirms FLAs demonstrates they have been properly trained in AML/CFT compliance.
• FLAs were able to answer all selected questions correctly. 
</t>
  </si>
  <si>
    <t xml:space="preserve">This question should be answered "NO" if:
• FLAs answered one or more questions incorrectly. 
• FLAs were unable to demonstrate they have been properly trained in AML/CFT compliance.
</t>
  </si>
  <si>
    <t>1) Walk me through your AML &amp; Terrorism Financing Training (specific topics or scenarios covered). 
2) When was the last time you went through training?</t>
  </si>
  <si>
    <t>• Me puede indicar qué entiende usted por Lavado de Activos y Financiamiento de Terrorismo?
• Cuándo fue la última vez que usted recibió un entrenamiento sobre estos temas (en línea, presencial, por teléfono) ya sea por parte de la Oficina Central o de Western Union?</t>
  </si>
  <si>
    <t>Avez-vous reçu une formation sur le programme de lutte contre le blanchiment d'argent et le financement des activités terroristes? Qu'est-ce que le blanchiment d'argent ? Qu'est-ce le financement des activités terroristes ? Quand avez-vous reçu votre dernière formation et quels sujets ou scénarios ont été abordés?</t>
  </si>
  <si>
    <t xml:space="preserve">• Para você, o que é a Lavagem de Dinheiro e o Financiamento do Terrorismo?
• Quando foi a última vez que você recebeu um treinamento sobre issos conteúdos (online, pessoalmente, pelo telefone) pela sua Casa Matriz ou pela Western Union? </t>
  </si>
  <si>
    <t>GS4.RQ4</t>
  </si>
  <si>
    <t>Do FLAs know how to identify elder financial abuse and what to do if they detect elder abuse?</t>
  </si>
  <si>
    <t>This question should be answered "YES" if: 
WUCO interviews at least one FLA in addition to the CO/CD/primary interviewee (if available) and confirms that the FLA is able to describe how to identify elder financial abuse and what to do if they suspect it.
NOTE: If the CO/CD is the only employee available, answer this question "YES" or "NO" with regard to the CO's knowledge.</t>
  </si>
  <si>
    <t>This question should be answered "NO" if: 
WUCO determines (during the FLA interview) that the employee is NOT able to describe how to identify elder financial abuse or what to do if they suspect it.</t>
  </si>
  <si>
    <t>GS4.GQ2</t>
  </si>
  <si>
    <t xml:space="preserve">FLA INTERVIEW: Can FLAs identify red flags that indicate a consumer may be involved in Suspicious Activity or transactions?
</t>
  </si>
  <si>
    <t>This question should be answered "YES" if:
• FLAs were able to demonstrate good analytical skills to detect suspicious activity, which can include consumers that may be involved in terrorist financing or victims of human trafficking/smuggling. 
• FLAs were able to answer all selected questions correctly. 
• FLAs were able to identify three (3) red flags correctly.</t>
  </si>
  <si>
    <t xml:space="preserve">This question should be answered "NO" if:   
• FLAs were unable to identify three (3) red flags correctly. 
• FLAs answered one or more questions incorrectly. 
• FLAs were unable to demonstrate good analytical skills to detect suspicious activity, which can include consumers that may be involved in terrorist financing or victims of human trafficking/smuggling. </t>
  </si>
  <si>
    <t xml:space="preserve">1) Please describe in your own words what suspicious activity is. 
2) Mention at least 3 red flags that should make us suspect of a customer being involved in terrorist financing or victims of human trafficking/smuggling. </t>
  </si>
  <si>
    <t>1) Describa en sus propias palabras lo que para usted significa una actividad sospechosa.
2) Mencione al menos 3 señales de alerta que deberían hacernos sospechar que un cliente está involucrado en financiamiento del terrorismo o es víctima de trata/contrabando de personas.</t>
  </si>
  <si>
    <t>1. S'il vous plait, décrivez avec vos propres mots, qu'est-ce qu’une activité suspecte.
2. Veuillez indiquer au moins 3 signaux d’alerte que vous font soupçonner d’un client lié au financement du terrorisme ou victimes de traite des êtres humains ou trafic illicite de personnes.</t>
  </si>
  <si>
    <t>1) Descreva com suas próprias palavras o que é atividade suspeita.
2) Mencione pelo menos três sinais de advertência que podem nos fazer suspeitar que um cliente possa estar envolvido em financiamento do terrorismo ou vítima de tráfico/contrabando de pessoas.</t>
  </si>
  <si>
    <t>GS8.RQ1</t>
  </si>
  <si>
    <t>Does the Agent maintain complete and accurate Money Order Logs?</t>
  </si>
  <si>
    <t>This question should be answered "YES" if: 
WUCO confirms that the Agent is able to provide properly completed Money Order Logs for single sales of $3 or more  identified by WUCO during transaction analysis.</t>
  </si>
  <si>
    <t>This question should be answered "NO" if:  
WUCO confirms that the Agent is NOT able to provide properly completed Money Order Logs for single sales of $3 or more  identified by WUCO during transaction analysis.</t>
  </si>
  <si>
    <t>This question should be answered "N/A" if: 
● The Agent does not offer Money Orders; or
● Transaction Analysis did not reveal any MO sales for which a Money Order Log should have been created.</t>
  </si>
  <si>
    <t xml:space="preserve">What would you do if someone wanted to request a Money Order for $3,000, or higher? </t>
  </si>
  <si>
    <t>Sabe usted cuando los registros de Money Orders son requeridos? Ha tenido algun Money Order  de 3k o mas vendidos a la misma persona en el mismo dia?</t>
  </si>
  <si>
    <t>GS4.GQ3</t>
  </si>
  <si>
    <t xml:space="preserve">FLA INTERVIEW: Do FLAs know the appropriate steps to take (including reporting, etc.) when faced with suspicious activity or transactions?
</t>
  </si>
  <si>
    <t xml:space="preserve">This question should be answered "YES" if:  
WUCO confirms FLAs know the steps to report suspicious activity. These actions could include but are not limited to: 
     o Refusing the transaction.
     o Reporting the situation to the Compliance Officer/Delegate.
     o Completing the Referral for Unusual Activity Form, as applicable.
</t>
  </si>
  <si>
    <t>This question should be answered "NO" if:
WUCO cannot confirm that FLAs know the steps to report suspicious activity.</t>
  </si>
  <si>
    <t>1) What would you do in case faced with a suspicious activity or transaction? 
2) How do you report Suspicious Activity?</t>
  </si>
  <si>
    <t>• Qué haría usted si identificara señales de actividad sospechosa?
• Cómo reportan actividad sospechosa?</t>
  </si>
  <si>
    <t>Comment pourriez-vous dénoncer une activité suspecte?</t>
  </si>
  <si>
    <t>• Vocês ja notaram alguma atividade suspeita na loja?
• O que faria você se identificasse sinais de atividade suspeita na loja?
• Como é que vocês reportam as atividades atipicas?</t>
  </si>
  <si>
    <t>GS8.RQ2</t>
  </si>
  <si>
    <t>Does the agent maintain records of transactions subject to OFAC’s regulations, including transfers involving Cuba,  and Syria for five years?</t>
  </si>
  <si>
    <t>This question should be answered "YES" if:                                                                                                          
 WUCO confirms that the Agent's process for maintaining records of transactions subject to OFAC (by verbal confirmation or observing the appropriate documents) is adequate.
NOTE:  For all Cuba-related (as well as Syria &amp; Sudan) money transfer transactions, Agents MUST retain the Send Money form AND the Agent copy of the transaction receipt for a period of five years.  In instances where My WU formless transactions are utilized involving the referenced countries, Agents MUST retain the Agent copy of the transaction receipt for a period of five years.</t>
  </si>
  <si>
    <t>This question should be answered "NO" if:
WUCO confirms that the Agent does NOT have an adequate process for maintaining records of transactions subject to OFAC.</t>
  </si>
  <si>
    <t>N/A is appropriate if: 
● The Agent does not offer Western Union Money Transfer (either directly or through another service, such as Vigo or OV).
● The Agent has never conducted any transactions involving any of the countries listed in this requirement.</t>
  </si>
  <si>
    <t xml:space="preserve">What do you remember about OFAC or the Designated National List? For how long do you keep records related to OFAC?
OFAC is Office of Foreign Assets and Controls. 
b. OFAC publishes a list of individuals and companies. For such individuals and companies their assets are blocked and U.S. persons are generally prohibited from dealing with them. </t>
  </si>
  <si>
    <t xml:space="preserve">Que es lo que usted recuerda sobre OFAC? Por cuanto tiempo guarda registros relacionado con OFAC?
a. OFAC es el Office of Foreign Assets and Controls. 
b. OFAC publica una lista de individuos y compañias. Para tales individuos y compañias, sus activos estan bloqueados. Los individuos en en los Estados Unidos  generalmente se les prohibe tratar con ellos. </t>
  </si>
  <si>
    <t>GS4.GQ4</t>
  </si>
  <si>
    <t xml:space="preserve">FLA INTERVIEW: Is the FLA(s)  able to identify Agent Fraud related activity? </t>
  </si>
  <si>
    <t>This question should be answered "YES" if:  
• WUCO confirms FLAs demonstrated knowledge of methods to identify Agent fraud-related activity. 
• FLAs were able to answer all selected questions correctly. 
**Note: A sample of Agent Fraud indicators are listed in the Agent Anti-Fraud Manual, the FLA should be able to describe one of these indicators.</t>
  </si>
  <si>
    <t>This question should be answered "NO" if:  
• FLAs answered one or more questions incorrectly. 
• WUCO cannot confirm that FLAs demonstrate knowledge of methods to identify Agent fraud-related activity.  
**Note: A sample of agent Fraud indicators are listed in the Agent Anti-Fraud Manual, the FLA should be able to describe one of these indicators.</t>
  </si>
  <si>
    <t>Do you know any examples where you as an Agent could be the victim of fraud? As an agent, have you ever been a victim of fraud? Do you ever receive phone calls from people claiming to be WU representatives?</t>
  </si>
  <si>
    <t>• Usted me podría indicar qué es fraude contra los Agentes?
• Usted me podría compartir un par de ejemplos de tipos de fraude contra el Agente?</t>
  </si>
  <si>
    <t>Savez-vous ce qu'est la fraude contre l'agent?
Comment un agent peut-il être victime de fraude par email?</t>
  </si>
  <si>
    <t>• O que entende você sobre fraude contra os funcionários?
• Poderia compartilhar comigo alguns exemplos de golpes de fraude contra os funcionários?</t>
  </si>
  <si>
    <t>GS4.GQ5</t>
  </si>
  <si>
    <t xml:space="preserve">FLA INTERVIEW: Is the FLA(s)  able to explain the actions that should be taken with regard to Agent Fraud related activity? </t>
  </si>
  <si>
    <t xml:space="preserve">This question should be answered "YES" if:  
• FLAs were able to answer all selected questions correctly. 
• WUCO confirms that the employee(s) was able to explain describe the actions that should be taken with regard to are appropriate after identifying Agent Fraud related activity. 
These actions could include but are not limited to:  
    o Not proceeding with the caller request. 
    o Hanging up the phone. 
    o Stopping the transaction if recorded.
    o Reporting the situation to your supervisor, your Compliance Officer/Delegate and call your dedicated Agent Support number immediately.      
</t>
  </si>
  <si>
    <t xml:space="preserve">This question should be answered "NO" if: 
• FLAs were unable to answer all selected questions correctly. 
• WUCO could not confirm that employee(s) are able to explain the actions that should be taken with regard to Agent fraud related activity. 
</t>
  </si>
  <si>
    <t>1) What actions would you take in regards to a transaction related to Agent Fraud?</t>
  </si>
  <si>
    <t>• Qué haría usted si identificara señales de posible fraude contra el Agente?
• Cómo reportan ustedes este tipo de actividades?</t>
  </si>
  <si>
    <t>Quelles mesures prendriez-vous dans le cas d'un transfert potentiellement lié à une fraude contre l'agent?</t>
  </si>
  <si>
    <t>• O que faria você se identificasse sinais de possível fraude contra o funcionário?
• Como é que vocês reportam as atividades de fraude?</t>
  </si>
  <si>
    <t>GS4.GQ6</t>
  </si>
  <si>
    <t>FLA INTERVIEW: Is the FLA(s)  able to  identify consumer fraud related activity?</t>
  </si>
  <si>
    <t xml:space="preserve">This question should be answered "YES" if:  
• WUCO confirms that the FLA is able to identify consumer fraud scenarios.
• WUCO confirms that the FLA is able to identify three (3) red flags correctly. </t>
  </si>
  <si>
    <t>This question should be answered "NO" if:
• WUCO cannot confirm that the FLA was able to identify three (3) red flags correctly. 
• WUCO cannot confirm that the FLA was able to identify consumer fraud related activity</t>
  </si>
  <si>
    <t>1) What would your customer's behavior be like in case there is a consumer fraud?                              
2) Please share at least one of the Consumer Fraud indicators listed in the Agent Anti-Fraud Manual.</t>
  </si>
  <si>
    <t>• Cómo se comportaría un cliente que esté procesando una transacción relacionada con fraude al consumidor?
• Podría compartir un par de ejemplos de indicadores de fraude?</t>
  </si>
  <si>
    <t>Pourriez-vous me partager au moins un indicateur de fraude à la consommation qui est mentionné dans votre manuel anti-fraude ?</t>
  </si>
  <si>
    <t>• Qual seria a conduta de um cliente que esté fazendo uma transação relacionada com fraude ao cliente?
• Poderia compartilhar alguns exemplos de sinais de fraude?</t>
  </si>
  <si>
    <t>GS4.GQ7</t>
  </si>
  <si>
    <t xml:space="preserve">FLA INTERVIEW: Is the FLA(s)  able to explain the actions that should be taken with regards to consumer fraud related activity? </t>
  </si>
  <si>
    <t xml:space="preserve">This question should be answered "YES" if: 
• FLAs were able to answer all selected questions correctly. 
• WUCO confirms that the FLA knows what actions to take are appropriate after identifying consumer fraud related activity. These actions could include but are not limited to:      
o Stopping the transaction, 
o Reporting the situation to the Compliance Officer/Delegate.
o Alerting the consumer, 
o Refusing the payout of a potentially fraudulent transaction, 
o Reporting the fraudulent activity.
o Other activities as deemed necessary due to safety and/or legal concerns  
 </t>
  </si>
  <si>
    <t xml:space="preserve">This question  should be a answered "NO" if: 
• FLAs were unable to answer all selected questions correctly. 
• WUCO could not confirm that employee(s) are able to explain the actions that should be taken with regard to consumer fraud related activity.
</t>
  </si>
  <si>
    <t>1) What actions would you take in regards to a transaction related to consumer fraud?</t>
  </si>
  <si>
    <t>• Si usted identificara una transacción relacionada con fraude contra el consumidor, qué acciones tomaría?
• Cómo reportan ustedes este tipo de actividades?</t>
  </si>
  <si>
    <t>Quelles mesures prendriez-vous dans le cas d’une transaction potentiellement lié à la fraude à la consommation ?</t>
  </si>
  <si>
    <t>• Se você identificasse uma situação de fradude contra o cliente na loja, o que faria você? 
• Como é que vocês reportam as atividades de fraude?</t>
  </si>
  <si>
    <t>GS4.GQ8</t>
  </si>
  <si>
    <t xml:space="preserve">FLA INTERVIEW: Is the FLA(s)  aware transactions involving potential consumer fraud cannot be referred to another WU or competitor location? </t>
  </si>
  <si>
    <t>This question should be answered "YES" If: 
WUCO confirms that the employee(s) were able to clearly explain understand that they should never refer the consumer to another WU or competitor location.</t>
  </si>
  <si>
    <t>This question should be answered "NO" if:  
WUCO cannot confirm that the employee(s) could explain that they should never refer transactions involving potential consumer fraud to another WU or competitor locations.</t>
  </si>
  <si>
    <t>Let’s say you refuse my transaction due to potential Consumer Fraud; would you recommend me going to another location or company to complete this transaction?</t>
  </si>
  <si>
    <t>• Vamos a suponer que usted rechaza una transacción debido a que identificó posible fraude al consumidor. 
- Usted le recomendaría al cliente ir a otra agencia o empresa para enviar o recibir la transacción?</t>
  </si>
  <si>
    <t>Supposons que vous refusiez mon transfert parce que vous soupçonnez qu'il s'agit d'une fraude à la consommation, pourriez-vous me recommander d'aller à une autre agence de WU ou à un autre endroit pour envoyer la transaction ?</t>
  </si>
  <si>
    <t>• Vamos dizer que você recuse minha transação devido à potencial fraude contra o consumidor. 
- Você me recomendaria ir para outro lugar ou empresa para enviar ou receber a transação?</t>
  </si>
  <si>
    <t>​​​​​​​For locations in Quebec only. Have the following additional changes been advised to WU by the network CO: 
• Changes in the home address of officers, directors and Compliance Officers (as provided on the SM-3.A/SM-3.A-V form)
• Changes in Identification information (as provided on the SM-3.A/SM-3.A-V form)
• Changes to the business name (as provided on the SM-3.A/SM-3.A-V form)
• New/additional Officers or Directors who have oversight of the Western Union contract in Quebec.</t>
  </si>
  <si>
    <t>This question should be answered "YES" if: 
WUCO confirms that all material changes have been communicated to WU within the required 15 day time period and documented.</t>
  </si>
  <si>
    <t xml:space="preserve">This question should be answered "NO" if: 
WUCO confirms that the Agent has not provided material changes to their business as outlined in the AML Manual  to Western Union within 15 days.  </t>
  </si>
  <si>
    <t>This question should be answered "N/A" if: 
The Agent is not located in Quebec.</t>
  </si>
  <si>
    <t>GS5.GQ1</t>
  </si>
  <si>
    <t xml:space="preserve">During pre-work, does a review of  transactions show no or minimal Data integrity issues including invalid, illegible, incomplete, missing, or conflicting biographical data for consumers or recipients of money transfers (Specifically: Names, Addresses, Telephone numbers and identifications)? </t>
  </si>
  <si>
    <t>This question should be answered "YES" if:
WUCO, upon review of  the primary KYC fields that are required in this Agent’s country is able to confirm that there are minimal or NO Data integrity issues including  “blanks” or data inconsistencies.  
 Attach your initial DI analysis to the case as proof that there were no or minimal DI issues.
**Note: Examples of data inconsistency include, but are not limited to, alpha characters in a numeric field or numeric characters in an alpha field; clear violations/evasions of data integrity rules deployed in this country.  The data sample size of past transaction data is defined by regional guidance.</t>
  </si>
  <si>
    <t>This question should be answered "NO" if:
WUCO, upon review of  the primary KYC fields that are required in this Agent’s country is able to confirm that there are more than minimal data quality issue including: typos, extra or missing digits in a telephone number, one incorrect digit in the DOB (non willful errors). 
• Attach your initial DI Analysis to the case to display the DI issues.  
• Attach a second DI Analysis to the case as proof that DI issues have reasonably ceased; AND
• No attachment required if training is documented for ALL FLAs in the Trainings tab. If training is not documented in the Trainings tab, obtain and attach documentation (i.e., LMS Screenshot, Training Log) confirming that all FLAs have completed training on the topic.
**Note: If in doubt please check with your managers. WUCO can check if the Country has an Enhanced Data Integrity (EDI) Program in place, if not  advise Compliance Country Director to prioritize it.</t>
  </si>
  <si>
    <t>This question should be answered "N/A" if:   
• Data Integrity Analysis does not apply to the Agent, based on the type of product offered.                                                       
• Agent did not process any transactions during the review period. 
• The transaction data is not entered into the system by FLAs. 
**Note: If "N/A" is selected, a comment in the following Free Text question must be added explaining why it does not apply.</t>
  </si>
  <si>
    <t>Answer by reviewing the Data Integrity inconsistencies including typographical errors.</t>
  </si>
  <si>
    <t>GS3.RQ2</t>
  </si>
  <si>
    <t xml:space="preserve">Is a current Revenu Quebec permit displayed in a conspicuous place? </t>
  </si>
  <si>
    <t>This question should be answered "YES" if: 
WUCO confirms that the Agent has the appropriate Revenu Quebec registration for services provided by Western Union on display.</t>
  </si>
  <si>
    <t>This question should be answered "NO" if: 
WUCO confirms that the Agent does NOT display their permit so that is clearly legible in a conspicuous place.</t>
  </si>
  <si>
    <t>GS5.GQ2</t>
  </si>
  <si>
    <t xml:space="preserve">Provide your Data Integrity Tool summary (include an overall reason for discussion, Agent response, WUCO recommendation and action required). If N/A was selected for the previous question, please provide a detailed explanation for why Data Integrity Analysis does not apply to this Agent.  
</t>
  </si>
  <si>
    <t>FREE TEXT</t>
  </si>
  <si>
    <t>GS3.RQ3</t>
  </si>
  <si>
    <t>If the location provides Money Order Services, can the Agent appropriately described their process for filing LCTRs?</t>
  </si>
  <si>
    <t>This question should be answered "YES" if:
WUCO confirms that the Agent is able to describe the appropriate steps in LCTR filing when faced with money order transactions totaling $10,000 or more done by the same customer in a single day.</t>
  </si>
  <si>
    <t>This question should be answered "NO" if: 
WUCO confirms that the Agent is NOT able to describe the appropriate steps in LCTR filing when faced with money order transactions totaling $10,000 or more done by the same customer in a single day.</t>
  </si>
  <si>
    <t>This question should be answered "N/A" if: 
The  Agent is not a Money Order provider.</t>
  </si>
  <si>
    <t>GS5.GQ3</t>
  </si>
  <si>
    <t>FLA INTERVIEW: Do FLAs know the acceptable forms of identification for Western Union money transfer/money order transactions?</t>
  </si>
  <si>
    <t>This question should be answered "YES" if:
 WUCO  confirms that the FLA  is knowledgeable about of the acceptable forms of identification for a Western Union transaction.
**Note: 
• WUCO may consult "Country Information" to review acceptable IDs; or
• Log into WU Agent Academy (WUAA) for required country and review the Acceptable forms of ID indicated in the Compliance Country Module. Not all Agents are in WUAA and not all countries have a Compliance Country Module</t>
  </si>
  <si>
    <t>This question should be answered "NO" if: 
The WUCO cannot confirm that  the FLA  is knowledgeable about of the acceptable forms of identification for a Western Union transaction. 
**Note:
• WUCO may consult "Country Information"  to review acceptable IDs.
• Log into WU Agent Academy (WUAA) for required country and review the Acceptable forms of ID indicated in the Compliance. Country Module. Not all Agents are in WUAA and not all countries have a Compliance Country Module.</t>
  </si>
  <si>
    <t>What IDs do you accept as valid if I am sending a transaction for $,$$$ (an amount over $1,000) to XXX?</t>
  </si>
  <si>
    <t>• Cuáles son los tipos de ID válidos que los clientes deben presentar para enviar o recibir una transacción?</t>
  </si>
  <si>
    <t>Quel type de pièce d'identité je dois présenter si je suis un citoyen et que je veux envoyer de l'argent ? Et si je suis un étranger?
Quels sont les types de pièces d’identité que vous acceptez comme valides ?</t>
  </si>
  <si>
    <t>• Quais são os tipos de documentos de identificação válidos que o cliente deve apresentar para enviar ou receber uma transação?</t>
  </si>
  <si>
    <t>GS5.RQ1</t>
  </si>
  <si>
    <t>If the location is a Money Order provider, is there evidence that appropriate name scanning against sanctions lists and customer identification collection is being done?</t>
  </si>
  <si>
    <t>This question should be answered "YES" if: 
WUCO confirms that the Agent can adequately demonstrate that consumers who purchase MO are being scanned against required sanctions lists. 
NOTE: WUCO is not required to complete an audit of the  screening process.</t>
  </si>
  <si>
    <t xml:space="preserve">This question should be answered "NO" if: 
WUCO confirms that a screening program to ensure that  consumers who purchase MO are being scanned against required sanctions lists has NOT been implemented </t>
  </si>
  <si>
    <t>This question should be answered "N/A" if: 
The Agent does not sell MO.</t>
  </si>
  <si>
    <t>A_3</t>
  </si>
  <si>
    <t>GS5.GQ4</t>
  </si>
  <si>
    <t xml:space="preserve">Do FLAs check to ensure that consumer IDs meet minimum requirements, are only using valid ID cards, which at a minimum must include that the ID is not expired, it is government issued (or as applicable per regional requirements), and contains a photo of the consumer?
</t>
  </si>
  <si>
    <t>This question should be answered "YES" if:
WUCO confirms that FLAs correctly name the minimum requirements for accepting consumer identification documents, listed below: 
     • Not be altered.
     • Be issued by the government (or as applicable per regional requirements).
     • Have a picture of the consumer that looks like the consumer.
     • Be valid and not expired.
     • Contain the consumer’s first and last names.
**Note: The identification should contain the consumer’s address but is not mandatory.</t>
  </si>
  <si>
    <t>This question should be answered "NO" if:
WUCO cannot confirm that FLAs have correctly name the minimum requirements for accepting consumer identification documents, listed below: 
     • Not be altered.
     • Be issued by the government (or as applicable per regional requirements).
     • Have a picture of the consumer that looks like the consumer.
     • Be valid and not expired.
     • Contain the consumer’s first and last names.
**Note: The identification should contain the consumer’s address but is not required.</t>
  </si>
  <si>
    <t>1) What information do you check on the ID once you have it in your hands?</t>
  </si>
  <si>
    <t>• Qué información usted verifica en el documento de identificación para asegurarse que es válido?</t>
  </si>
  <si>
    <t>Quels sont les éléments d'information que vous vérifiez dans la carte d’identité de votre client une fois que vous avez le document en votre possession?</t>
  </si>
  <si>
    <t>• Quais informações você verifica no documento de identificação do cliente para assegurar-se que seja válido?</t>
  </si>
  <si>
    <t>Is the Location completing and retaining MO logs to fully identify sales of $3,000 or more, to the same customer in a day?</t>
  </si>
  <si>
    <t>This question should be answered "YES" if:  
WUCO inspects the Money order logs and KYC information and confirms their completeness and accuracy.</t>
  </si>
  <si>
    <t xml:space="preserve">This question should be answered "NO" if: 
WUCO confirms that the Agent does NOT properly maintain MO records when a sale of $3000 or more is made to the same individual in a single day. </t>
  </si>
  <si>
    <t>This question should be answered "N/A" if: 
The Agent is not a Money Order provider.</t>
  </si>
  <si>
    <t>GS5.GQ5</t>
  </si>
  <si>
    <t>FLA INTERVIEW: Do the FLAs know that third party transactions are not permitted?</t>
  </si>
  <si>
    <t>This question should be answered "YES" if:
• The FLAs confirm they understand that third party transactions (send or receive) are not permitted in their jurisdiction and cannot be conducted; OR
• In the Agent's jurisdiction, third party sends are permitted, and the FLA confirms that third party receive transactions are prohibited and cannot be conducted. 
**Note: WUCO may log into WU Agent Academy (WUAA) for required country and review 3rd party requirements in the Compliance Country Module. Not all Agents are in WUAA and not all countries have a Compliance Country Module.</t>
  </si>
  <si>
    <t>This question should be answered "NO" if:
• The FLAs do not understand that third party transactions (send or receive) are not permitted in their jurisdiction and cannot be conducted; OR
• In the Agent's jurisdiction, third party sends are permitted, but the FLA cannot confirm that third party receive transactions are prohibited and cannot be conducted. 
**Note: WUCO may log into WU Agent Academy (WUAA) for required country and review 3rd party requirements in the Compliance Country Module. Not all Agents are in WUAA and not all countries have a Compliance Country Module.</t>
  </si>
  <si>
    <t xml:space="preserve">
What happens if someone wants to send money on behalf of another person? If this possible? What is needed?</t>
  </si>
  <si>
    <t>¿Que haría si un cliente se presenta para enviar o cobrar dinero en nombre de otro cliente?</t>
  </si>
  <si>
    <t>Que feriez-vous dans le cas d'un client qui se présente au magazin pour envoyer/recevoir un transfert au nom de quelqu'un d'autre?</t>
  </si>
  <si>
    <t>O que você faria se um cliente aparecesse na loja querendo enviar/receber uma transferência em nome de outra pessoa?</t>
  </si>
  <si>
    <t>GS5.GQ6</t>
  </si>
  <si>
    <t>FLA INTERVIEW: Do FLAs know that consumers (or their representatives for countries where third party transactions are allowed) must be physically present to transact?</t>
  </si>
  <si>
    <t>This question should be answered "YES" if:
When interviewed, the FLAs confirm that they only conduct transactions when: 
• A consumer is physically present, AND if applicable, 
• A consumer sending on behalf of other individuals provides third party information in accordance with local regulatory requirements.</t>
  </si>
  <si>
    <t xml:space="preserve">This question should be answered "NO" &amp; Finding #1 Selected if:
When interviewed, the FLAs are not aware that they may only conduct transactions when: 
• A consumer is physically present, AND if applicable, 
• A consumer sending on behalf of other individuals provides third party information in accordance with local regulatory requirements.
This question should be answered "NO" &amp; Finding #2 Selected if:
When interviewed, the FLAs indicate that they are aware of the requirement but conducts transactions when no consumers are physically present.         </t>
  </si>
  <si>
    <t>A_1A_2A_3</t>
  </si>
  <si>
    <t>Let’s say I am a regular customer who cannot come to the store right now and I call you to ask that you process a transaction for me, and I will pay for it later. What would you do in a case like this?</t>
  </si>
  <si>
    <t>• Vamos a suponer que soy un cliente regular y bien conocido de usted. Por alguna razón no puedo ir físicamente a la agencia a hacer el envío, así que lo llamo y le pido que proceda con la transacción. Yo le pagaré y le daré la documentación en cuanto yo llegue a la agencia. Cómo procedería usted?</t>
  </si>
  <si>
    <t>Supposons que je suis un client que vous connaissez depuis de nombreuses années et que j'appelle l'agence pour faire une transaction par téléphone, pendant que j'arrive à l'endroit pour payer. Pourriez-vous me rendre un service et faire ce transfert?</t>
  </si>
  <si>
    <t>• Vamos supor que eu sou um cliente regular e bem conhecido de você. Por algum motivo eu não posso ir pessoalmente na loja para fazer a transação, então eu ligo para você e peço que envie o dinheiro. Eu vou pagar e apresentar a documentação assim que eu chegar na loja. O que vai fazer você?</t>
  </si>
  <si>
    <t>GS5.GQ7</t>
  </si>
  <si>
    <t xml:space="preserve">Do FLAs ensure that consumers complete and/or sign all transaction forms/receipts, as applicable?
</t>
  </si>
  <si>
    <t xml:space="preserve">This question should be answered "YES" if:
WUCO examines the Agent copies of at least three of the most recent transaction forms/receipts  and confirms that they are complete and signed.  
</t>
  </si>
  <si>
    <t xml:space="preserve">This question should be answered "NO" &amp; Finding #1 Selected if:
• WUCO examines the Agent copies of at least three of the most recent  forms/receipts incomplete and/or unsigned.
• The Agent is unable to provide forms/receipts. 
This question should be answered "NO" &amp; Finding #2 Selected if:
WUCO is able to determine that the FLAs have deliberately processed transactions without requiring completed forms/receipts to avoid compliance controls. 
</t>
  </si>
  <si>
    <t xml:space="preserve">This question should be answered "N/A" if:  
• Transaction forms/transaction receipts or the signature records are not available for review based on contractual or other legal agreement with the Agent.
• The Agent offers only Money Order sales. 
**Note: If you are not sure whether transaction forms/receipts are available at the Agent location, please consult with your management to decide on the best path forward.  </t>
  </si>
  <si>
    <t>If agent is NOT formless:
1) Who fill in the forms?
2) Do you ever help the customer fill in the forms?
3) At the end of the transactions, who sign the receipts?</t>
  </si>
  <si>
    <t>• Al final de la transacción, el sistema le va a imprimir un recibo confirmando los detalles de la transacción. 
- Quién firma ese recibo?</t>
  </si>
  <si>
    <t>Qui complète les formulaires requis avant chaque transaction, l’agent ou le client?  À la fin des transactions, qui signe les reçus?</t>
  </si>
  <si>
    <t>• No final da transação, o sistema vai imprimir um boleto confirmando os dados da transação. 
- Quem assina o boleto?</t>
  </si>
  <si>
    <t>Is the list of active Front Line Associates ("FLA") in the system up-to-date?</t>
  </si>
  <si>
    <t xml:space="preserve">This question should be answered "YES" if:
WUCO confirms the list of active FLAs in the system are matching with:
• The number of FLAs observed working at the location (in case of an onsite review), OR
• The number of FLAs working at the location as communicated by the agent representative (in case of a telephone review)
</t>
  </si>
  <si>
    <t xml:space="preserve">This question should be answered "NO" if:
  • there is at least 1 active FLA whose name and OPID does not appear in the system (not applicable for roaming operators)
  • there is at least 1 FLA whose name and OPID appears in the system but is no longer processing transactions at the agent location.
</t>
  </si>
  <si>
    <t xml:space="preserve">This question should be answered "N/A" if:  
• The Agent is ONLY Host to Host (“H2H”) or 
• The Agent uses a system not recording FLA OP IDs.
**Note: If "N/A" is selected, a case comment is required stating the reason for the selection. </t>
  </si>
  <si>
    <t>GS5.GQ8</t>
  </si>
  <si>
    <t xml:space="preserve">FLA INTERVIEW: Do FLAs sufficiently understand the Enhanced Customer Due Dilligence (ECDD) and the Large Principal Money Transfer (LPMT) procedures, including:
•   Established transaction thresholds that trigger LPMT ;
•   All applicable  ECDD or LPMT procedures
•   Documentation requirements, if any?
</t>
  </si>
  <si>
    <t xml:space="preserve">This question should be answered "YES" if:  
WUCO confirms that the FLA is able to describe the ECDD and/or LPMT requirements. 
</t>
  </si>
  <si>
    <t xml:space="preserve">This question should be answered "NO" &amp; Finding #1 Selected if:
WUCO confirms that, the FLA is unable to describe the stated requirements.
This question should be answered "NO" &amp; Finding #2 Selected if:
WUCO confirms that the FLA is able to describe the requirements but admits to not following the requirements </t>
  </si>
  <si>
    <t xml:space="preserve">This question should be answered "N/A" if:  
The Agent offers only Money Order sales. </t>
  </si>
  <si>
    <t>1) Is there any specific requirement for transactions after certain amount?
2) Do you know what a Large Principal Money transfer (LPMT) is? / What process should I go through if I am sending $$ to XXX?
3) What happens if a client wants to send more than the amount allowed. Look out for splitting.</t>
  </si>
  <si>
    <t>• Qué proceso debe seguir usted si un cliente quiere enviar más de $7,500 USD?
• Qué pasa si un cliente quiere enviar más de $7,500 USD y al darse cuenta de los requerimientos intenta hacer varios envios de montos menores? 
- Qué haría usted?</t>
  </si>
  <si>
    <t>Votre agence a-t-elle des exigences particulières pour les transactions supérieures à une certaine somme d’argent ?  Y-a-t-il des exigences supplémentaires pour les envois des montants élevés d’argent ?                    
Savez-vous ce qu'est un transfert de somme élevée ?                                                              
Que faites-vous si un client souhaite envoyer une somme d'argent qui dépasse le plafond journalier ?</t>
  </si>
  <si>
    <t>• Qual é o processo que você deve seguir se un cliente quisesse enviar mais do que o valor permitido?
• O que acontece se um cliente quisesse enviar mais do que o valor permitido. Mas quando você notificar o cliente que não pode enviar mais do que esse valor, o cliente tenta fazer várias transações de valores mais pequenos.
- O que faria você?</t>
  </si>
  <si>
    <t xml:space="preserve">If the answer to the previous question is "N/A," provide a comment expalining why the selection was made. </t>
  </si>
  <si>
    <t>GS6.GQ1</t>
  </si>
  <si>
    <t>For Send transactions, is the consumer charged the exact amount (principal plus fees and taxes) listed on the Western Union send receipt?</t>
  </si>
  <si>
    <t xml:space="preserve"> This question should be answered "YES" if: 
• WUCO  verifies that the Agent is charging consumers the exact amount listed on the Send Receipt.
• Unless complaints are submitted against the agent, the only way to verify this during a Program Review is by asking the Agent directly if they are charging any additional fees.  If the Agent states they are not charging any additional fees, then this is enough to justify answering "YES" to this question.</t>
  </si>
  <si>
    <t xml:space="preserve">This question should be answered "NO" if: 
It is identified that the Agent is not charging consumers the exact amount listed on the Send Receipt. </t>
  </si>
  <si>
    <t>This question should be answered "N/A" if: 
The Agent does not offer Money Transfer sends.</t>
  </si>
  <si>
    <t>How do you know how much to charge for a Send transaction?</t>
  </si>
  <si>
    <t>• Ustedes realizan envios de transacciones en su terminal?
• Cómo calculan ustedes el monto de la tarifa que se le va a cobrar al cliente por usar el servicio de Western Union? 
• Cuáles son los cargos que incluyen?</t>
  </si>
  <si>
    <t>Effectuez-vous des envois dans votre agence?  Est-ce que vous chargez des frais supplémentaires pour le service?</t>
  </si>
  <si>
    <t>• Vocês enviam transações na loja?
• Como é que vocês estimam o valor total que o cliente deve pagar pelo uso do serviço?
• Quais são as taxas que vocês incluem?</t>
  </si>
  <si>
    <t>Have FLAs completed initial AML/CTF and Fraud Awareness Training before being allowed to conduct transactions?</t>
  </si>
  <si>
    <t xml:space="preserve">This question should be answered "YES" if:    
• The Initial AML/CFT and Fraud Awareness Training is completed before the Agent FLAs are permitted to conduct any transactions on their own, and the same is documented.
• In the absence of an examination with a numerical score, Agent's Compliance Officer must be able to demonstrate that each FLA has completed the initial training modules and understands the training content.
**Note: 
• For Agents using LMS Training, "YES" response is acceptable, WUCO must attach evidence of completed LMS training.
</t>
  </si>
  <si>
    <t xml:space="preserve">This question should be answered "NO" if:  
• Initial training provided to new FLAs does not cover AML/CFT and Fraud Awareness; OR
• WUCO has not seen evidence that training was provided; OR 
• WUCO has found that there is an FLA conducting Western Union transactions but has not completed their initial trainings (i.e. the FLA uses another staff members ID/password to process transactions).
</t>
  </si>
  <si>
    <t>GS6.GQ2</t>
  </si>
  <si>
    <t xml:space="preserve">For Receive (payout) transactions, does the consumer receive the exact payout amount as listed on the Western Union receive receipt? </t>
  </si>
  <si>
    <t>This question should be answered "YES" if: 
WUCO can confirm that materials are available and are displayed.</t>
  </si>
  <si>
    <t>This question should be answered "NO" if: 
Agent representative cannot confirm they pay out the exact payout amount as listed in the Western Union system.</t>
  </si>
  <si>
    <t xml:space="preserve">This question should be answered "N/A" if: 
The Agent does not offer Money Transfer payout. </t>
  </si>
  <si>
    <t>How do you know how much to charge for a Receive/payout transaction?</t>
  </si>
  <si>
    <t>• Ustedes realizan pagos de transacciones en su terminal?
• Cómo calculan ustedes el monto que se le va a pagar al cliente por por la transacción? 
• Cuáles son los cargos que incluyen?</t>
  </si>
  <si>
    <t>Effectuez-vous des paiements dans votre agence? Est-ce que le client reçoit-il le montant exact indiqué sur le reçu de Western Union?</t>
  </si>
  <si>
    <t>• Vocês pagam transações na loja?
• Como é que vocês estimam o valor total que o cliente vai receber?
• Quais são as taxas que vocês incluem no momento de pagar uma transação ao cliente?</t>
  </si>
  <si>
    <t>GS3.RQ4</t>
  </si>
  <si>
    <t>Have FLAs completed ongoing AML/CTF and Fraud Awareness Training to continue to conduct transactions?</t>
  </si>
  <si>
    <t xml:space="preserve">This question should be answered "YES" if:
• The Ongoing AML/CFT and Fraud Awareness Training is completed before the Agent FLAs are permitted to continue conducting transactions on their own, andthe same is documented.
• In the absence of an examination with a numerical score, Agent's Compliance Officer must be able to demonstrate that each FLA has completed the initial training modules and understands the training content.
**Note: 
• For Agents using LMS Training, "YES" response is acceptable, WUCO must attach evidence of completed LMS training.
</t>
  </si>
  <si>
    <t xml:space="preserve">This question should be answered "NO" if:  
• Ongoing training provided to new FLAs does not cover AML/CFT and Fraud Awareness; OR
• WUCO has not seen evidence that ongoing training was provided; OR
• WUCO found that there is an FLA with expired training who continues to conduct Western Union transactions ( i.e. the FLA uses another staff members ID/password to process transactions).
</t>
  </si>
  <si>
    <t>GS7.GQ1</t>
  </si>
  <si>
    <t>Is this an EFRAL Post reactivation Quarterly Review?</t>
  </si>
  <si>
    <t>This question should be answered "YES" if:  
WUCO confirms that the location is an EFRAL case that has been reactivated in WU systems and that this review is one of four EFRAL Post Activation Quarterly Reviews subsequent to  reactivation.  
If this question is answered "YES", the questionnaire will display question GS7.GQ2</t>
  </si>
  <si>
    <t>This question should be answered "NO" if:  
WUCO confirms that there is NO record in WU systems that this is an EFRAL case that has been reactivated in WU systems or is one of four  EFRAL Post Activation Quarterly Reviews subsequent to reactivation.  
If this question is answered "NO", the questionnaire will skip to question GS7.GQ6</t>
  </si>
  <si>
    <t>This is an EFRAL question.</t>
  </si>
  <si>
    <t>Do the FLAs know that commercial transactions are not permitted?</t>
  </si>
  <si>
    <t>This question should be answered "YES" if:
The FLAs confirm they understand that commercial transactions (send or receive) are not permitted in their jurisdiction and cannot be conducted.</t>
  </si>
  <si>
    <t xml:space="preserve">This question should be answered "NO" if:
The FLAs do not understand that commercial transactions (send or receive) are not permitted in their jurisdiction and cannot be conducted
</t>
  </si>
  <si>
    <t>GS7.GQ2</t>
  </si>
  <si>
    <t>Do FLAs retain a photocopy or scan of the identification documents or biometric information presented by the recipient and retain the photocopies or images, along with the receive forms, for a period of five (5) years?</t>
  </si>
  <si>
    <t>This question should be answered "YES" if:
•  WUCO  confirms, after reviewing a sample of receive transactions that the location has a copy of recipient IDs and receive forms.  If these documents are not stored at the location, have the agent provide them  before finalizing the review in iWatch.
If this question is answered "YES", the questionnaire will display question GS7.GQ3</t>
  </si>
  <si>
    <t>This question should be answered "NO" if: 
•   WUCO  confirms that the location does NOT retain copies of recipient IDs and receive forms.
If this question is answered "NO", the questionnaire will skip to question GS7.GQ4</t>
  </si>
  <si>
    <t>GS7.GQ3</t>
  </si>
  <si>
    <t>Explicit statement that WUCO has verified the retention of identity documents and/or biometric information presented by receivers; attachment the document.  (see RRVA Attachment Requirements)</t>
  </si>
  <si>
    <t>GS7.GQ4</t>
  </si>
  <si>
    <t>Is this location a Send-Only EFRAL?</t>
  </si>
  <si>
    <t>This question should be answered "YES" if: 
WUCO can verify the agent's send-only status by identifying the status in WU systems as described in the Send-Only Attachment requirements.
If this question is answered "YES", the questionnaire will display question GS7.GQ5.</t>
  </si>
  <si>
    <t>This question should be answered "NO" if: 
WUCO cannotverify the agent's send-only status in WU systems.</t>
  </si>
  <si>
    <t>GS7.GQ5</t>
  </si>
  <si>
    <t>Explicit statement that WUCO has verified the Agent's send-only status; attach the document (see Send-only Attachment Requirements)</t>
  </si>
  <si>
    <t>GS7.GQ6</t>
  </si>
  <si>
    <t>Is this location a retired EFRAL?</t>
  </si>
  <si>
    <t>This question should be answered "YES" if:
WUCO has viewed the Commitment letter and confirms that the agent has signed it.</t>
  </si>
  <si>
    <t>This question should be answered "NO" if:  
WUCO confirms that there is NO record in WU systems that the Agent Location is was an EFRAL case.</t>
  </si>
  <si>
    <t>GS7.GQ7</t>
  </si>
  <si>
    <t>Explicit statement that WUCO has viewed the agent signed Commitment Letter or WU system status confirming it.</t>
  </si>
  <si>
    <t>GS8.GQ1</t>
  </si>
  <si>
    <t>Does the Agent comply with retention period requirements for paper records (i.e., receipts) under local regulation or according to WU standards, whichever is more stringent?</t>
  </si>
  <si>
    <t>This question should be answered "YES" if:
• WUCO interviews the FLA and confirms they are able to describe the required retention period for all paper records as described in the “TWUC Information Governance Retention Schedule.” 
• All transaction forms, and compliance records related to WU products and services that are created or handled by the Agent must be retained for the longer of either:
     o (i) the legally required number of years from the date of the transaction in the jurisdiction where the Agent operates; or 
     o (ii) for ten (10) years 
• WUCO can confirm the applicable legal retention periods, or can advise Agent that they may contact WU Records Management department at wurecordsmanagement@westernunion.com to confirm.</t>
  </si>
  <si>
    <t xml:space="preserve">This question should be answered "NO" if:
• WUCO finds that the FLA is unable to describe the required retention period for all records.
**Note: WUCO can confirm the applicable legal retention periods, or can advise Agent that they may contact WU Records Management department at wurecordsmanagement@westernunion.com to confirm. </t>
  </si>
  <si>
    <t xml:space="preserve">This question should be answered "N/A" if:  
• All records for this location are maintained by the network headquarters; OR
• There are no record retention requirements for this location.
**Note: If "N/A" is selected, a case comment is required stating the reason for the selection.      </t>
  </si>
  <si>
    <t>1) For how long do you keep documents at the store? (Forms and/or Compliance Documents)</t>
  </si>
  <si>
    <t>• Por cuánto tiempo guardan ustedes los registros relacionados con las transacciones WU en la Agencia?</t>
  </si>
  <si>
    <t>Combien de temps conservez-vous les documents et les informations sur les clients et les transactions effectuées à l'agence ?
Savez-vous combien de temps l'information ou la documentation doit être conservée?</t>
  </si>
  <si>
    <t>• Por quanto tempo você guarda na loja os documentos relacionados às transações? Tipo formulários de transações e registros de compliance relacionados aos produtos e serviços da Western Union.</t>
  </si>
  <si>
    <t>GS8.GQ2</t>
  </si>
  <si>
    <t>Does the Agent securely dispose of all paper records after the retention period is reached (i.e., shredding)?</t>
  </si>
  <si>
    <t>This question should be answered "YES" if:
WUCO confirms that the Agent is disposing of all documents appropriately (e.g., by shredding) after the retention period is reached.</t>
  </si>
  <si>
    <t>This question should be answered "NO" if:
WUCO confirms that the Agent is NOT disposing of all documents properly after the retention period is reached.</t>
  </si>
  <si>
    <t xml:space="preserve">This question should be answered "N/A" if:  
• All records for this location are maintained by the network headquarters; OR
• There are no record retention requirements for this location.
**Note: If "N/A" is selected, a case comment is required stating the reason for the selection. </t>
  </si>
  <si>
    <t xml:space="preserve">Once the documents reach the required retention period, what do you do with them? How do you get rid of the AML documents? </t>
  </si>
  <si>
    <t>Una vez que los documentos llegan a la fecha limete de resguardo, que hace usted con ellos? Como es que usted desecha documentos del ALD?</t>
  </si>
  <si>
    <t>Une fois que le document a atteint la période de conservation, qu'est-ce que vous faites avec eux? Comment vous-vous débarrassez des documents AML?</t>
  </si>
  <si>
    <t>Uma vez que os documentos completarem o período de retenção necessário, o que você faz com eles? Como se livrar dos documentos da PLD?</t>
  </si>
  <si>
    <t>GS8.GQ3</t>
  </si>
  <si>
    <t>Is the Location able to produce clear copies of transaction documents, either for the required retention period or for the period between the date of the review and the last dispatch to the centralized storage?</t>
  </si>
  <si>
    <t>This question should be answered "YES" if:
• WUCO examines a sample of 3 of the oldest transaction documents, and is satisfied that they fulfill the retention/recordkeeping requirements.
• This question may be answered "Yes" if all records, and retention thereof, are fully maintained at the Master Agent or Network Headquarters, (e.g., paperless locations) AND this process is confirmed during the Location program review.</t>
  </si>
  <si>
    <t>This question should be answered "NO" if: 
After requesting a sample of 3 copies of transaction documents, the WUCO determines that transaction records are not held for the required retention period or are otherwise unsatisfactory.</t>
  </si>
  <si>
    <t>If I asked you to find and retrieve receipts from (four months ago), would you be able to provide them?</t>
  </si>
  <si>
    <t>• Si yo le pidiera copias de los recibos de transacciones enviadas o pagadas hace 4 días, usted sería capaz de obtenerlas?</t>
  </si>
  <si>
    <t>Si je vous demandais le document d'un transfert effectué il y a 4 jours, pourriez-vous l'obtenir?</t>
  </si>
  <si>
    <t>• Vamos supor que eu te peço me enviar uma cópia do boleto de uma transação feita há 2 dias, você poderia obter a cópia?</t>
  </si>
  <si>
    <t>GS8.GQ4</t>
  </si>
  <si>
    <t>Does the location store all physical  records (e.g., MT records, Money Order Logs, KYC Forms) in a safe and secured place?</t>
  </si>
  <si>
    <t xml:space="preserve">This question should be answered "YES" if:
WUCO has observed and can confirm that records are stored in a safe and secured place, and specifically that they are NOT on the service counter or accessible to consumers or unauthorized persons.
**Note: If the review is conducted by telephone, inquiry reveals that the records are not stored on the service counter or accessible to consumers or unauthorized persons.  </t>
  </si>
  <si>
    <t>This question should be answered "NO" if:
WUCO has observed and can confirm that records are stored on the service counter or accessible to consumers or unauthorized persons. 
**Note: If the review is conducted by telephone, inquiry reveals that the agent is unable to confirm that the records are not stored on the service counter or accessible to consumers or unauthorized persons.</t>
  </si>
  <si>
    <t>This question should be answered "N/A" if: 
• All records for this location are maintained by the network headquarters; OR
• There are no record retention requirements for this location.</t>
  </si>
  <si>
    <t>1) Where do you keep the Western Union records?</t>
  </si>
  <si>
    <t>• En dónde guardan ustedes los registros mientras estos se mantienen en la agencia?</t>
  </si>
  <si>
    <t>Conservez-vous les dossiers physiques de Western Union dans un endroit sécurisé au sein de l'agence ?                                            
Où les gardez-vous spécifiquement?</t>
  </si>
  <si>
    <t>• Onde é que vocês guardam os registros físicos das transações da Western Union quando eles estão na loja?</t>
  </si>
  <si>
    <t>GS8.GQ5</t>
  </si>
  <si>
    <t>Does the Agent delete electronic records after the retention period is reached?</t>
  </si>
  <si>
    <t xml:space="preserve">This question should be answered "YES" if:
WUCO confirms that the Agent is deleting all electronic records after the retention period is reached. </t>
  </si>
  <si>
    <t xml:space="preserve">This question should be answered "NO" if:
WUCO confirms that the Agent is NOT deleting all electronic records after the retention period is reached. </t>
  </si>
  <si>
    <t xml:space="preserve">This question should be answered "N/A" if:  
• All electronic records for this location are maintained by the network headquarters; OR
• There are no record retention requirements for this location; OR
• The Agent does not store records electronically. 
**Note: If "N/A" is selected, a case comment is required stating the reason for the selection. </t>
  </si>
  <si>
    <t>Once the electronic records reach the required retention period, what do you do with them?</t>
  </si>
  <si>
    <t>Una vez que los registros electrónicos alcanzan el período de retención requerido, ¿qué hacer con ellos?</t>
  </si>
  <si>
    <t>Une fois que les enregistrements électroniques ont atteint la période de conservation, que faites vous avec eux?</t>
  </si>
  <si>
    <t>Uma vez que os registros eletrônicos completarem o período de retenção necessário, o que você faz com eles?</t>
  </si>
  <si>
    <t>Is the Agent meeting all state-specific requirements?</t>
  </si>
  <si>
    <t xml:space="preserve"> This question should be answered "YES" if:
WUCO confirms that the Agent is satisfying all state-specific requirements (prominent display, contract addenda, etc.). Refer to the "State Requirements" document on the US Field Organization SharePoint site for a list of requirements for each state.</t>
  </si>
  <si>
    <t xml:space="preserve"> This question should be answered "NO" if:
There are applicable state-specific requirements (as defined above) that this Agent is NOT satisfying.</t>
  </si>
  <si>
    <t xml:space="preserve"> This question should be answered "N/A" if:
• There are no state-specific requirements in the Agent's state.
• The Agent is a bank/credit union or similar financial institution insured by the FDIC.</t>
  </si>
  <si>
    <t>1. For the state of XXX there are some state requirements you need to have. Do you have them?
2. Can you please read what they state?</t>
  </si>
  <si>
    <t>1. Para el estado de XXXX hay algunas especificaciones que usted debe tener. ¿Usted las tiene? 
2. ¿Podría leerme que dicen los avisos?</t>
  </si>
  <si>
    <t>1. Pour l'Etat de XXXX vous devez avoir certaines exigences d'Etat. Est-ce que vous les avez?
2. Pouvez-vous lire ce qu'ils disent ?</t>
  </si>
  <si>
    <t>1. para o estado de XXX há alguns requisitos de estado que precisa ter. Você os tem?
2. Pode ler o que eles dizem?.</t>
  </si>
  <si>
    <t>Does the Agent have any form of a documented Training Program?</t>
  </si>
  <si>
    <t>This question should be answered "YES" if:
• WUCO has obtained a copy of the Agent's Training Program document. 
• WUCO has examined the Agent's Training Program document, either physically onsite or "Digitally/Electronically" during an offsite review.
• If the Agent's Compliance Officer cannot provide documentation of their overall AML/CFT and Fraud Awareness training program due to privacy concerns and/or legal restrictions, the Agent’s Compliance Officer may provide a WU-relevant program excerpt or a verbal description (which the WUCO would then transcribe and provide to the Compliance Officer/Delegate for signature).
Note: The Training Program can either be a stand-alone document or part of their compliance policies and procedures.</t>
  </si>
  <si>
    <t>This question should be answered "NO" if:
• Agent did not provide WUCO with a copy of their Training Program document.
• Agent was unwilling or unable to show or confirm (in writing), the existence Training Program document during the review.
Note: The Training Program can either be a stand-alone document or part of their compliance policies and procedures.</t>
  </si>
  <si>
    <t>Where in your program is the Training section located and what does it talk about specifically?</t>
  </si>
  <si>
    <t>¿Dónde está ubicada la sección de capacitación y que elementos contiene específicamente?</t>
  </si>
  <si>
    <t>Où se trouve la section Formation dans votre programme et de quoi parle-t-elle spécifiquement ?</t>
  </si>
  <si>
    <t>¿Onde em seu programa está localizada a seção Treinamento e sobre o que ela fala especificamente?</t>
  </si>
  <si>
    <t>GS12.RQ1</t>
  </si>
  <si>
    <t>This question should be answered "YES" if:
WUCO confirms that the Agent is providing the required "Pre-Transaction Disclosure Statement" (PDS) for Dodd-Frank related transactions prior to collecting remittance funds.</t>
  </si>
  <si>
    <t>This question should be answered "NO" if: 
WUCO confirms that the Agent is not providing the required "Pre-Transaction Disclosure Statement" (PDS) for Dodd-Frank related transactions prior to collecting remittance funds. 
**Note: If this finding is given, the event is regarded as a Dodd-Frank "FAIL" and a case must be referred to the Consumer Protection Compliance Team (Dodd-Frank).</t>
  </si>
  <si>
    <t>This question should be answered "N/A" if: 
The Agent does not offer Money Transfer</t>
  </si>
  <si>
    <t>1. Let’s say I am a consumer sending $300 outside the United States, before I can pay the transaction the system prints the Pre- Transaction Disclosure Statement (PDS), what do you do with it?
2. What happens if the customer leaves it behind?
Note: If the customer leaves the PDS behind, the agent should never keep it. Shred it.</t>
  </si>
  <si>
    <t>1. Supongamos que soy un cliente que está enviando $300 fuera del territorio Estadounidense pero antes de pagar por la transferencia el sistema le imprime a usted un documento (pre-recibo) ¿que hace usted con el documento?
2. ¿Que haría si el cliente dejara el documento en la localidad?
Note: If the customer leaves the PDS behind, the agent should never keep it. Shred it.</t>
  </si>
  <si>
    <t>1. Supposons que je sois un consommateur qui envoie 300 $ à l'extérieur des États-Unis, avant que je puisse payer la transaction, le système imprime la déclaration de divulgation préalable à la transaction (PDS), qu'en faites-vous ?
2. Que se passe-t-il si le client l'oublie ?
Note: If the customer leaves the PDS behind, the agent should never keep it. Shred it.</t>
  </si>
  <si>
    <t>1. digamos que sou um consumidor que envia 300 dólares fora dos Estados Unidos, antes de poder pagar a transação o sistema imprime a Declaração de Divulgação da Pré-transação (PDS), o que é que se faz com ela?
2. O que acontece se o cliente esquecê-lo?
Nota: Se o cliente esquecer o PDS, o agente nunca o deve guardar. Deve destruí-lo".</t>
  </si>
  <si>
    <t>Do training materials include AML/CFT topics and guidance on detecting fraud and handling of fraud-induced money transfers?</t>
  </si>
  <si>
    <t>Yes, No_AML/CFT, No_AntiFraud, No_AML/CFT/AntiFraud</t>
  </si>
  <si>
    <t>This question should be answered "YES" if:
WUCO confirms that the training materials include AML/CFT topics and guidance on detecting fraud and handling of fraud-induced money transfers. 
Note: 
• For Agents using LMS training or WU training materials, "YES" response is acceptable.
• If the Agent offers Money Orders only, and otherwise complies with AML/CFT training material (Anti-Fraud is not pertinent to MOs), this question can be answered "YES".</t>
  </si>
  <si>
    <t>This question should be answered "NO" if:  
Training materials do not include AML/CFT topics and/or guidance on detecting fraud and handling of fraud-induced money transfers.</t>
  </si>
  <si>
    <t>DOCUMENTS REQUIRED Training Evidence: Answer by reviewing Agent's Training Log or LMS report.</t>
  </si>
  <si>
    <t>GS12.RQ2</t>
  </si>
  <si>
    <t>Does the Agent understand how to handle a consumer’s request to cancel a transaction and receive a refund?</t>
  </si>
  <si>
    <t xml:space="preserve">This question should be answered "YES" if:
WUCO confirms that the Agent understands how to handle a consumer cancellation.  </t>
  </si>
  <si>
    <t>This question should be answered "NO" if: 
WUCO cannot confirm that the Agent understands how to handle a consumer cancellation.</t>
  </si>
  <si>
    <t>This question should be answered "N/A" if:
The Agent does not offer Money Transfer.</t>
  </si>
  <si>
    <t>If a consumer wants to cancel a transaction they sent 10 minutes ago, how do you process it?
(Through WUPOS OR by calling on behalf of the consumer to WU 1-800-435-2227)</t>
  </si>
  <si>
    <t>Si un cliente desea cancelar una transacción que envió hace 10 minutos, ¿sabría usted como hacerlo?
(Through WUPOS OR by calling on behalf of the consumer to WU 1-800-435-2227)</t>
  </si>
  <si>
    <t>Si un consommateur souhaite annuler une transaction qu'il a envoyée il y a 10 minutes, comment procédez-vous ?
(Through WUPOS OR by calling on behalf of the consumer to WU 1-800-435-2227)</t>
  </si>
  <si>
    <t>Se um consumidor quiser cancelar uma transação que enviou há 10 minutos, como deve fazê-lo?
(Através de WUPOS OU ligando em nome do consumidor para WU 1-800-435-2227).</t>
  </si>
  <si>
    <t>Has the Agent provided initial AML/CFT and Fraud Awareness training to all employees before allowing them to conduct transactions?</t>
  </si>
  <si>
    <t xml:space="preserve">This question should be answered "YES" if:
• WUCO verifies that the Agent has implemented and maintained a documented oversight process ensuring that all FLAs have received initial AML/CFT and Fraud Awareness training before allowing them to conduct transactions.                                          
• If the Agent's Compliance Officer cannot provide documentation that all FLAs have received initial AML/CFT and Fraud Awareness training due to privacy concerns and/or legal restrictions, the Agent’s Compliance Officer may provide a WU-relevant program excerpt or a verbal description (which the WUCO would then transcribe and provide to the Compliance Officer/Delegate for signature).
• In the absence of an examination with a numerical score, Agent's Compliance Officer must be able to demonstrate that each FLA has completed the initial training modules and understands the training content.
Note: 
• For Agents using LMS Training, "YES" response is acceptable, WUCO must attach evidence of completed LMS training.
• WUCO should NOT focus on whether the FLA training timeliness and quizzes are 100% effective, but rather whether the Agent CO has strong control over the tracking of training. WUCO should use professional judgment in making this assessment.
• If the Agent offers Money Orders only, and otherwise complies with AML/CFT training (Anti-Fraud is not pertinent to MOs), this question can be answered "YES".
</t>
  </si>
  <si>
    <t xml:space="preserve">This question should be answered "NO" if:  
• Initial training provided to new FLAs does not cover AML/CFT and Fraud Awareness; OR
• WUCO has not seen evidence that training was provided. </t>
  </si>
  <si>
    <t>DOCUMENT REQUIRED Training Log/LMS): Answer by reviewing Agent's Training Log or LMS report. Make sure a specific comment is noted on the Training Log indicating AML/CFT &amp; Anti-Fraud training was delivered. The agent can also use WU provided materials and resources, such as COS Kit, Regulatory Bulletins, Job Aids, and/or Agent Portal, or external materials. You may also add to this, the following questions:
1. Walk me through the process a newly hired operator must go through before being able to conduct transactions? (Initial Training).
2. Where or how do you document these trainings?</t>
  </si>
  <si>
    <t>DOCUMENT REQUIRED Training Log/LMS): Answer by reviewing Agent's Training Log or LMS report. Make sure a specific comment is noted on the Training Log indicating AML/CFT &amp; Anti-Fraud training was delivered. The agent can also use WU provided materials and resources, such as COS Kit, Regulatory Bulletins, Job Aids, and/or Agent Portal, or external materials. You may also add to this, the following questions:
1. Describa el proceso por el que un operador nuevo debe pasar antes de permitirle utilizar el Sistema de transacciones. (Entrenamiento Inicial).
2. ¿Dónde y como documenta los entrenamientos de sus empleados?</t>
  </si>
  <si>
    <t>DOCUMENT REQUIRED Training Log/LMS): Answer by reviewing Agent's Training Log or LMS report. Make sure a specific comment is noted on the Training Log indicating AML/CFT &amp; Anti-Fraud training was delivered. The agent can also use WU provided materials and resources, such as COS Kit, Regulatory Bulletins, Job Aids, and/or Agent Portal, or external materials. You may also add to this, the following questions:
1. Expliquez-moi le processus qu'un opérateur nouvellement embauché doit suivre avant de pouvoir effectuer des transactions?
2. Où ou comment documentez-vous ces formations ?</t>
  </si>
  <si>
    <t>DOCUMENT REQUIRED Training Log/LMS): Answer by reviewing Agent's Training Log or LMS report. Make sure a specific comment is noted on the Training Log indicating AML/CFT &amp; Anti-Fraud training was delivered. The agent can also use WU provided materials and resources, such as COS Kit, Regulatory Bulletins, Job Aids, and/or Agent Portal, or external materials. You may also add to this, the following questions:
1. Explique o processo pelo qual um operador recém-contratado deve passar antes de poder realizar transações? (Treinamento inicial).
2. Onde ou como você documenta esses treinamentos?</t>
  </si>
  <si>
    <t>GS12.RQ3</t>
  </si>
  <si>
    <t xml:space="preserve">Does the Agent understand how to handle a consumer complaint?
</t>
  </si>
  <si>
    <t>This question should be answered "YES" if:
WUCO confirms that:
(1) the Agent is aware that they (the Agent) must contact WU regarding the consumer's complaint or issue, and that it is not permissible to simply direct the customer to call Western Union themselves; AND
(2) the Agent is able to demonstrate or explain at least one appropriate mechanism for contacting WU regarding a consumer complaint or issue.</t>
  </si>
  <si>
    <t>This question should be answered "NO" if:
WUCO confirms that:
(1) the Agent is not aware that they (the Agent) must contact WU regarding the consumer's complaint or issue, and that it is not permissible to simply direct the customer to call Western Union themselves; OR
(2) the Agent is unable to demonstrate or explain at least one appropriate mechanism for contacting WU regarding a consumer complaint or issue.</t>
  </si>
  <si>
    <t>What happens if a consumer has a complaint about WU, how do you handle it?
(Through WUPOS in the other services option complaints and fill out the consumer complaint form and submit it OR by calling on behalf of the consumer to 1-800-435-2227) Also in WU.com.</t>
  </si>
  <si>
    <t>¿Que pasa si un cliente desea realizar una queja acerca de WU o los servicios que se ofrecen, sabe usted como hacerlo?
(Through WUPOS in the other services option complaints and fill out the consumer complaint form and submit it OR by calling on behalf of the consumer to 1-800-435-2227) Also in WU.com.</t>
  </si>
  <si>
    <t>Que se passe-t-il si un consommateur a une plainte à propos de WU, comment la gérez-vous ?
(Through WUPOS in the other services option complaints and fill out the consumer complaint form and submit it OR by calling on behalf of the consumer to 1-800-435-2227) Also in WU.com.</t>
  </si>
  <si>
    <t>O que acontece se um consumidor tiver uma queixa sobre a WU, como você lida com ela?
(Através da WUPOS na opção outros serviços de reclamações e preencher o formulário de reclamação do consumidor e submetê-lo OU, ligando em nome do consumidor para 1-800-435-2227) Também em WU.com.</t>
  </si>
  <si>
    <t xml:space="preserve">Has the Agent provided ongoing AML/CFT and Anti-Fraud Awareness training to all employees to continue to conduct transactions (particularly when there are significant changes to the processes, systems, risks or compliance program standards)? </t>
  </si>
  <si>
    <t>This question should be answered "YES" if:
• WUCO verifies that the Agent has implemented and maintained a documented oversight process to ensure all FLAs receive ongoing AML/CFT and Fraud Awareness training in order to continue conducting transactions on their own.
• If the Agent's Compliance Officer cannot provide documentation that all employees have received ongoing AML/CFT and Fraud Awareness training due to privacy concerns and/or legal restrictions, the Agent’s Compliance Officer may provide a WU-relevant program excerpt or a verbal description (which the WUCO would then transcribe and provide to the Compliance Officer/Delegate for signature).
Note: 
• For Agents using LMS Training, "YES" response is acceptable, WUCO must attach evidence of completed LMS training.
• WUCO should NOT focus on whether the employee ongoing training timeliness and quizzes (if any) are 100% effective, but rather whether the Agent CO has strong control over the tracking of ongoing training.  WUCO should use professional judgment in making this assessment. LMS training is acceptable for a "YES" response.
• If the Agent offers Money Orders only, and otherwise complies with AML/CFT training (Anti-Fraud is not pertinent to MOs), this question can be answered "YES".</t>
  </si>
  <si>
    <t xml:space="preserve">This question should be answered "NO" if:  
• Ongoing training provided to FLAs does not cover AML/CFT and Fraud Awareness; OR
• WUCO has not seen evidence that training was provided. </t>
  </si>
  <si>
    <t>This question should be answered "NA" if:  
The Agent has been active for less than a year AND there have been no significant changes to the processes, systems, risks or compliance program standards since activation.</t>
  </si>
  <si>
    <t>DOCUMENT REQUIRED Training Log/LMS: Answer by reviewing Agent's Training Log or LMS report. Make sure a specific comment is noted on the Training Log indicating AML/CFT &amp; Anti-Fraud training was delivered. The agent can also use WU provided materials and resources, such as COS Kit, Regulatory Bulletins, Job Aids, and/or Agent Portal, or external materials. You may also add to this, the following questions:
How often do you provide AML and Anti-Fraud refresher training to your regular employees?</t>
  </si>
  <si>
    <t>DOCUMENT REQUIRED Training Log/LMS: Answer by reviewing Agent's Training Log or LMS report. Make sure a specific comment is noted on the Training Log indicating AML/CFT &amp; Anti-Fraud training was delivered. The agent can also use WU provided materials and resources, such as COS Kit, Regulatory Bulletins, Job Aids, and/or Agent Portal, or external materials. You may also add to this, the following questions:¿Con que frecuencia reciben sus empleados entrenamiento continuo del programa de  AML/CFT y Anti-Fraude?</t>
  </si>
  <si>
    <t>DOCUMENT REQUIRED Training Log/LMS): Answer by reviewing Agent's Training Log or LMS report. Make sure a specific comment is noted on the Training Log indicating AML/CFT &amp; Anti-Fraud training was delivered. The agent can also use WU provided materials and resources, such as COS Kit, Regulatory Bulletins, Job Aids, and/or Agent Portal, or external materials. You may also add to this, the following questions:
1. À quelle fréquence offrez-vous une formation de remise LAB et anti-fraude à vos employés réguliers ?</t>
  </si>
  <si>
    <t>DOCUMENT REQUIRED Training Log/LMS: Answer by reviewing Agent's Training Log or LMS report. Make sure a specific comment is noted on the Training Log indicating AML/CFT &amp; Anti-Fraud training was delivered. The agent can also use WU provided materials and resources, such as COS Kit, Regulatory Bulletins, Job Aids, and/or Agent Portal, or external materials. You may also add to this, the following questions:
1. ¿Com que frequência você fornece treinamento de atualização PDL (Prevenção à Lavagem de Dinheiro) e Anti-Fraude a seus funcionários regulares?</t>
  </si>
  <si>
    <t>GS12.RQ4</t>
  </si>
  <si>
    <t>This question should be answered "YES" if:
WUCO confirms that the Agent is able to demonstrate or explain how to print the "Error Resolution and Cancellation Rights" statement and explain it to the consumer.</t>
  </si>
  <si>
    <t>This question should be answered "NO" if:
WUCO confirms that the Agent is NOT able to demonstrate or explain how to print the "Error Resolution and Cancellation Rights" statement and explain it to the consumer.</t>
  </si>
  <si>
    <t>This question should be answered "N/A" if: 
The Agent does not offer Money Transfer.</t>
  </si>
  <si>
    <t>If a client wants to know what rights they have regarding the Western Union services:
1. Where do you find this information?
2. Have you seen it?
3. Do you know what it is for?
In WUPOS you can go to other services and there is an Error Resolution and Cancellation rights option, you can print it and give it to the consumer or you can call on behalf of the consumer to 1-800-435-2227.</t>
  </si>
  <si>
    <t>Si un cliente desea obtener información adicional acerca de cuales son sus derechos como clientes. Hay un documento que se llama "Error Resolution and Cancellation Statement:
1. ¿Donde se puede encontrar esta información?
2. ¿Ha visto usted este documento?
3. ¿Para que sirve este documento?
In WUPOS you can go to other services and there is an Error Resolution and Cancellation rights option, you can print it and give it to the consumer or you can call on behalf of the consumer to 1-800-435-2227.</t>
  </si>
  <si>
    <t>Si un client souhaite connaître ses droits concernant les services de Western Union :
1. Où trouvez-vous ces informations ?
2. L'avez-vous vu ?
3. Savez-vous à quoi ça sert ?
In WUPOS you can go to other services and there is an Error Resolution and Cancellation rights option, you can print it and give it to the consumer or you can call on behalf of the consumer to 1-800-435-2227.</t>
  </si>
  <si>
    <t>Se um cliente quiser saber que direitos tem em relação aos serviços da Western Union:
1. Onde encontra esta informação?
2. Tem visto isso? 
3. Sabe para que serve?
Em WUPOS pode ir a outros serviços e existe uma opção de resolução de erros e direitos de cancelamento, pode imprimi-la e dá-la ao consumidor ou pode ligar em nome do consumidor para 1-800-435-2227.</t>
  </si>
  <si>
    <t>Does the Agent have a clearly documented process for all employees, including FLAs, compliance personnel, and management, to report suspicious activity concerns in accordance with local law and/or Western Union requirements (as applicable)?</t>
  </si>
  <si>
    <t>This question should be answered "YES" if:
• WUCO can verify that the Agent has a clearly documented process for all employees, including FLAs, compliance personnel, and management to report suspicious activity concerns to the Agent Compliance Delegate/Officer.  
• WUCU can verify by obtaining written procedures from the Agent, a copy of the company's "Suspicious Activity Referral Form" (or equivalent), or another method of confirmation that the process exists and is functional.
• WUCO confirms that even when there is no jurisdictional requirement to file SARs/STRs, the Agent is aware that they are expected to escalate suspicious consumer behavior or activity to WU for further review once they have completed their internal investigation.</t>
  </si>
  <si>
    <t>This question should be answered "NO" if:
• WUCO cannot verify that the Agent has a clearly documented process for all employees, including FLAs, compliance personnel, and management to report suspicious activity concerns to the Agent Compliance Delegate/Officer.  
• WUCO was unable to verify by obtaining written procedures from the Agent, a copy of the company's "Suspicious Activity Referral Form" (or equivalent), or another method of confirmation that the process exists and is functional.
• WUCO cannot determine that the Agent is aware that they are expected to escalate suspicious consumer behavior or activity to WU for further review once they have completed their internal investigation even when there is no jurisdictional requirement to file SARs/STRs.</t>
  </si>
  <si>
    <t>DOCUMENTS REQUIRED P&amp;Ps: Answer by reviewing Agent's Policies and Procedures document (Suspicious Activity) prior or during the call.</t>
  </si>
  <si>
    <t>GS12.RQ5</t>
  </si>
  <si>
    <t xml:space="preserve">Are all Western Union Advertising/marketing materials displayed in either the English or Spanish language (or if agent is approved, Chinese or French Creole)? </t>
  </si>
  <si>
    <t>This question should be answered "YES" if: WUCO confirms that the Agent only displays marketing materials in one of the approved languages.</t>
  </si>
  <si>
    <t>This question should be answered "NO" if: WUCO confirms that the Agent displays marketing materials related to WU services in an unapproved language.</t>
  </si>
  <si>
    <t>This question should be answered "N/A" if: 
•The Agent does not offer Money Transfer.
•The Agent does not have WU Advertising/Marketing materials.</t>
  </si>
  <si>
    <t>In what languages are your Advertising/marketing signs displayed at the location? 
Note: English/Spanish/Creole.</t>
  </si>
  <si>
    <t>¿En que idiomas se encuentran los materiales de mercadeo y publicidad de Western Union?
Note: English/Spanish/Creole.</t>
  </si>
  <si>
    <t>Dans quelles langues vos panneaux publicitaires/marketing sont-ils affichés sur le site ?
Note: English/Spanish/Creole.</t>
  </si>
  <si>
    <t>Em que línguas estão  as suas sinais de Publicidade/Marketing no local? 
Nota: inglês/espanhol/creole.</t>
  </si>
  <si>
    <t>Is the Agent complying with all applicable regulatory reporting requirements? Examples of required regulatory reports include suspicious activity, sanctions, or cash transaction reports.</t>
  </si>
  <si>
    <t>Yes, No, No_AML</t>
  </si>
  <si>
    <t>This question should be answered "YES" if:
• During the review, WUCO examines (as applicable by jurisdiction) either a sample of the required regulatory reports that the Agent submitted to the authorities OR a sample of referrals submitted to Western Union for investigation and can verify compliance with the regulations.
• WUCO verifies that the Agent understands the requirement and has a sound process in place.
• The Agent has not yet encountered any situations where a regulatory report should have been filed, or if they do not provide documentation due to Agent policy, WUCO’s evaluation of the Agent's level of understanding of the applicable requirements, and their ability to describe their procedures for ensuring compliance, is satisfactory.
• WUCO confirms that even when there is no jurisdictional requirement to file SARs/STRs, the Agent is aware that they are expected to escalate suspicious consumer behavior or activity to WU for further review once they have completed their internal investigation.
Note: 
• WUCO may select YES if there are potentially suspicious transactions detected, which generally should be reported, but which, due to valid reasonable circumstances explained by the Agent, form transparent and logical reasons to justify the Agent’s decision to refrain from filing. 
• WUCO is not expected to audit all the reports for any defined range of transactions and/or dates. (In case Agent is obliged by local law/contract to submit referrals to WU, WUCO must first check the availability of the internal referrals and mark “Yes” if the referrals are available and of adequate quality.)</t>
  </si>
  <si>
    <t>This question should be answered "NO" if:
• WUCO identified additional transactions (through their pre-work review and/or in reviewing the Agent's transaction records) that should have required a regulatory report to be filed but was not completed by the Agent; AND/OR
• WUCO determines that one or more reports have not been properly filed by the Agent. "Not properly filed" means:
        o Not submitted to appropriate authorities in a timely manner; and/or
        o Incomplete; and/or
        o Inaccurate.
• In cases where the Agent has not yet had occasion to file any regulatory reports (and thus WUCO must rely on interviewing the Agent to answer this question), WUCO determines that there are deficiencies in the Agent’s understanding of the requirements and/or their procedures for ensuring compliance.  
• WUCO determines that the Agent is unaware that they are expected to escalate suspicious consumer behavior or activity to WU for further review once they have completed their internal investigation even when there is no jurisdictional requirement to file SARs/STRs.</t>
  </si>
  <si>
    <t xml:space="preserve">
</t>
  </si>
  <si>
    <t>How do you report unusual/suspicious activity? (Submit a SAR – Suspicious Activity Report via BSA.
What is the timeframe to send a SAR? (30 days from the event)
Have you filed a SAR?
Are you familiar with the CTRs?
(WU files CTRs for WU MT transactions above $10,000 but the Agent is responsible for a combination of money orders, check cashing, travelers check or currency exchange and money transfers above 10 k or just money orders.)"</t>
  </si>
  <si>
    <t>¿Como reporta usted una actividad sospechosa o inusual? (Submit a SAR – Suspicious Activity Report via BSA).
¿Cuál es el tiempo límite para enviar un SAR? (30 days from the event)
¿En el transcurso del último año, ha tenido que enviar algún SAR?
¿Qué sabe usted acerca de los CTRs?
(Para los CTRs de transferencias, de esas se encarga Western Union; sin embargo, si aplicaran para CTR las ventas de Money Orders, cheques o sus combinaciones, ahí le corresponde directamente al agente ya que a nivel de sistema tenemos una menor visibilidad. Esto debido a que como bien se sabe, los Money Order no tienen un nombre asociado al menos que quede en los registros del agente).</t>
  </si>
  <si>
    <t>Savez vous comment signaler une activité inhabituelle/suspecte ? (Soumettre un SAR - Rapport d'activité suspecte via BSA.
Quel est le délai pour envoyer un SAR ? (30 jours après l'événement)
Au cours de la dernière année, avez-vous dû envoyer des SAR ?
Connaissez-vous les CTR ?
Pour les CTR de transfert, ceux-ci sont gérés par Western Union ; cependant, si les ventes de mandats, de chèques ou de leurs combinaisons s'appliquent au CTR, cela correspond directement à l'agent car au niveau du système, nous avons moins de visibilité. En effet, comme il est bien connu, les mandats postaux n'ont pas de nom associé à moins qu'il ne figure dans les dossiers de l'agent).</t>
  </si>
  <si>
    <t>¿Como você relata atividades suspeitas ou incomuns? (Apresentar um SAR - Relatório de Atividades Suspeitas via BSA).
¿Qual é o limite de tempo para apresentar um SAR? (30 dias após o evento)?
¿No último ano, você já teve que apresentar algum SAR?
¿O que você sabe sobre os CTRs?
(Para CTRs de transferência bancária, estes são tratados pela Western Union; no entanto, se as vendas por ordem de pagamento, cheques ou combinações deles se aplicarem aos CTRs, isso é um assunto para o agente diretamente, já que temos menos visibilidade no nível do sistema. Isto se deve ao fato de que, como é bem conhecido, as ordens de pagamento não têm um nome associado a elas (a menos que esteja nos registros do agente).</t>
  </si>
  <si>
    <t>GS12.RQ6</t>
  </si>
  <si>
    <t>Is the agent a Money Transfer by Phone Agent?</t>
  </si>
  <si>
    <t>This question should be answered "YES" if:
The Agent is a Money Transfer by Phone Agent</t>
  </si>
  <si>
    <t xml:space="preserve">This question should be answered "NO" if:
The Agent is not a Money Transfer by Phone Agent. </t>
  </si>
  <si>
    <t>GS14.GQ1</t>
  </si>
  <si>
    <t>Does the Agent have a documented policy in place for collecting and maintaining records regarding the identities of FLAs?</t>
  </si>
  <si>
    <t xml:space="preserve">The answer should be answered "YES" if:  
WUCO can confirm that the Agent has a policy for collecting, and maintaining records regarding the identities of Agent FLAs using reliable, independent source documents, data, or information such as a government-issued or other identification documents acceptable in the country, and safeguarding of the same.
Note: The FLA policy can either be a stand-alone document or part their compliance policies and procedures.
</t>
  </si>
  <si>
    <t xml:space="preserve">This question should be answered "NO" if:
WUCO is unable to confirm that the Agent has a policy for collecting, and maintaining records regarding the identities of Agent FLAs using reliable, independent source documents, data, or information such as a government-issued or other identification documents acceptable in the country, and safeguarding of the same. </t>
  </si>
  <si>
    <t>DOCUMENT REQUIRED ID Policy or Addendum: Answer by reviewing Agent's Policies and Procedures document or an Addendum prior or during the call.</t>
  </si>
  <si>
    <t>GS12.RQ7</t>
  </si>
  <si>
    <t xml:space="preserve">Has the Agent provided required Dodd-Frank training to all FLAs/employees before allowing them to conduct Western Union transactions? The training material is created by WU and mailed to all money transfer by phone agents on an annual basis. </t>
  </si>
  <si>
    <t xml:space="preserve">This question should be answered "YES" if: 
WUCO verifies that the Agent has provided all employees/FLAs and the completion should be evidenced by a training log to receive a “YES” answer to this question.   
Attachements Yes: Completed Training Log. </t>
  </si>
  <si>
    <t xml:space="preserve">This question should be answered "NO" if: 
The required Dodd-Frank training was not provided to all FLAs/employees and WUCO did not receive evidence of completed training log. 
Attachements Yes: Completed Training Log. </t>
  </si>
  <si>
    <t>DOCUMENT REQUIRED: Training Log -  Answer by reviewing the the agent's training log as to where it indicates Dodd-Frank training to all FLAs/ employees before allowing them to conduct Western Union transactions is delivered.</t>
  </si>
  <si>
    <t>GS14.GQ2</t>
  </si>
  <si>
    <t xml:space="preserve">This question should be answered "YES" if:
•  WUCO interviews the FLA and confirms they are able to describe the required retention period for all paper records as described in the “TWUC Information Governance Retention Schedule.” 
• All transaction forms, and compliance records related to WU products and services that are created or handled by the Agent must be retained for the longer of either:
    o (i) the legally required number of years from the date of the transaction in the jurisdiction where the Agent operates; or 
     o (ii) for ten (10) years 
• WUCO can confirm the applicable legal retention periods, or can advise Agent that they may contact WU Records Management department at wurecordsmanagement@westernunion.com to confirm. </t>
  </si>
  <si>
    <t>This question should be answered "NO" if:
• WUCO finds that the FLA is unable to describe the required retention period for all records.
**Note: WUCO can confirm the applicable legal retention periods, or can advise Agent that they may contact WU Records Management department at wurecordsmanagement@westernunion.com to confirm.</t>
  </si>
  <si>
    <t>1. For how long do you keep the AML/CFT and Anti-Fraud Compliance documents? (5 years USA and 6 years Canada, and Australia and New Zealand 10 years.) 
2. For how long to you keep forms/receipts? (6 months for Receipts/Forms - USA and Canada). Australia and New Zealand 10 years.
Note:
For receipts, if the transactions are involved in OFAC, IRs audits or going to Sudan/Syria, these must be kept for 5 years US and 6 years Canada. Australia and New Zealand 10 years.</t>
  </si>
  <si>
    <t>1. ¿Por cuanto tiempo guarda usted los documentos relacionados al programa de AML/CFT y Anti-Fraude? (5 years USA and 6 years Canada, Australia and New Zealand 10 years)
2. ¿Por cuanto tiempo guarda usted los recibos/formularios de las transferencias? (6 months for Receipts/Forms - USA and Canada, and Australia and New Zealand 10 years).
Note:
For receipts, if the transactions are involved in OFAC, IRs audits or going to Sudan/Syria, these must be kept for 5 years US and 6 years Canada. Australia and New Zealand 10 years.</t>
  </si>
  <si>
    <t>1. Combien de temps conservez-vous les documents de Conformité AML/CFT et Anti-Fraude ? (5 years USA and 6 years Canada, Australia and New Zealand 10 years)
2. Combien de temps conservez-vous les formulaires/reçus ? (6 months for Receipts/Forms - USA and Canada, and Australia and New Zealand 10 years).
Note:
For receipts, if the transactions are involved in OFAC, IRs audits or going to Sudan/Syria, these must be kept for 5 years US and 6 years Canada. Australia and New Zealand 10 years.</t>
  </si>
  <si>
    <t>1. Por quanto tempo você mantém os documentos de AML/CFT e Antifraude (5 anos USA e 6 anos Canadá, e Austrália e Nova Zelândia 10 anos.)_x000D_
_x000D_
2. Por quanto tempo você guarda os formulários/recibos? (6 meses para Recibos/Formulários - USA e Canadá). Austrália e Nova Zelândia 10 anos._x000D_
_x000D_
Observação:_x000D_
Para recibos, se as transações estiverem envolvidas em auditorias OFAC, IRS ou transações para o Sudão/Síria, estes devem ser mantidos por 5 anos em USA e 6 anos no Canadá. Austrália e Nova Zelândia 10 anos.</t>
  </si>
  <si>
    <t>GS14.RQ3</t>
  </si>
  <si>
    <t>This question should be answered "YES" if: 
WUCO confirms that the Agent knows who to contact in the event of lost or stolen documentation, unauthorized access, or if a system breach occurs.</t>
  </si>
  <si>
    <t xml:space="preserve">This question should be answered "NO" if:
WUCO confirms that the Agent does NOT know who to contact in the event of lost or stolen documentation, unauthorized access, or if a system breach occurs. </t>
  </si>
  <si>
    <t>Let’s say something happens and the compliance documents get damaged, stolen, or lost before they reach the 5 year period. 1. Who do you contact to report this to?
Note: They have to contact either agent support or the AE (USA).</t>
  </si>
  <si>
    <t>Pretendamos que algo sucedió y los documentos de cumplimiento se dañaron, fueron robados o perdidos antes de llegar a los 5 años vigencia. ¿A quién contactaría para reportar el incidente?
Note: They have to contact either agent support or the AE (USA).</t>
  </si>
  <si>
    <t>Supposons que quelque chose se passe et que les documents de conformité sont endommagés, volés ou perdus avant qu'ils n'atteignent la période de 5 ans.
1. A qui s'adresser pour le signaler?
Note: They have to contact either agent support or the AE (USA).</t>
  </si>
  <si>
    <t>Digamos que algo acontece e os documentos de conformidade são danificados, roubados, ou perdidos antes de cumprir o período de 5 anos. 1. A quem se dirige para comunicar isto?
Nota: Têm de contactar o apoio de agentes ou a AE (EUA).</t>
  </si>
  <si>
    <t>GS14.GQ4</t>
  </si>
  <si>
    <t>Is the Agent able to produce clear copies of transaction documents, either for the required retention period or for the period between the date of the review and the last dispatch to the centralized storage?</t>
  </si>
  <si>
    <t>This question should be answered "YES" if:
WUCO examines a sample of 3 of the oldest transaction documents, and is satisfied that they fulfill the retention/recordkeeping requirements.</t>
  </si>
  <si>
    <t>If I asked you to find and retrieve receipts from four months ago, would you be able to provide them?</t>
  </si>
  <si>
    <t>Si le pidiera que localice un recibo de una transferencia realizada hace 4 meses, ¿podría localizarlo?</t>
  </si>
  <si>
    <t>Pourriez-vous fournir une copie d'un reçu d'une transaction effectuée il y a 4 mois?</t>
  </si>
  <si>
    <t>Se eu lhe pedisse para encontrar e recuperar os recibos de há quatro meses atrás, poderia fornecê-los?</t>
  </si>
  <si>
    <t>GS14.RQ4</t>
  </si>
  <si>
    <t>This question should be answered "YES" if: 
WUCO confirms that the Agent is able to explain where to direct a customer who has privacy questions or inquiries.</t>
  </si>
  <si>
    <t xml:space="preserve">This question should be answered "NO" if: 
WUCO confirms that the Agent is NOT able to explain where to direct a customer who has privacy questions or inquiries. </t>
  </si>
  <si>
    <t>How would you respond to a consumer’s question about their privacy, for example: “How do I know you will not sell or provide my personal information to a third party (such as my SSN or ID information)?”
(Correct answer: Visit WU website, calling WU # on the receipt)</t>
  </si>
  <si>
    <t>Supongamos que un cliente pregunte acerca del porque necesitamos tanta información para poder utilizar el servicio o bien quisiera saber si existe alguna garantía sobre su información y que esta no será vendida a terceros ¿Como le respondería a un cliente que tiene preguntas de este tipo? ¿Donde se podría leer información acerca de la Política de Privacidad de Western Union?
(Correct answer: Visit WU website, calling WU # on the receipt)</t>
  </si>
  <si>
    <t>Comment répondriez-vous à la question d'un consommateur concernant sa vie privée, par exemple : "Comment puis-je savoir que vous n'allez pas vendre ou fournir mes informations personnelles à un tiers (comme mon SSN ou des informations d'identification) ?"</t>
  </si>
  <si>
    <t>Como responderia à pergunta de um consumidor sobre a sua privacidade, por exemplo: "Como sei que não irá vender ou fornecer as minhas informações pessoais a terceiros (tais como o meu SSN ou informações de identificação)"?
(Resposta correcta: Visite o website da WU, chamando a WU # no recibo).</t>
  </si>
  <si>
    <t>GS14.GQ5</t>
  </si>
  <si>
    <t>Does the Agent store all physical records (e.g. MT records, Money Order Logs, KYC Forms) in a safe and secured place?</t>
  </si>
  <si>
    <t xml:space="preserve">This question should be answered "YES" if:
WUCO has observed and can confirm that records are stored in a safe and secured place, and specifically that they are NOT on the service counter or accessible to consumers or unauthorized persons. 
Note: If the review is conducted by telephone, inquiry reveals that the records are not stored on the service counter or accessible to consumers or unauthorized persons.  </t>
  </si>
  <si>
    <t>This question should be answered "NO" if:
WUCO has observed that records are stored on the service counter or accessible to consumers or unauthorized persons. 
Note: If the review is conducted by telephone, inquiry reveals that the records are stored on the service counter or accessible to consumers or unauthorized persons.</t>
  </si>
  <si>
    <t>¿Where do you keep documents inside the store?
Note: When discussing the recordkeeping period for IRS audits, if Agent has any questions about IRS audit requirements, provide Agent Audit Support phone contact: Email: AgentAuditSupport@westernunion.com</t>
  </si>
  <si>
    <t>¿Donde son guardados los recibos de las transferencias y los documentos del programa?
Note: When discussing the recordkeeping period for IRS audits, if Agent has any questions about IRS audit requirements, provide Agent Audit Support phone contact: Email: AgentAuditSupport@westernunion.com</t>
  </si>
  <si>
    <t>¿Où conservez-vous les dossiers physiques de Western Union spécifiquement?
Note: When discussing the recordkeeping period for IRS audits, if Agent has any questions about IRS audit requirements, provide Agent Audit Support phone contact: Email: AgentAuditSupport@westernunion.com</t>
  </si>
  <si>
    <t>"¿Onde guardam os documentos dentro da loja?
Nota: Ao discutir o período de manutenção de registos para auditorias do IRS, se o agente tiver quaisquer perguntas sobre os requisitos de auditoria do IRS, forneça o contacto telefónico de Agent Audit Support: Email: AgentAuditSupport@westernunion.com"</t>
  </si>
  <si>
    <t>Have the Agent's AML policies and procedures been reviewed and approved in the last 12 months?</t>
  </si>
  <si>
    <t>This question should be answered "YES" if:
WUCO confirms that the date of the last review/approval was in the past 12 months.  To confirm the date, WUCO must identify:
     • The most current date of approval on the Agent's Policies &amp; Procedures document (date should be within the past 12 months of the current review date).
     • List of revision dates from the Agent Compliance Officer. 
**Note: If the Agent's internal policy does not allow WUCO to review, WUCO must obtain letter confirming the last revision date from the Agent's Compliance Officer.</t>
  </si>
  <si>
    <t>This question should be answered "NO" if:
WUCO confirms that:
• The last revision date of the Agent's Policies &amp; Procedures document is more than 12 months prior to the date of the review.
• The Agent has never reviewed and/or updated their company's AML Policies &amp; Procedures and they have been an Agent for more than 12 months.</t>
  </si>
  <si>
    <t xml:space="preserve"> This question should be answered "N/A" if:
Agent does not have Policies &amp; Procedures.</t>
  </si>
  <si>
    <t>DOCUMENTS REQUIRED Updated (Yearly) AML P&amp;Ps: Answer by reviewing Agent's Policies and Procedures prior or during the call.</t>
  </si>
  <si>
    <t>GS14.GQ3</t>
  </si>
  <si>
    <t>Once the documents reach the 5 year period, 
1. What do you do with them? 
2. How do you get rid of the program documents?</t>
  </si>
  <si>
    <t>FLA INTERVIEW: Do FLAs know how to identify elder financial abuse and what to do if they detect elder abuse?</t>
  </si>
  <si>
    <t>This question should be answered "YES" if:
WUCO interviews at least one FLA in addition to the CO/CD/primary interviewee (if available) and confirms that the FLA is able to describe how to identify elder financial abuse and what to do if they suspect it.
**Note: If the CO/CD is the only employee available, answer this question "YES" or "NO" with regard to the CO's knowledge.
If answered "YES": Supporting attachments is NOT required.</t>
  </si>
  <si>
    <t>This question should be answered "NO" if:
WUCO determines (during the FLA interview) that the employee is NOT able to describe how to identify elder financial abuse or what to do if they suspect it.
If answered “NO”: Attach documentation (e.g. training log) to show that all employees have been trained on how to identify and respond to potential instances of elder financial abuse. 
Front Office Remediation Action: Provide training to Agent CO and instruct them to train all employees in how to identify and respond to potential instances of elder financial abuse. If all training can be provided during the review, select "Resolved Onsite" in the Finding Description section.  If this is not possible, instruct the agent to provide additional training, and select "Response Required".
Follow Up/Back Office Remediation Action: Obtain documentation (e.g. training log) to show that all employees have been trained on how to identify and respond to potential instances of elder financial abuse.</t>
  </si>
  <si>
    <t>Can you describe what elderly abuse (the grandparent scam) is?
(This is a version of the emergency scam and targets elderly consumers. The fraudster impersonates the victim's grandchild or a person of authority and describes an urgent situation/emergency (usually a car accident, returning from a foreign country, or even in jail) and asks the victim to send money right away.)</t>
  </si>
  <si>
    <t>Por favor describa el tipo de fraude que se realiza en contra de los abuelos.
(This is a version of the emergency scam and targets elderly consumers. The fraudster impersonates the victim's grandchild or a person of authority and describes an urgent situation/emergency (usually a car accident, returning from a foreign country, or even in jail) and asks the victim to send money right away.)</t>
  </si>
  <si>
    <t>Pouvez-vous décrire ce qu'est la maltraitance des personnes âgées (l'escroquerie des grands-parents) ?
(This is a version of the emergency scam and targets elderly consumers. The fraudster impersonates the victim's grandchild or a person of authority and describes an urgent situation/emergency (usually a car accident, returning from a foreign country, or even in jail) and asks the victim to send money right away.)</t>
  </si>
  <si>
    <t>Conhecimento do FLA - atividades suspeitas e fraude</t>
  </si>
  <si>
    <t>Pode descrever o que é o abuso de idosos (o fraude dos avós)?
(Esta é uma versão do fraude de emergência e consumidores idosos. O impostor faz-se passar pelo neto da vítima ou por uma pessoa de autoridade e descreve uma situação/emergência urgente (geralmente um acidente de automóvel, regresso de um país estrangeiro, ou mesmo na prisão) e pede à vítima que envie dinheiro imediatamente).</t>
  </si>
  <si>
    <t>GS14.GQ6</t>
  </si>
  <si>
    <t xml:space="preserve">This question should be answered "N/A" if: The Agent does not store records electronically. </t>
  </si>
  <si>
    <t>Una vez que los registros electrónicos alcanzan el período de retención requerido, ¿qué hace con ellos?</t>
  </si>
  <si>
    <t>Are the FLAs consistently following the Telemarketing prompt as outlined on the WUPOS?</t>
  </si>
  <si>
    <t>This question should be answered "YES" if: 
WUCO can confirm, based on an interview with at least one FLA, that FLAs at this location have been instructed to ask the consumer the question as required on the WUPOS Consumer Fraud Prompt and log the consumer’s response into the system.</t>
  </si>
  <si>
    <t>This question should be answered "NO" if: 
WUCO cannot confirm, based on an interview with at least one FLA, that FLAs at this location have been instructed to ask the consumer the question as required on the WUPOS Consumer Fraud Prompt and log the consumer’s response into the system.
Front Office Remediation Action: Provide training to the FLA using the "Telemarketing Question Pop-up" quick help card and provide the quick help card to the location with instructions to train employees.  Select “Resolved Onsite” and “Training provided” in the Finding Description section.</t>
  </si>
  <si>
    <t>This question should be answered "N/A" if: 
• WUCO cannot interview at least one FLA to determine if FLAs at this location have been instructed to ask the consumer the question as required on the WUPOS Consumer Fraud Prompt and log the consumer’s response into the system. 
• The Agent does not offer money Transfers or;
• The Agent does not utilize WUPOS.</t>
  </si>
  <si>
    <t>1. Have you ever seen the message that shows up on the computer screen when processing a transaction that talks about telemarketing? 
2. How do you answer that question?</t>
  </si>
  <si>
    <t>1. Ha visto el mensaje de Telemercadeo/Telemarketing que aparece en la pantalla cuando se procesan los envíos? 
2. ¿Como responde a esa pregunta?</t>
  </si>
  <si>
    <t>1. Avez-vous déjà vu le message qui s'affiche sur l'écran de l'ordinateur lors du traitement d'une transaction qui parle de télémarketing ?
2. Comment répondez-vous à cette question ?</t>
  </si>
  <si>
    <t>1. já alguma vez viu a mensagem que aparece no tela do computador ao processar uma transacção que diz respeito a telemarketing? 
2. Como se responde a essa pergunta?.</t>
  </si>
  <si>
    <t>Does the Agent have any form of documented AML/CFT compliance policies and procedures?</t>
  </si>
  <si>
    <t>This question should be answered "YES" if:
• WUCO has obtained a copy of the Agent's AML/CFT Policies and Procedures. 
• WUCO has examined the Agent's documented AML/CFT Policies &amp; Procedures, either physically onsite or "Digitally/Electronically" during an offsite review.
• The Agent's policies prohibit viewing of the AML/CFT Policies and Procedures document (in any form), but the Agent’s CO/CD has provided: 
     o A supplemental document (i.e., letter of confirmation, AML Policy Statement) OR 
     o An electronic manual/document from the Agent's intranet or official website that contains language stating that the Agent has an AML/CFT Compliance Program.
Note: WUCO must attach proof that the Agent has documented AML/CFT Policies and Procedures. See Attachment Guidance for details. The P&amp;Ps should be approved and distributed. This will be addressed in subsequent questions.</t>
  </si>
  <si>
    <t xml:space="preserve">This question should be answered "NO" if:
• Agent did not provide WUCO with a copy of their P&amp;P document.
• Agent was unwilling or unable to show or confirm (in writing), the existence of Policies &amp; Procedures during the review.
• The WUCO was unable to obtain:
     o A supplemental document (i.e., letter of confirmation, AML Policy Statement) OR 
     o An electronic manual/document from the Agent's intranet or official website that contains language stating that the Agent has an AML/CFT Compliance Program.
</t>
  </si>
  <si>
    <t>DOCUMENTS REQUIRED AML/CFT P&amp;Ps: Answered by reviewing Agent's Policies and Procedures document received prior or during the call.</t>
  </si>
  <si>
    <t>Are the FLAs following the Telemarketing prompt as outlined on the WUPOS upon observation?</t>
  </si>
  <si>
    <t>This question should be answered "YES" if:
WUCO can observe at least 1 FLA asking the question (displayed on the consumer fraud prompt) to a consumer and entering the consumer’s response in the WUPOS system.
**Note: FLAs are required to do both</t>
  </si>
  <si>
    <t>This question should be answered "NO" if: 
Upon observing at least 1 FLA conducting a money transfer, the WUCO observes at least 1 FLA NOT asking the question displayed on the consumer fraud prompt to a consumer and/or not marking the consumer’s response in the WUPOS system.
**Note: FLAs are required to do both.
Front Office Remediation Action: ​​​​​​​Provide the necessary training/reminder to FLAs that he/she must ask the consumer the question as outlined in the WUPOS Fraud prompt on every transaction that it displays on, log the customer’s response in system and decline transaction if the answer is in the affirmative. Provide reminder, select "Resolved Onsite" in the Finding Description section.</t>
  </si>
  <si>
    <t>This question should be answered "N/A" if:
• The program review is conducted OFFSITE; and/or
• The agent does not offer money Transfers and/or;
• The agent does not utilize WUPOS; and/or
• WUCO cannot confirm by observation any transactions being conducted:
     - No customers sending money transfers while at location
     - System is unavailable</t>
  </si>
  <si>
    <t>Note: During Onsite Reviews, observe at least 1 FLA asking the question (displayed on the consumer fraud prompt) to a consumer and entering the consumer’s response in the WUPOS system.</t>
  </si>
  <si>
    <t>Are the Agent's AML/CFT policies and procedures complete, including WU minimum standards and sections addressing all topics required in their jurisdiction?</t>
  </si>
  <si>
    <t>This question should be answered "YES" if: 
• The Agent has adopted WU's Global Agent Compliance Manual. 
• WUCO has compared the Agent's P&amp;P document to WU's Global Agent Compliance Manual and determines that it includes, at a minimum, the main components of an AML/CFT Program as well as the following WU minimum standards: 
     o AML Compliance Organization 
     o KYC Program including collection of consumer identification as required
     o Transaction Monitoring Program
     o Regulatory reporting requirements
     o Escalation of compliance issues to the Agent CO as necessary
     o Management of consumers demonstrating suspicious behavior
     o Filing of SARs/STRs with authorities as appropriate
     o Compliance Training Program (including initial, ongoing and testing of knowledge)
     o Recordkeeping/Record Retention Policy that complies with WU record retention timelines and applicable legal requirements, including the safe and secure storage of transaction records and sensitive consumer data. 
     o Quality assurance and testing (Independent Reviews if applicable)
Note: 
• If the Agent's policies prohibit viewing of the AML/CFT Policies and Procedures document, the Agent Compliance Officer/Compliance Delegate must confirm the existence of each point listed above in writing.
• Not all sections need to be covered in the same document. The intention is that all sections are covered in the Agent's overall Policies and Procedures.</t>
  </si>
  <si>
    <t xml:space="preserve">This question should be answered "NO" if:
The Agent's Policies &amp; Procedures do not contain (or do not properly explain) one or more of the following items:
     • AML Compliance Organization 
     • KYC Program including collecting consumer identification as required
     • Transaction Monitoring Program
     • Regulatory reporting requirements
     • Escalation of compliance issues to Agent CO as necessary
     • Management of consumers demonstrating suspicious behavior 
     • Filing of SARs/STRs with authorities as appropriate
     • Compliance Training Program (including initial, ongoing, and testing of knowledge)
     • Recordkeeping/Record Retention Policy that complies with WU record retention timelines and applicable legal requirements, including the safe and secure storage of transaction records and sensitive consumer data. 
     • Quality assurance and testing (Independent Reviews if applicable)
</t>
  </si>
  <si>
    <t>This question should be answered "NA" if: 
The previous question was answered "NO".</t>
  </si>
  <si>
    <t>Can FLAs demonstrate that they have been properly trained on prohibition against sending or receiving telemarketing transactions?</t>
  </si>
  <si>
    <t xml:space="preserve">This question should be answered "YES" if:
WUCO interviews at least two FLAs and confirms that they understand that Western Union policy prohibits the use of Western Union products, services, and systems as a form of payment by sellers or telemarketers and that FLAs must assist in identifying, preventing and stopping the use of WU products and services for telemarketing activities by:
     - Asking all consumers whether the transaction is a payment for goods or services offered through telemarketing
     - Declining to process known or suspected telemarketing transactions, and
     - Reporting suspected or known sellers and telemarketers to Western Union so that they may be interdicted.
If answered "YES": Supporting attachment is NOT required. </t>
  </si>
  <si>
    <t>This question should be answered "NO" if:
In an interview, the FLAs do not know that telemarketing transactions are prohibited.
Supporting attachements If answered "NO": Written confirmation that all FLAs have been properly trained on the prohibition against sending or receiving telemarketing transactions.
Front Office Remediation Action: If possible, provide training and/or coaching on the topic to all untrained staff and select "Resolved Onsite".  If any employees (who require training) are unavailable at time of review, instruct the agent to complete the training for all employees and select "Response Required".
Follow Up/Back Office Remediation Action: If "Response Required" has been selected, obtain written confirmation that all FLAs have been properly trained on the prohibition against sending or receiving telemarketing transactions.</t>
  </si>
  <si>
    <t>1. What happens if you come across a customer who wants to send money to pay for a vacational promotion that he was offered over the phone?
2. Do you know about any restriction in terms of sending and/or receiving telemarketing transactions?
3. How often do you read the telemarketing prompt on the screen?
Important: Telemarketing transactions: Western Union policy prohibits the use of Western Union products, services, and systems as a form of payment by sellers or telemarketers. Associates FLAs must assist in identifying, preventing and stopping the use of WU products and services for telemarketing activities by: 
• asking all consumers whether the transaction is a payment for goods or services offered through telemarketing 
• declining to process known or suspected telemarketing transactions, and 
• reporting suspected or known sellers and telemarketers to Western Union so that they may be interdicted.</t>
  </si>
  <si>
    <t>1. ¿Que haría usted si un cliente le indica que el dinero que está enviando es para pagar un paquete vacacional o una promoción que se le ofreció vía telefónica?
2. ¿Conoce usted si existe alguna restricción/prohibición relacionada al envío en recepción de transaferencias ligadas a telemarketing? Cuenteme de que tratan estas restricciones.
3. ¿Con que frecuencia lee el mensaje relacionado a Telemercadeo a los clientes?
Important: Telemarketing transactions: Western Union policy prohibits the use of Western Union products, services, and systems as a form of payment by sellers or telemarketers. Associates FLAs must assist in identifying, preventing and stopping the use of WU products and services for telemarketing activities by: 
• asking all consumers whether the transaction is a payment for goods or services offered through telemarketing 
• declining to process known or suspected telemarketing transactions, and 
• reporting suspected or known sellers and telemarketers to Western Union so that they may be interdicted.</t>
  </si>
  <si>
    <t>1. Supposons qu'un client vient a votre Agence et il veux payer une promotion de vacances qui lui ont été offertes par téléphone. Est-ce qu'il peut la faire? Est-ce qu'il y a une restriction ?
2. Est-ce qu'ils existent des restrictions sur l'envoi ou la réception de transactions liées au télémarketing ? Savez-vous quelque chose à propos de cette restriction ?
3. À quelle fréquence lisez-vous l'invite de télémarketing à l'écran ?
Important: Telemarketing transactions: Western Union policy prohibits the use of Western Union products, services, and systems as a form of payment by sellers or telemarketers. Associates FLAs must assist in identifying, preventing and stopping the use of WU products and services for telemarketing activities by: 
• asking all consumers whether the transaction is a payment for goods or services offered through telemarketing 
• declining to process known or suspected telemarketing transactions, and 
• reporting suspected or known sellers and telemarketers to Western Union so that they may be interdicted.</t>
  </si>
  <si>
    <t>1. O que acontece se encontrar um cliente que queira enviar dinheiro para pagar uma promoção de férias que foi oferecida por telefone?
2. Tem conhecimento de alguma restrição em termos de envio e/ou recepção de transacções de telemarketing?
3. Com que frequência lê a mensagem de telemarketing na tela do computador?
Importante: Transacções de telemarketing: A política da Western Union proíbe a utilização de produtos, serviços e sistemas da Western Union como forma de pagamento por vendedores ou telemarketing. Os associados FLAs devem ajudar a identificar, prevenir e parar a utilização de produtos e serviços da WU para actividades de telemarketing: 
- perguntando a todos os consumidores se a transacção é um pagamento por bens ou serviços oferecidos através de telemarketing 
- recusando-se a processar transacções de telemarketing conhecidas ou suspeitas, e 
- denunciando vendedores suspeitos ou conhecidos e telemarketers à Western Union para que possam ser interditos".
Traduzido com a versão gratuita do tradutor - www.DeepL.com/Translator</t>
  </si>
  <si>
    <t>Does the Agent have any form of documented Anti-Fraud compliance policies and procedures?</t>
  </si>
  <si>
    <t xml:space="preserve">This question should be answered "YES" if:
• WUCO has obtained a copy of the Agent's Anti-Fraud Policies and Procedures. 
• WUCO has examined the Agent's documented Anti-Fraud Policies &amp; Procedures, either physically onsite or "Digitally/Electronically" during an offsite review.
• The Agent's policies prohibit viewing of the Anti-Fraud Policies and Procedures document (in any form), but the Agent’s CO/CD has provided: 
     o A supplemental document (i.e., letter of confirmation, Anti-Fraud Policy Statement) OR 
     o An electronic manual/document from the Agent's intranet or official website that contains language stating that the Agent has an Anti-Fraud Compliance Program.
Note: WUCO must attach proof that the Agent has a documented and approved Anti-Fraud Policies and Procedure. See Attachment Guidance for details. </t>
  </si>
  <si>
    <t xml:space="preserve">This question should be answered "NO" if:
• Agent did not provide WUCO with a copy of their P&amp;P document.
• Agent was unwilling or unable to show or confirm (in writing), the existence of Policies &amp; Procedures during the review.
• The WUCO was unable to obtain:
     o A supplemental document (i.e., letter of confirmation, Anti-Fraud Policy Statement) OR 
     o An electronic manual/document from the Agent's intranet or official website that contains language stating that the Agent has an Anti-Fraud Compliance Program.
</t>
  </si>
  <si>
    <t xml:space="preserve">This question should be answered "NA" if: 
The Agent offers only Money Order sales. </t>
  </si>
  <si>
    <t>DOCUMENTS REQUIRED Anti-Fraud P&amp;Ps: Answered by reviewing Agent's Policies and Procedures document received prior or during the call.</t>
  </si>
  <si>
    <t>Is the Agent able to demonstrate that they have active BSA E-filing credentials AND know how to use the E-Filing system?</t>
  </si>
  <si>
    <t>This question should be answered "YES" if: 
• The Agent CO (or their delegate, if applicable) is able to demonstrate to WUCO that they have active BSA E-filing credentials; AND
• The Agent can demonstrate how to use the E-Filing system.
**Note: The simplest way to confirm this is by having the Agent login to the E-Filing system during the review, and then asking them to show you how they would perform the necessary tasks (such as filing a SAR or submitting their MSB registration).
If answered "YES": Supporting attachments is NOT required.</t>
  </si>
  <si>
    <t xml:space="preserve">This question should be answered "NO" if:
The Agent is unable to satisfy all conditions set forth above (having active credentials; being able to access the system and demonstrate how to use it).
If answered “NO”: Attach a screenshot showing the Agent has logged in to the BSA E-Filing site. If the Agent is unable to provide a screenshot, the E-filing registration confirmation email will suffice, but a screenshot is preferred. </t>
  </si>
  <si>
    <t>1. Do you have access to the BSA E-Filling system?
IF YES, 
2. Could you please send registration proof? Like the confirmation email you got when you registered
IF NO, I will send the steps you need to follow for registration and send me proof. OR access the system and send a screen shot showing you are logged in.</t>
  </si>
  <si>
    <t>1. ¿Tiene usted acceso al sistema del BSA E-Filling?
Si la respuesta es SI: 
2 ¿Podría mandarme evidencia de su registro, por favor? Puede ser la confirmación que recibió por correo electrónico cuando se registró O un pantallazo mostrando que pudo inciar sesión de forma exitosa.
Si la respuesta es NO: Voy a enviarle los pasos requeridos para que pueda registrarse y mandarme la evidencia.</t>
  </si>
  <si>
    <t>1. Avez-vous accès au système BSA E-Filling?
SI OUI, 
2. Pourriez-vous envoyer une preuve d'inscription?
Comme l'e-mail de confirmation que vous avez reçu lors de votre inscription
SI NON, je vous enverrai les étapes à suivre pour vous inscrire et m'enverrai une preuve.
OU accédez au système et envoyez une capture d'écran montrant que vous êtes connectés.</t>
  </si>
  <si>
    <t>1. tem acesso ao sistema de E-Filling da BSA?
SE SIM, 
2. Pode, por favor, enviar prova de inscrição? Tal como o e-mail de confirmação que recebeu quando se registou
SE NÃO, Vou enviar os passos necessários para voce se registar, depois deve enviar uma prova do registro OU aceder ao sistema e enviar um screen shot mostrando que está logado".</t>
  </si>
  <si>
    <t>Are the Agent's Anti-Fraud policies and procedures complete, including WU minimum standards and sections addressing all topics required in their jurisdiction?</t>
  </si>
  <si>
    <t xml:space="preserve">This question should be answered "YES" if:
• The Agent has adopted WU's Global Agent Compliance Manual  (including Appendix B: The Model of Western Union Anti-Fraud Policy and Procedures). 
• WUCO has compared the Agent's P&amp;P document to WU's Global Agent Compliance Manual and determines that it includes, at a minimum, the main components of an Anti-Fraud Program as well as the following WU minimum standards: 
     o Anti-Fraud P&amp;Ps that meet WU minimum Anti-Fraud standards.
     o Inclusion of consumer fraud typologies
     o Actions to take when fraud is suspected
     o Detection and prevention of fraud induced money transfers.
     o Everyday fraud prevention practices
     o Escalation of suspected fraud and compliance issues to Agent CO as necessary
     o Management of consumers demonstrating suspicious behavior
     o Filing of SARs/STRs with authorities as appropriate 
Note: 
• If the Agent's policies prohibit viewing of the Anti-Fraud Policies and Procedures document, the Agent Compliance Officer/Compliance Delegate must confirm the existence of each point listed above in writing.
• Not all sections need to be covered in the same document. The intention is that all sections are covered in the Agent's overall Policies and Procedures.
</t>
  </si>
  <si>
    <t xml:space="preserve">This question should be answered "NO" if:
The Agent's Policies &amp; Procedures do not contain (or do not properly explain) one or more of the following items: 
     • The Anti-Fraud P&amp;Ps meeting WU minimum Anti-Fraud standards.
     • Consumer fraud typologies
     • Actions to take when fraud is suspected
     • The detection and prevention of fraud induced money transfers.
     • Everyday fraud prevention practices
     • Escalation of suspected fraud and compliance issues to Agent CO as necessary
     • Management of consumers demonstrating suspicious behavior
     • Filing of SARs/STRs with authorities as appropriate
 </t>
  </si>
  <si>
    <t xml:space="preserve">This question should be answered "NA" if: 
The previous question was answered "NO". 
</t>
  </si>
  <si>
    <t>GS9.RQ1</t>
  </si>
  <si>
    <t>Is the Agent's Compliance Officer either performing the monitoring, or at least reviewing it?</t>
  </si>
  <si>
    <t>This question should be answered "YES" if:
WUCO, having examined the Agent's monitoring documents, determines that the CO has adequate oversight of the monitoring process.</t>
  </si>
  <si>
    <t>This question should be answered "NO" if:
WUCO determines that the CO does NOT have adequate oversight of the monitoring process.
Front Office Remediation Action: Instruct the Agent CO to either conduct or at least oversee, the monitoring. Obtain their commitment to this via the Agent Action List. Select "Resolved Onsite" in the Finding Description section.</t>
  </si>
  <si>
    <t>This question should be answered "N/A" if:
The Agent is not performing monitoring.</t>
  </si>
  <si>
    <t>1. How do you conduct your monitoring process? 
2. How often? 
3. What information do you pay attention to? 
4. What patterns do you look for? 
5. What do you do if you come across any suspicious activity pattern?
(WUPOS Transaction Log: Go to other services and select transaction log, enter the date range for the period of time that you would like to review (weekly, biweekly or monthly), and you will have the report to review all transactions, you can sort names and amounts to look for possible suspicious patterns.)</t>
  </si>
  <si>
    <t>1. ¿Como realiza usted el monitoreo de las transferencias? 
2. ¿Con qué frecuencia lo hace? 
3. ¿A qué detalles le presta atención durante el proceso de monitoreo? 
4. ¿Qué patrones busca? 
5. ¿Que hace identificara algún patrón de actividad sospechosa?
(WUPOS Transaction Log: Go to other services and select transaction log, enter the date range for the period of time that you would like to review (weekly, biweekly or monthly), and you will have the report to review all transactions, you can sort names and amounts to look for possible suspicious patterns.)</t>
  </si>
  <si>
    <t>1. Comment menez-vous votre processus de suivi ?
2. À quelle fréquence ?
3. À quelles informations prêtez-vous attention ?
4. Quels modèles recherchez-vous ?
5. Que faites-vous si vous rencontrez un schéma d'activité suspect ?
(WUPOS Transaction Log: Go to other services and select transaction log, enter the date range for the period of time that you would like to review (weekly, biweekly or monthly), and you will have the report to review all transactions, you can sort names and amounts to look for possible suspicious patterns.)</t>
  </si>
  <si>
    <t>1. Como é que conduz o seu processo de monitorização? 
2. Com que frequência? 
3. A que informações presta atenção? 
4. Que padrões procura? 
5. O que faz se encontrar algum padrão de atividade suspeita?
(WUPOS Registo de Transacções: Vá a outros serviços e seleccione o log de transacções, introduza o intervalo de datas para o período de tempo que gostaria de analisar (semanal, quinzenal ou mensal), e terá o relatório para analisar todas as transacções, pode ordenar nomes e quantidades para procurar possíveis padrões suspeitos)".
Traduzido com a versão gratuita do tradutor - www.DeepL.com/Translator</t>
  </si>
  <si>
    <t>Are the AML/CFT and Anti-Fraud Policies and Procedures communicated to all employees involved with Western Union services at least annually?</t>
  </si>
  <si>
    <t>This question should be answered "YES" if:
• WUCO reviewed evidence that the Policies &amp; Procedures are communicated on at least an annual basis to all employees involved with WU products and services.  
This communication can include (but is not limited to):
         o Intranet communication
         o E-mail communication from headquarters to Store level (Manager, etc.)               
         o Newsletters/other store level communication 
         o Training sessions
• WUCO should also confirm that this communication process is properly documented in the Agent's Policies &amp; Procedures Manual.   
• If one of the sections bulleted in the guidance for question GS5.GQ2 or GS5.GQ4 does not exist this question should be answered "NO".</t>
  </si>
  <si>
    <t xml:space="preserve">This question should be answered "NO" if: 
One of the following conditions exists:
     • WUCO has confirmed that the Agent does not have an AML/CFT and Anti-Fraud Policies &amp; Procedures Manual in place.
     • The Agent has an AML/CFT and Anti-Fraud Policies &amp; Procedures Manual in place which is not recommunicated to employees on at least an annual basis using one of the above (or other) communication methods.
     • One of the sections bulleted in the guidance for question GS5.GQ2 or GS5.GQ4 does not exist. </t>
  </si>
  <si>
    <t xml:space="preserve">DOCUMENT REQUIRED AML/CFT &amp; Anti-Fraud P&amp;Ps and Training Evidence: If P&amp;Ps were not shown, finding applies. </t>
  </si>
  <si>
    <t>GS14.RQ1</t>
  </si>
  <si>
    <t>This question should be answered "YES" if:
WUCO confirms that the Agent is able to provide properly completed Money Order Logs for single sales of $3000 or more identified by WUCO during transaction analysis.
If answered "YES", "NO", or "N/A": Attach CMOR analysis (only required for cases with certain Referral Sources -see US guidance for specifics)</t>
  </si>
  <si>
    <t>This question should be answered "NO" if: 
WUCO confirms that the Agent is NOT able to provide properly completed Money Order Logs for single sales of $3000 or more identified by WUCO during transaction analysis.
If answered "YES", "NO", or "N/A": Attach CMOR analysis (only required for cases with certain Referral Sources -see US guidance for specifics)</t>
  </si>
  <si>
    <t>This question should be answered "N/A" if:
• The Agent does not offer Money Orders; or
• Transaction Analysis did not reveal any MO sales for which a Money Order Log should have been created.
If answered "YES", "NO", or "N/A": Attach CMOR analysis (only required for cases with certain Referral Sources -see US guidance for specifics)</t>
  </si>
  <si>
    <t>DOCUMENT REQUIRED MO Log, CMOR or No Results Template created by WUCO: Answer by reviewing the CMOR report prior o during the call. If the CMOR report shows sales for 3k or more and it is confirmed, ensure the respective MO Log is attached to the case. 
1. Do you sell Money Orders that add up to 3K or more to the same person?</t>
  </si>
  <si>
    <t>DOCUMENT REQUIRED MO Log, CMOR or No Results Template created by WUCO: Answer by reviewing the CMOR report prior o during the call. If the CMOR report shows sales for 3k or more and it is confirmed, ensure the respective MO Log is attached to the case. 
1. ¿Vende usted Money Orders de 3 mil dolares o más a la misma persona?</t>
  </si>
  <si>
    <t>DOCUMENT REQUIRED MO Log, CMOR or No Results Template created by WUCO: Answer by reviewing the CMOR report prior o during the call. If the CMOR report shows sales for 3k or more and it is confirmed, ensure the respective MO Log is attached to the case. 
1. Vendez-vous des mandats d'envoi qui ajoutent jusqu'à $ 3.000 ou plus à la même personne ?</t>
  </si>
  <si>
    <t>DOCUMENT REQUIRED MO Log, CMOR or No Results Template created by WUCO: Answer by reviewing the CMOR report prior o during the call. If the CMOR report shows sales for 3k or more and it is confirmed, ensure the respective MO Log is attached to the case. 
1. Vendem Money Orders que somam até 3K ou mais à mesma pessoa"?</t>
  </si>
  <si>
    <t xml:space="preserve">Do FLAs have access to the Agent's complete AML/CFT and Anti-Fraud Compliance policies and procedures? </t>
  </si>
  <si>
    <t xml:space="preserve">The question should be answered "YES" if:
• WUCO can confirm that the Agent's complete AML/CFT and Anti-Fraud Compliance Policies &amp; Procedures document is accessible by all FLAs. Access can include (but is not limited to):
     o Hard copy of P&amp;Ps
     o Electronic copy of P&amp;Ps
• If one of the sections bulleted in the guidance for question GS5.GQ2 or GS5.GQ4 does not exist this question should be answered "NO".
</t>
  </si>
  <si>
    <t>The question should be answered "NO" if: 
• FLAs do not have access to the Agent's complete AML/CFT and Anti-Fraud Compliance Policies and Procedures document.
• If one of the sections bulleted in the guidance for question GS5.GQ2 or GS5.GQ4 does not exist this question should be answered "NO".</t>
  </si>
  <si>
    <t>This question should be answered "NA" if:
Agent is located in Central America (including but not limited to: El Salvador, Costa Rica, Belize, Guatemala, Honduras, Nicaragua and Panama) and offers Vigo Payouts only.</t>
  </si>
  <si>
    <t>1) Do you have access to Anti-Money Laundering and Counter Terrorism Financing and Anti-Fraud P&amp;Ps?
2) If I were to ask you to access that information at this very moment, where would you go to find it? (Intranet communication, E-mail communication, Newsletters, store level communication, etc.</t>
  </si>
  <si>
    <t>1) Tiene usted acceso a los manuales (Programa) de Anti-Lavado de Dinero, Financiamiento del Terrorismo y Anti-Fraude?
2) En qué lugar se encuentra el manual o cómo son compartidos con los empleados? (Intranet, comunicados por correo electrónico, etc.)</t>
  </si>
  <si>
    <t>1) Avez-vous accès au Manuel des Politiques et Procédures de lutte contre le Blanchiment d'Argent et le Financement du Terrorisme?
2) Si je vous demande d'accéder à cette information en ce moment, où la trouvez-vous ? (Intranet, communication par courriel, bulletins, communication au niveau de l’agence, etc.)</t>
  </si>
  <si>
    <t>1) Você tem acesso aos manuais de compliance (Manual de Prevenção à Lavagem de Dinheiro e Financiamento do Terrorismo) ou alguma outra informação de compliance?
2) Onde são armazenados, Como são compartilhados com ós funcionários (Rede interna, comunicações pelo email, etc)?</t>
  </si>
  <si>
    <t>GS14.RQ2</t>
  </si>
  <si>
    <t>Does the agent maintain records of transactions subject to OFAC’s regulations, including transfers involving Cuba, and Syria, for five years?</t>
  </si>
  <si>
    <t>This question should be answered "YES" if:                                                                                                         
 WUCO confirms that the Agent's process for maintaining records of transactions subject to OFAC (by verbal confirmation or observing the appropriate documents) is adequate.
**Note: For all Cuba-related (as well as Syria) money transfer transactions, Agents MUST retain the Send Money form AND the Agent copy of the transaction receipt for a period of five years.  In instances where My WU formless transactions are utilized involving the referenced countries, Agents MUST retain the Agent copy of the transaction receipt for a period of five years.
If answered "YES" or "N/A": Supporting attachments is NOT required.</t>
  </si>
  <si>
    <t xml:space="preserve">This question should be answered "NO" if:
WUCO confirms that the Agent does NOT have an adequate process for maintaining records of transactions subject to OFAC.
If answered “NO”: Attach BOTH a record of training AND a description from the Agent CO of the measures they have taken to ensure compliance. The Agent CO can provide both pieces of information in a single communication (such as a letter or email), or they can provide two separate documents, whichever they prefer. </t>
  </si>
  <si>
    <t>This question should be answered "N/A" if: 
• The Agent does not offer Western Union Money Transfer (either directly or through another service, such as Vigo or OV).
• The Agent has never conducted any transactions involving any of the countries listed in this requirement.
If answered "YES" or "N/A": Supporting attachments is NOT required.</t>
  </si>
  <si>
    <t>1. What do you know about OFAC or the Designated National List? 
2. For how long do you keep records related to OFAC?
Note: OFAC is Office of Foreign Assets and Controls. OFAC publishes a list of individuals and companies. For such individuals and companies their assets are blocked and U.S. persons are generally prohibited from dealing with them.</t>
  </si>
  <si>
    <t>1. ¿Que conoce acerca de OFAC? 
2. ¿Por cuanto tiempo guarda registros relacionado con OFAC?
Note: OFAC is Office of Foreign Assets and Controls. OFAC publishes a list of individuals and companies. For such individuals and companies their assets are blocked and U.S. persons are generally prohibited from dealing with them.</t>
  </si>
  <si>
    <t>1. Que savez-vous de l'OFAC ? 
2. Combien de temps conservez-vous les enregistrements liés à l'OFAC ?
Note: OFAC is Office of Foreign Assets and Controls. OFAC publishes a list of individuals and companies. For such individuals and companies their assets are blocked and U.S. persons are generally prohibited from dealing with them.</t>
  </si>
  <si>
    <t>1. O que sabe sobre a OFAC ou a Lista Nacional Designada? 
2. Durante quanto tempo mantém registos relacionados com a OFAC?
Nota: OFAC é o Gabinete de Bens e Controlos Estrangeiros. O OFAC publica uma lista de indivíduos e empresas. Para tais indivíduos e empresas os seus bens são bloqueados e as pessoas dos EUA são geralmente proibidas de negociar com eles.</t>
  </si>
  <si>
    <t>GS9.GQ4</t>
  </si>
  <si>
    <t xml:space="preserve">Is the Agent performing transaction monitoring on transactions associated with the Agent location for all WU products on a regular basis? </t>
  </si>
  <si>
    <t>This question should be answered "YES" if:
 1. The monitoring program covers all WU products that the Agent provides.
  2. The frequency of monitoring (weekly, monthly) is appropriate. (Daily monitoring is generally not acceptable, as many patterns of questionable activity develop over the course of multiple days and may not be identified via a daily process.)</t>
  </si>
  <si>
    <t xml:space="preserve">This question should be answered "NO" if:
WUCO confirms one or more deficiencies are identified. 
</t>
  </si>
  <si>
    <t>DOCUMENT REQUIRED (Monitoring Check List): Answer by reviewing Agent's Monitoring document prior or during the call.
1) What WU products are included in your monitoring process?
2) How often do you monitor the transactions conducted at the location?</t>
  </si>
  <si>
    <t>DOCUMENT REQUIRED MCL: Answer by reviewing Agent's Monitoring  document prior or during the call. 
1) ¿Cuáles productos de Western Union estan incluidos en su proceso de monitoreo?
2) ¿Con que frecuencia monitorea usted las transferencias de la locación?</t>
  </si>
  <si>
    <t>DOCUMENT REQUIRED MCL: Answer by reviewing Agent's Monitoring  document prior or during the call. 
1) Quels produits WU sont inclus dans son processus de surveillance?
2) Quelle est la fréquence de surveillance des transactions dans votre emplacement?</t>
  </si>
  <si>
    <t>DOCUMENT REQUIRED MCL: Answer by reviewing Agent's Monitoring  document prior or during the call. 
1) Quais produtos da Western Union estão incluídos em seu processo de monitoramento?
2) Com que frequência você monitora as transferências da Agencia?</t>
  </si>
  <si>
    <t>GS14.RQ5</t>
  </si>
  <si>
    <t>Is the Agent located in Puerto Rico?</t>
  </si>
  <si>
    <t>GS9.GQ5</t>
  </si>
  <si>
    <t xml:space="preserve">Is the transaction monitoring being conducted effectively? </t>
  </si>
  <si>
    <t>This question should be answered "YES" if:
• WUCO has obtained evidence that a transaction monitoring process has been completed, including a list of criteria/alerts for the monitoring process, confirming that the Agent's monitoring program is both effective and occurring on a regular basis.
• WUCO must consider the following questions (all of which must be answered YES):
   1. Does the monitoring program cover all WU products that the Agent provides?
   2. Is the frequency of monitoring (weekly, monthly) appropriate? (Daily monitoring is generally not acceptable, as many patterns of questionable activity develop over the course of multiple days and may not be identified via a daily process.)
   3.  Is the Agent's method of monitoring adequate to detect all activity listed including red flags?
     o Data integrity issues 
     o Significant trends in the transaction patterns experienced at the Agent location; 
     o Significant differences in the transaction patterns experienced at an Agent location relative to the patterns experienced at other Agent locations in the same country;
     o Unusual demographic activity; 
     o Irregular concentrations of send and/or pay activity between the Agent and one or more other Western Union Agent locations;
     o Irregular concentrations of send and/or pay activity between the Agent and one or more geographical areas that have been identified as high risk for fraud;
     o Unusual transaction patterns by senders or recipients; 
     o Flipping patterns; 
     o Suspicious structuring or splitting of money transfers; or 
     o Suspicious surfing patterns; human smuggling patterns
   4. Is the Agent's method of monitoring adequate to detect situations when a recordkeeping requirement (e.g. CTR or Money Order Log) has been triggered?</t>
  </si>
  <si>
    <t>DOCUMENT REQUIRED MCL: Answer by reviewing Agent's Monitoring  document prior or during the call. 
1) Walk me through your transaction monitoring process.</t>
  </si>
  <si>
    <t>DOCUMENT REQUIRED MCL: Answer by reviewing Agent's Monitoring document prior or during the call. 
1) Describa el proceso que usted utiliza para monitorear las transferencias.</t>
  </si>
  <si>
    <t xml:space="preserve">Document Requis (liste de contrôle de surveillance).
Réponse en examinant le document Liste de contrôle de surveillance de l'agent avant ou pendant l'appel.
1) Décrivez le processus que vous utilisez pour surveiller les transferts
</t>
  </si>
  <si>
    <t>DOCUMENT REQUIRED MCL: Answer by reviewing Agent's Monitoring document prior or during the call. 
1)  Descreva o processo que você utiliza para monitorar as transferências.</t>
  </si>
  <si>
    <t>GS14.RQ6</t>
  </si>
  <si>
    <t>Is the Agent able to confirm that OFAC listing checks and collection and review of Criminal Record Certificates occur at the time of hire and every 3 years after, as applicable, for all employees working directly with Western Union products and services?</t>
  </si>
  <si>
    <t>This question should be answered "YES" if: 
• WUCO confirms that OFAC listing checks and collection and review of Criminal Record Certificates for each employee occur at the time of hire and every 3 years thereafter.
•WUCO confirms that Agent tracks completion on Employee Registry.</t>
  </si>
  <si>
    <t>This question should be answered "NO" if: 
• WUCO is unable to confirm that OFAC listing checks and collection and review of Criminal Record Certificates for each employee occur at the time of hire and every 3 years thereafter.
•WUCO is unable to confirm that Agent tracks completion on Employee Registry.</t>
  </si>
  <si>
    <t>GS9.GQ6</t>
  </si>
  <si>
    <t>Are the transaction monitoring results sufficiently documented either electronically, manually, or both, to create a comprehensive audit trail of the investigation?</t>
  </si>
  <si>
    <t xml:space="preserve">This question should be answered "YES" if:
WUCO reviews the Agent's monitoring documentation (e.g. Monitoring Logs) from the most recent full 30 days of available monitoring and confirms that it is complete and sufficiently documents either electronically, manually, or both, to create a comprehensive audit trail of the investigation.
</t>
  </si>
  <si>
    <t xml:space="preserve">This question should be answered "NO" if:
• WUCO, after reviewing the Agent's monitoring documentation (e.g. Monitoring Logs), determines that it is not complete. OR
• The Agent could not provide monitoring documentation. 
</t>
  </si>
  <si>
    <t xml:space="preserve"> DOCUMENT REQUIRED Monitoring Documentation: Answer by reviewing Agent's Monitoring document from the most recent full 30 days of available monitoring and confirms that it is complete and sufficiently documents either electronically, manually, or both, to create a comprehensive audit trail of the investigation prior or during the call. </t>
  </si>
  <si>
    <t>GS14.RQ7</t>
  </si>
  <si>
    <t>Does the Agent location have security cameras/and or alarm system?</t>
  </si>
  <si>
    <t>GS11.GQ1</t>
  </si>
  <si>
    <t xml:space="preserve">During prework, does a review of transactions show no or minimal Data integrity issues including invalid, illegible, incomplete, missing, or conflicting biographical data for consumers or recipients of money transfers (Specifically: Names, Addresses, Telephone Numbers and Identifications)? </t>
  </si>
  <si>
    <t>This question should be answered "YES" if:
WUCO, upon review of the primary KYC fields that are required in this Agent’s country, is able to confirm that there are minimal or NO Data integrity issues including "blanks" or data inconsistencies.  
Note: Examples of data inconsistency include, but are not limited to, alpha characters in a numeric field or numeric characters in an alpha field; clear violations/evasions of data integrity rules deployed in this country. The data sample size of past transaction data is defined by regional guidance.</t>
  </si>
  <si>
    <t>This question should be answered "NO" if:
WUCO, upon review of  the primary KYC fields that are required in this Agent’s country, is able to confirm that there are more than minimal data quality issues including: typos, extra or missing digits in a telephone number, one incorrect digit in the DOB (non willful errors).
Note: If in doubt, please check with your manager. WUCO can check if the Country has an Enhanced Data Integrity (EDI) Program in place, if not advise Compliance Country Director to prioritize it.</t>
  </si>
  <si>
    <t xml:space="preserve">This question should be answered "NA" if:    
• Data Integrity Analysis does not apply to the Agent, based on the type of product offered.  
• Agent did not process any transactions during the review period. 
Note: If "" is selected, a comment in the following Free Text question must be added explaining why it does not apply. 
</t>
  </si>
  <si>
    <t>As part of the review, we run a report of the transactions completed in the last couple of months at the location. This to determine how customers' details are being entered into the system.</t>
  </si>
  <si>
    <t>Como parte de este proceso, hemos revisado un reporte de transacciones realizadas en la localidad de los últimos meses, con la intensión de verificar como se está ingresando la información de los clientes en el sistema.</t>
  </si>
  <si>
    <t>DISCUSS data integrity issues here:
J'ai obtenu un rapport du système pour examiner la façon dont vous saisissez l'information des clients dans la plateforme de Western Union.
Afin de vérifier l'intégrité des données des clients que vous entrez dans le système, nous réalisons une analyse des transactions effectuées pendant une certaine période de temps. Comme Agent de WU, c'est important non seulement de recuellir l'information exacte de vos clients, mais aussi de l'introduir correctement dans le système, en evitant des fautes ou des données erronées, puis elles peuvent se traduire dans des inconsistances dans nos rapports ou le client pourrait avoir des problèmes en cas d'un remboursement.</t>
  </si>
  <si>
    <t>Como parte deste processo, revisamos um relatório de transações na localidade nos últimos meses, com a intenção de verificar como as informações do cliente estão sendo inseridas no sistema.</t>
  </si>
  <si>
    <t>GS14.RQ8</t>
  </si>
  <si>
    <t>Is the Agent able to confirm that the camera/and or alarm system is verified every 48 hours to ensure that they remain in good operation with documented tracking on the registry?</t>
  </si>
  <si>
    <t>This question should be answered "YES" if: 
• WUCO confirms camera and/or alarm system is verified every 48 hours.
• WUCO confirms that they track verification on registry.</t>
  </si>
  <si>
    <t xml:space="preserve">This question should be answered "NO" if: 
• WUCO was unable to confirm that the camera and/or alarm system is verified every 48 hours.
• WUCO was unable to verify the Agent tracking registry. </t>
  </si>
  <si>
    <t>GS11.GQ3</t>
  </si>
  <si>
    <t>This question should be answered "YES" if:  
WUCO confirms that the FLA is knowledgeable about acceptable forms of identification for a Western Union transaction.
Note: 
• WUCO may consult "Country Information" to review acceptable IDs; or 
• Log into WU Agent Academy (WUAA) for required country and review the Acceptable forms of ID indicated in the Compliance Country Module. Not all Agents are in WUAA and not all countries have a Compliance Country Module</t>
  </si>
  <si>
    <t xml:space="preserve">This question should be answered "NO" if:
WUCO cannot confirm that the FLA is knowledgeable about acceptable forms of identification for a Western Union transaction.
Note: 
• WUCO may consult "Country Information" to review acceptable IDs; or 
• Log into WU Agent Academy (WUAA) for required country and review the Acceptable forms of ID indicated in the Compliance. Country Module. Not all Agents are in WUAA and not all countries have a Compliance Country Module.
</t>
  </si>
  <si>
    <t>1) What IDs do you accept if I am sending a transaction for $$ to XXX?
2) What type of ID would you accept from a local customer sending 1500USD?
3) What type of ID would you accept from a foreign customer sending 1500USD?
Note: IDs are required after $1,000 in most jurisdictions, unless Agent has their own more stringent measures.
(Driver’s License - Passport - Temporary Business Visitor - Temporary Tourist Visitor - Military ID - State Issued ID card - Alien ID card - Mexican Consular ID Card)</t>
  </si>
  <si>
    <t>1) ¿Que tipo de identificación aceptaría si un cliente envía $$ to XXX?
2) ¿Que tipo de identificación aceptaría de un cliente local (ciudadano) que envía 1500USD?
3) ¿Que tipo de identificación aceptaría de un cliente local (extranjero) que envía 1500USD?
Note: IDs are required after $1,000 in most jurisdictions, unless Agent has their own more stringent measures.
(Driver’s License - Passport - Temporary Business Visitor - Temporary Tourist Visitor - Military ID - State Issued ID card - Alien ID card - Mexican Consular ID Card)</t>
  </si>
  <si>
    <t>1) Quels sont les types de pièces d’identité que vous acceptez comme valides?
2) Quel type de pièce d'identité je dois présenter si je suis un citoyen et je veux envoyer de l'argent? 
3) Et si vous êtes étranger?
Note: IDs are required after $1,000 in most jurisdictions, unless Agent has their own more stringent measures.
(Driver’s License - Passport - Temporary Business Visitor - Temporary Tourist Visitor - Military ID - State Issued ID card - Alien ID card - Mexican Consular ID Card)</t>
  </si>
  <si>
    <t>1) Quais IDs você aceita se eu estiver enviando uma transação de $$ para XXX?
2) Que tipo de ID você aceitaria de um cliente local enviando 1500USD?
3) Que tipo de identificação você aceitaria de um cliente estrangeiro enviando 1500USD?
Observação: os IDs são necessários após US$ 1.000 na maioria das jurisdições, a menos que o Agente tenha suas próprias medidas mais rigorosas.
(Carteira de motorista - Passaporte - Visitante de negócios temporário - Visitante de turista temporário - ID Militar - Carteira de identidade emitida pelo Estado - Carteira de identidade de estrangeiro - Carteira de identidade consular mexicana)"</t>
  </si>
  <si>
    <t>GS11.GQ4</t>
  </si>
  <si>
    <t>Do FLAs check to ensure that consumer IDs meet minimum requirements, are only using valid ID cards, which at a minimum must include that the ID is not expired, it is government issued (or as applicable per regional requirements), and contains a photo of the consumer?</t>
  </si>
  <si>
    <t xml:space="preserve">This question should be answered "YES" if:
WUCO confirms that FLAs correctly name the minimum requirements for accepting consumer identification documents, listed below: 
     • Not be altered.
     • Be issued by the government (or as applicable per regional requirements).
     • Have a picture of the consumer that looks like the consumer.
     • Be valid and not expired.
     • Contain the consumer’s first and last names.
Note: The identification should contain the consumer’s address but is not required.
</t>
  </si>
  <si>
    <t xml:space="preserve">This question should be answered "NO" if:
WUCO cannot confirm that FLAs have correctly name the minimum requirements for accepting consumer identification documents, listed below: 
• Not be altered.
• Be issued by the government (or as applicable per regional requirements).
• Have a picture of the consumer that looks like the consumer.
• Be valid and not expired.
• Contain the consumer’s first and last names.
Note: The identification should contain the consumer’s address but is not required.
</t>
  </si>
  <si>
    <t>1) What information do you check on the ID once you have it in your hands?
(photo that matches the customer, expiration date, government issued ID, not altered)</t>
  </si>
  <si>
    <t>1) ¿Que información verifica en la identificación del cliente?
(photo that matches the customer, expiration date, government issued ID, not altered)</t>
  </si>
  <si>
    <t>1) Quelle information verifiez-vous dans l'identification de votre client une fois que vous avez le document en votre possession?
(photo that matches the customer, expiration date, government issued ID, not altered)</t>
  </si>
  <si>
    <t>1) Quais informações você verifica no ID?
(foto que corresponde ao cliente, data de validade, identificação emitida pelo governo, não alterada)"</t>
  </si>
  <si>
    <t>GS11.GQ5</t>
  </si>
  <si>
    <t xml:space="preserve">This question should be answered "YES" if:
• The FLAs confirm they understand that third party transactions (send or receive) are not permitted in their jurisdiction and cannot be conducted; OR
• In the Agent's jurisdiction, third party sends are permitted, and the FLA confirms that third party receive transactions are prohibited and cannot be conducted. 
Note: 
• WUCO may log into WU Agent Academy (WUAA) for required country and review 3rd party requirements in the Compliance Country Module. Not all Agents are in WUAA and not all countries have a Compliance Country Module.
</t>
  </si>
  <si>
    <t>This question should be answered "NO" if:
• The FLAs do not understand that third party transactions (send or receive) are not permitted in their jurisdiction and cannot be conducted; OR
• In the Agent's jurisdiction, third party sends are permitted, but the FLA cannot confirm that third party receive transactions are prohibited and cannot be conducted. 
Note: 
WUCO may log into WU Agent Academy (WUAA) for required country and review 3rd party requirements in the Compliance Country Module. Not all Agents are in WUAA and not all countries have a Compliance Country Module.</t>
  </si>
  <si>
    <t>What would you do if a client shows up at the store wanting to send/receive a transfer on behalf of someone else?</t>
  </si>
  <si>
    <t>GS11.GQ6</t>
  </si>
  <si>
    <t xml:space="preserve">1. This question should be answered "NO" (with this finding) if:
When interviewed, the FLAs are not aware that they may only conduct transactions when: 
     •  A consumer is physically present, AND if applicable, 
     •  A consumer sending on behalf of other individuals provides third party information in accordance with local regulatory requirements.
2. This question should be answered "NO" (with this finding) if:
When interviewed, the FLAs indicate that they are aware of the requirement but conduct transactions when no consumers are physically present.  </t>
  </si>
  <si>
    <t>Vamos a suponer que soy un cliente regular y bien conocido por usted. Por alguna razón no puedo ir físicamente a la agencia a hacer el envío, así que lo llamo y le pido que proceda con la transacción. Yo le pagaré y le daré la documentación en cuanto yo llegue a la agencia. ¿Cómo procedería usted ante esta solicitud?</t>
  </si>
  <si>
    <t>Disons que je suis un client habituel et je vous appelle pour effectuer une transaction à mon nom, que je vais vous payer plus tard. Que feriez vous dans un cas comme celui-ci?</t>
  </si>
  <si>
    <t>Digamos que eu sou um cliente regular que não pode ir à loja agora e eu ligue para você para pedir que processe uma transação para mim, mas eu pagaria por isso mais tarde. O que você faria em um caso como esse?</t>
  </si>
  <si>
    <t>GS11.GQ7</t>
  </si>
  <si>
    <t xml:space="preserve">Do FLAs ensure that consumers complete and/or sign all transaction forms/receipts, as applicable? </t>
  </si>
  <si>
    <t xml:space="preserve">This question should be answered "YES" if:
WUCO examines the Agent copies of at least three of the most recent transaction forms/receipts and confirms that they are complete and signed.  
</t>
  </si>
  <si>
    <t xml:space="preserve">This question should be answered "NO" if: 
1. WUCO examines the Agent copies of at least three of the most recent transaction forms/receipts and verifies that they are incomplete and unsigned. 
2. The Agent is unable to provide forms/receipts. OR
3. WUCO is able to determine that the FLAs have deliberately processed transactions without requiring completed forms/receipts to avoid compliance controls. 
</t>
  </si>
  <si>
    <t xml:space="preserve">This question should be answered "NA" if:  
• Transaction forms/transaction receipts or the signature records are not available for review based on contractual or other legal agreement with the Agent.
• The Agent offers only Money Order sales. 
Note: If you are not sure whether transaction forms/receipts are available at the Agent location, please consult with your management to decide on the best path forward.  </t>
  </si>
  <si>
    <t>DOCUMENT REQUIRED Receipts: Answer this question by examining of at least three of the most recent transaction forms/receipts and confirms that they are complete and signed.
1. Who signs the receipts at the end of a transaction?
(it has to be the consumer and the FLA)</t>
  </si>
  <si>
    <t>DOCUMENT REQUIRED Receipts: Answer this question by examining of at least three of the most recent transaction forms/receipts and confirms that they are complete and signed.
1. ¿Quien firma el recibo al final de una transferencia?
(it has to be the consumer and the FLA)</t>
  </si>
  <si>
    <t>DOCUMENT REQUIRED Receipts: Answer this question by examining of at least three of the most recent transaction forms/receipts and confirms that they are complete and signed.
1. Qui signe les reçus à la fin d'une transaction?
(ce doit être le consommateur et L'FLA)</t>
  </si>
  <si>
    <t>DOCUMENT REQUIRED Receipts: Answer this question by examining of at least three of the most recent transaction forms/receipts and confirms that they are complete and signed.
1 - Quem assina o recibo no final de uma transferência?
(tem que ser o consumidor e o Agente)</t>
  </si>
  <si>
    <t>GS11.RQ1</t>
  </si>
  <si>
    <t>This question should be answered "YES" if: 
WUCO confirms that the Agent can adequately demonstrate that consumers who purchase MOs are being scanned against required sanctions lists.
NOTE: WUCO is not required to complete an audit of the screening process.</t>
  </si>
  <si>
    <t>This question should be answered "NO" if:
WUCO confirms that a screening program to ensure that consumers who purchase MOs are being scanned against required sanctions lists has NOT been implemented.
Front Office Remediation Action:  Immediate escalation to WU Compliance Manager for suspension approval of Money Orders</t>
  </si>
  <si>
    <t>This question should be answered "N/A" if:
The Agent does not sell MOs.</t>
  </si>
  <si>
    <t>When processing a Money Order sale, once you have the customer's ID, what do you do with it? 
(Ensure the agent is collecting and scanning names against the sanctions lists).</t>
  </si>
  <si>
    <t>Suggested Script Spanish: Cuando procesa ventas de Money Order, una vez que tiene la identificación del cliente, ¿que hace usted con el documento?
(Ensure the agent is collecting and scanning names against the sanctions lists).</t>
  </si>
  <si>
    <t>Lors du traitement d'une vente par mandat d'envoi, une fois que vous avez l'identifiant du client, qu'en faites-vous ?
(Ensure the agent is collecting and scanning names against the sanctions lists).</t>
  </si>
  <si>
    <t>"Ao processar uma venda de Money Order, uma vez que tenha a identificação do cliente, o que faz com ela?
(Certifique-se de que o agente coleta e digitaliza os nomes contra as listas de sanções)".</t>
  </si>
  <si>
    <t>GS11.GQ8</t>
  </si>
  <si>
    <t>FLA INTERVIEW: Do FLAs sufficiently understand the Enhanced Customer Due Diligence (ECDD) and Large Principal Money Transfer (LPMT) procedures, including:
• All applicable ECDD or LPMT procedures
• Established transaction thresholds that trigger LPMT;
• Documentation requirements, if any?</t>
  </si>
  <si>
    <t xml:space="preserve">This question should be answered "YES" if:
WUCO confirms that the FLA is able to describe the ECDD and/or LPMT requirements. </t>
  </si>
  <si>
    <t>This question should be answered "NO" if:
1. WUCO confirms that the FLA is unable to describe the stated requirements. 
2. WUCO confirms that the FLA is able to describe the requirements but admits to not following the requirements.</t>
  </si>
  <si>
    <t xml:space="preserve">This question should be answered "NA" if:  
• The Agent offers only Money Order sales. </t>
  </si>
  <si>
    <t>The agent has Own Limit
1. What is the transfer maximum amount allowed at your location?
2. What do you do if a customer wants to transfer money above the limit?
3. What is the process a customer will have to go through if they want to send the maximum amount?
The agent does not have a limit:
1. What do you know about CTRs?
2. At what amount would a CTR apply?
3. What is the process to file an LPMT?
Money transfers that exceed 9.999.99USD are high capital transfers. This means that if a customer wants to transfer equal to or greater than: $10,000, they must complete the LPMT form and provide a justification of the reason for their transaction. This documentation must be presented to WU for review and depending on the purpose and evidence provided, you will be notified within 24 hours of the transaction confirming approval or rejection of the transfer. An interview is normally required.</t>
  </si>
  <si>
    <t>The agent has Own Limit:
1. ¿Cuál es el monto máximo que se puede enviar desde su locación?
2. ¿Qué hace usted si un cliente quiere enviar una transferencia por encima del límite establecido?
3. ¿Cuál es el procedimiento al que debe someterse el cliente si quiere enviar el monto máximo permitido en su tienda?
The agent does not have a limit:
1. ¿Qué sabe acerca de los CTRs?
2. ¿A partir de qué monto aplica un procedimiento de CTR?
3. ¿Cuál es el procedimiento de LPMT?
Money transfers that exceed 9.999.99USD are high capital transfers. This means that if a customer wants to transfer equal to or greater than: $10,000, they must complete the LPMT form and provide a justification of the reason for their transaction. This documentation must be presented to WU for review and depending on the purpose and evidence provided, you will be notified within 24 hours of the transaction confirming approval or rejection of the transfer. An interview is normally required.</t>
  </si>
  <si>
    <t>L'Agent possède sa propre limite
1. Quel est le montant maximal qu'on peut envoyer à partir de votre Agence?
2. Que faites-vous dans le cas d'un client qui veut envoyer un transfert qui surpasse la limite permise?
3. Quelle est la procédure que doit suivre le client s'il veut envoyer le montant maximal permis dans votre agence?
L'Agent n'a pas de limite
1. Que savez-vous à propos de CTRs?
2. A partir de quel montant s'applique une procédure CTR?
3. Quelle est la procédure de LPMT?
Les virements d'argent qui surpassent $US 9,999,99 sont des transferts de montant élevé. Cela veut dire que si un client veut effectuer un virement égale ou supérieur de $10.000, il doit compléter le formulaire LPMT et founir une justification sur la raison de la transaction. Cette documentation doit être présentée à WU pour examen et en fonction de l'objectif et des preuves fournies, vous serez informé dans les 24 heures suivant la transaction confirmant l'approbation ou le rejet du transfert. Un entretien est normalement requis.</t>
  </si>
  <si>
    <t>O agente tem limite
1. Qual é o valor máximo de transferência permitido no seu local?
2. O que você faz se um cliente quiser transferir dinheiro acima do limite?
3. Qual é o processo que um cliente terá que passar se quiser enviar o valor máximo?
O agente não tem limite:
1. O que você sabe sobre CTRs?
2. Quado aplica um CTR?
3. Qual é o processo para um LPMT ?
As transferências de dinheiro que excedem 9.999.99USD são altas transferências de capital. Isso significa que, se um cliente deseja transferir um valor igual ou superior a: $ 10.000, ele deve preencher o formulário LPMT e fornecer uma justificação do motivo de sua transação. Essa documentação deve ser apresentada à WU para análise e, dependendo da finalidade e das evidências fornecidas, você será notificado em 24 horas após a transação confirmando a aprovação ou rejeição da transferência. Normalmente uma entrevista e necessaria."</t>
  </si>
  <si>
    <t>This question should be answered "YES" if: 
WUCO inspects the Money order logs and KYC information and confirms their completeness and accuracy.</t>
  </si>
  <si>
    <t>This question should be answered "NO" if:
WUCO confirms that the Agent does NOT properly maintain MO records when a sale of $3000 or more is made to the same individual in a single day.
Front Office Remediation Action: Provide training on when/how to document money order sales of $3000 or more made to the same individual in a single day during the review and select "Resolved Onsite" in the Finding Description section.</t>
  </si>
  <si>
    <t>This question should be answered "N/A" if:
The Agent is not a Money Order provider.</t>
  </si>
  <si>
    <t>DOCUMENT REQUIRED MO Log, CMOR or No Results Template created by WUCO: Answer by reviewing the CMOR report prior o during the call. If the CMOR report shows sales for 3k or more and it is confirmed, ensure the respective MO Log is attached to the case. 
1. Vendez-vous des mandats d'envoi qui ajoutent jusqu'à $ 3.000 ou plus à la même personne?</t>
  </si>
  <si>
    <t>DOCUMENT REQUIRED MO Log, CMOR or No Results Template created by WUCO: Answer by reviewing the CMOR report prior o during the call. If the CMOR report shows sales for 3k or more and it is confirmed, ensure the respective MO Log is attached to the case. 
Você vende Money Orders de $ 3.000 ou mais para a mesma pessoa?</t>
  </si>
  <si>
    <t>GS10.GQ1</t>
  </si>
  <si>
    <t>Does the Agent have a quality assurance program that performs regular and independent testing of the AML/CFT and fraud controls?</t>
  </si>
  <si>
    <t>This question should be answered "YES" if: 
• WUCO can verify that the Agent maintains independent testing/Independent Review (of the AML/CFT and fraud controls) that is performed on a regular periodic basis.
• In WUCO's judgment, the scope and coverage of the Agent's independent testing /Independent Review are adequate to address key AML/CFT and Fraud risks in the Agent compliance program. (Including, although not limited to, monitoring, reporting etc.).</t>
  </si>
  <si>
    <t>This question should be answered "NO" if:
• WUCO cannot verify that the Agent maintains independent testing/Independent Review (of the AML/CFT and fraud controls) that is performed on a regular periodic basis.
• In WUCO's judgment, the scope and coverage of the Agent's independent testing /Independent Review are not adequate to address key AML/CFT and Fraud risks in the Agent compliance program. (Including, although not limited to, monitoring, reporting etc.)
• The Agent performs only a financial audit as evidence of compliance, (unless it includes an AML Compliance controls report) since a financial audit does not satisfy the independent review requirement without a report on AML Compliance controls.</t>
  </si>
  <si>
    <t>This question should be answered "N/A"if: 
The Agent is categorized as an Independent WUPSIL Agent and solely relies on WU’s AML/CFT Program, because they are not required by law to have an AML/CFT Program.</t>
  </si>
  <si>
    <t>Document Required AML/CFT and Anti-Fraud: (Independent Review Frequency): Answer by reviewing Agent's P&amp;Ps and confirm the IR frequency (Yearly, every 6 months, etc).</t>
  </si>
  <si>
    <t>For locations in Quebec only. Have the following additional changes been advised to WU by the CO: 
• Changes in the home address of officers, directors and Compliance Officers (as provided on the SM-3.A/SM-3.A-V form)
• Changes in Identification information (as provided on the SM-3.A/SM-3.A-V form)
• Changes to the business name (as provided on the SM-3.A/SM-3.A-V form)
• New/additional Officers or Directors who have oversight of the Western Union contract in Quebec.</t>
  </si>
  <si>
    <t>​​​​​​​This question should be answered "YES" if:  
WUCO confirms that the Agent has provided material changes to their business as outlined in the AML Manual to Western Union within 15 days.</t>
  </si>
  <si>
    <t>This question should be answered "NO" if:
WUCO confirms that the Agent has not provided material changes to their business as outlined in the AML Manual to Western Union within 15 days. 
Front Office Remediation Action: ​​​​​​​Collect the necessary documentation required for update(s) during the review and select "Resolved Onsite" in the Finding Description section.</t>
  </si>
  <si>
    <t xml:space="preserve">This question should be answered "N/A" if:
• The Agent is not located in Quebec.
• No changes have been performed. </t>
  </si>
  <si>
    <t>1. Have you had any changes to the following information about your business?
• Change in personal address of Officers, Directors and Compliance Officers (as indicated in Appendix D3)
• Change in identification information (as indicated in Appendix D1 or D3)
• Business name change (as indicated in Appendix D2)
• Additions, new officers or new directors that supervise Western Union contracts in Quebec.
2. Were these changes announced to WU by the Compliance Officer?</t>
  </si>
  <si>
    <t>1. ¿Ha tenido algún cambio en la siguiente información sobre su empresa?
• Cambio de dirección personal de los gerentes, Directores y Oficiales de Cumplimiento (como se indica en el Apéndice D3)
• Cambio en la información de identificación (como se indica en los Apéndice D1 o D3)
• Cambio de nombre comercial (como se indica en el Apéndice D2)
• Adiciones, nuevos funcionarios o nuevos directores que supervisan los contratos de Western Union en Quebec.
2. ¿Estos cambios fueron anunciados a WU por el Oficial de Cumplimiento?</t>
  </si>
  <si>
    <t>1. Avez-vous eu des changements dans les informations suivantes concernant votre entreprise ?
Changement d'adresse personnelle des Chefs d'Agence, Administrateurs et Responsables de la Conformité (tel qu'indiqué à l'Annexe D3)
• Modification des informations d'identification (comme indiqué dans les annexes D1 ou D3)
• Changement du nom de l'entreprise (tel qu'indiqué à l'annexe D2)
• Ajouts, nouveaux dirigeants ou nouveaux administrateurs qui supervisent les contrats de Western Union au Québec.
2. Ces changements ont-ils été annoncés à WU par le Responsable Conformité?</t>
  </si>
  <si>
    <t>"1. teve alguma alteração nas seguintes informações sobre o seu negócio?
- Alteração do endereço pessoal dos Oficiais, Directores e Compliance Officers (conforme indicado no Apêndice D3)
- Alteração da informação de identificação (como indicado no Apêndice D1 ou D3)
- Alteração do nome da empresa (como indicado no Apêndice D2)
- Adições, novos oficiais ou novos directores que supervisionam os contratos da Western Union no Québec.
2. Estas alterações foram anunciadas à WU pelo Compliance Officer?".
Traduzido com a versão gratuita do tradutor - www.DeepL.com/Translator</t>
  </si>
  <si>
    <t>GS10.GQ2</t>
  </si>
  <si>
    <t>Is the Independent testing adequately documented, showing it properly performed?</t>
  </si>
  <si>
    <t xml:space="preserve">This question should be answered "YES" if:    
WUCO can verify the frequency of the Independent Review, the name of the party who performs it, the date of the most current review and can ensure that it complies with all regulatory requirements.                                                                                            </t>
  </si>
  <si>
    <t xml:space="preserve">This question should be answered "NO" if:    
WUCO cannot verify the frequency of the Independent Review, the name of the party who performs it, the date of the most current review and can ensure that it complies with all regulatory requirements.        </t>
  </si>
  <si>
    <t>This question should be answered "N/A" if: 
• The Agent has been active less than a year OR
• Question GS10.GQ1 has been answered "N/A" OR
• The Agent is categorized as an Independent WUPSIL Agent and solely relies on WU’s AML/CFT Program, because they are not required by law to have an AML/CFT Program.
• FINTRAC does not require Agents of Western Union in Canada to have an independent review of Western Union products/services.</t>
  </si>
  <si>
    <t>DOCUMENT REQUIRED Independent Review: Answer by reviewing Agent's Independent Review performed by someone different from the Compliance Office prior the call or during the review.
1) Do you know what an independent review is?
2) How often do you conduct them?
3) What is your relationship with the independent reviewer?</t>
  </si>
  <si>
    <t>DOCUMENT REQUIRED Independent Review: Answer by reviewing Agent's Independent Review performed by someone different from the Compliance Office prior the call or during the review.
1) ¿Sabe usted lo que es una Revisión Independiente?
2) ¿Con qué frecuencia se realizan las Revisiones Independientes?
3) ¿Cual es su relación con la persona o compañia que realiza la Revisión Independiente?</t>
  </si>
  <si>
    <t>DOCUMENT REQUIRED Independent Review: Answer by reviewing Agent's Independent Review performed by someone different from the Compliance Office prior the call or during the review.
1) Savez-vous qu'est-ce que c'est une Révision Indépendante?
2) A quelle fréquence l’effectuez-vous ?
3) Quel est votre rapport avec la personne ou l'entreprise effectuant la Révision Indépendante?</t>
  </si>
  <si>
    <t>DOCUMENT REQUIRED Independent Review: Answer by reviewing Agent's Independent Review performed by someone different from the Compliance Office prior the call or during the review.
1) Você sabe o que é uma Revisão Independente?
2) Com que frequência são realizadas as revisões independentes?
3) Qual é a sua relação com a pessoa ou empresa que realiza a Revisão Independente?</t>
  </si>
  <si>
    <t>Is a current Revenu Quebec permit displayed in a conspicuous place?</t>
  </si>
  <si>
    <t>This question should be answered "YES" if:
WUCO confirms that the Agent has the appropriate AMF Registration for services provided by Western Union on display.
If answered "YES" or "N/A": Supporting attachments is NOT required.</t>
  </si>
  <si>
    <t>This question should be answered "NO" if:
​​​​​​​WUCO confirms that the Agent does NOT display their license so that it is clearly legible in a conspicuous place.
If answered “NO”: Attach evidence that the license is displayed at the Agent location. 
Front Office Remediation Action: If WUCO can confirm that a license has been applied for but is awaiting AMF approval, select "Resolved Onsite" in the Finding Description section. If this is not possible, select "Response Required". 
Follow Up/Back Office Remediation Action: Obtain evidence that the license is displayed at the Agent location.</t>
  </si>
  <si>
    <t>This question should be answered "N/A" if:
The Agent is not located in Quebec.</t>
  </si>
  <si>
    <t>1. Do you have a Registration Certificate of the AMF (Autorité des marchés financiers) displayed and visible in your establishment? 
2. Would you be able to read what it says?</t>
  </si>
  <si>
    <t>1 ¿Tiene un Certificado de Registro de la AMF (Autorité des marchés financiers) exhibido y visible en su establecimiento? 
2. ¿Podría usted leer lo que dice?</t>
  </si>
  <si>
    <t>1. Avez-vous un Certificat d'inscription de l'AMF (Autorité des marchés financiers) affiché et visible dans votre établissement ?
2. Seriez-vous capable de lire ce qu'il dit ?</t>
  </si>
  <si>
    <t>"1. tem um Certificado de Registo da AMF (Autorité des marchés financiers) afixado e visível no seu estabelecimento? 
2. Conseguiria ler o que diz?".</t>
  </si>
  <si>
    <t>GS10.GQ3</t>
  </si>
  <si>
    <t>Have deficiencies in the independent testing been corrected?</t>
  </si>
  <si>
    <t>This question should be answered "YES" if: 
WUCO can verify (either by reviewing supporting documentation or having the Agent CO explain how they addressed the issues) that all key deficiencies noted in the most recent independent review have been addressed and resolved.  
Note: If only minor deficiencies were noted in the independent review, WUCO must select "YES". WUCO should use professional judgment in assessing criticality of deficiencies noted.</t>
  </si>
  <si>
    <t xml:space="preserve">This question should be answered "NO" if: 
WUCO cannot verify that all key deficiencies noted in the most recent independent review have been addressed and resolved. 
</t>
  </si>
  <si>
    <t>This question should be answered "NA" if: 
• The Agent's most recent Independent Review did not reveal deficiencies. 
• The Agent has not yet performed an independent review.
• The Agent is categorized as an Independent WUPSIL Agent and solely relies on WU’s AML/CFT Program, because they are not required by law to have an AML/CFT Program.</t>
  </si>
  <si>
    <t xml:space="preserve"> DOCUMENT REQUIRED Independent Review: Answer by reviewing Agent's Independent Review prior the call or during the review.
1) Were there any deficiencies identified in the previous IR that you needed to correct?
2) How were those deficiencies corrected?</t>
  </si>
  <si>
    <t>DOCUMENT REQUIRED Independent Review: Answer by reviewing Agent's Independent Review prior the call or during the review.
 1) Hubo algún tipo de deficiencia identificada en la RI anterior que tuvo que corregir?
2) ¿Como fueron corregidas las deficiencias?</t>
  </si>
  <si>
    <t>DOCUMENT REQUIRED Independent Review: Answer by reviewing Agent's Independent Review prior the call or during the review.
Y avait-il des faiblesses identifiées pendant la Révision Indépendante précédente que vous devez corriger?
Comment les faiblesses ont-elles été corrigées?</t>
  </si>
  <si>
    <t xml:space="preserve"> DOCUMENT REQUIRED Independent Review: Answer by reviewing Agent's Independent Review prior the call or during the review.
1) Foi identificada alguma deficiência no RI anterior que você teve que corrigir?
2) Como as deficiências foram corrigidas?</t>
  </si>
  <si>
    <t>This question should be answered "YES" if:
WUCO confirms that the Agent can describe the appropriate steps in LCTR filing when faced with money order transactions totaling $10,000 or more done by the same customer in a single day.</t>
  </si>
  <si>
    <t>This question should be answered "NO" if:
WUCO confirms that the Agent cannot describe the appropriate steps in LCTR filing when faced with money order transactions totaling $10,000 or more done by the same customer in a single day.
Front Office Remediation Action: Provide appropriate training (how and when to file LCTRs for cash transactions and/or money order transactions totaling $10,000 or more done by the same customer in a single day) during the review.</t>
  </si>
  <si>
    <t>1. Have you had customers wanting to transfer 7.500CAD or more?
2. What would you do in a case like this?
3. Is there a specific process to follow for this amount?
Note: See page 32 in the manual ENGLISH: https://westernunion.ent.box.com/file/673333911123</t>
  </si>
  <si>
    <t>¿Ha tenido alguna transferencia mayor a 7.500CAD?
2. ¿Qué hace ante una transferencia de este monto?
3. ¿Conoce el proceso para este tipo de transferencias?
Note: See page 32 in the manual ENGLISH: https://westernunion.ent.box.com/file/673333911123</t>
  </si>
  <si>
    <t>1. Avez-vous eu des clients souhaitant transferer 7500 CAD ou plus?
2. Que feriez-vous dans un cas comme celui-ci?
3. Y a t-il un processus spécifique à suivre pour ce montant?
Note: See page 32 in the manual FRENCH https://westernunion.ent.box.com/file/673342740886</t>
  </si>
  <si>
    <t>1. Você já teve clientes querendo transferir 7.500CAD ou mais?
2. O que você faz nesse tipo de casos?
3. Existe algum processo específico a seguir para esse valor?
Note: See page 32 in the manual ENGLISH: https://westernunion.ent.box.com/file/673333911123</t>
  </si>
  <si>
    <t>This question should be answered "YES" if: 
• WUCO confirms FLAs demonstrates they have been properly trained in AML/CFT compliance.
• FLAs were able to answer all selected questions correctly.</t>
  </si>
  <si>
    <t>This question should be answered "NO" if:
• FLAs answered one or more questions incorrectly. 
• FLAs were unable to demonstrate they have been properly trained in AML/CFT compliance.</t>
  </si>
  <si>
    <t>1) Walk me through your AML &amp; Terrorism Financing Training (specific topics or scenarios covered).
2) When was the last time you went through training?</t>
  </si>
  <si>
    <t xml:space="preserve">Avez-vous reçu une formation sur le programme de lutte contre le blanchiment d'argent et le financement des
 activités terroristes? Qu'est-ce que le blanchiment d'argent ? Qu'est-ce le financement des activités terroristes ? Quand avez-vous reçu votre dernière formation et quels sujets ou scénarios ont été abordés?
</t>
  </si>
  <si>
    <t>• Para você, o que é a Lavagem de Dinheiro e o Financiamento do Terrorismo?
• Quando foi a última vez que você recebeu um treinamento sobre issos conteúdos (online, pessoalmente, pelo telefone) pela sua Casa Matriz ou pela Western Union?</t>
  </si>
  <si>
    <t>FLA INTERVIEW: Can FLAs identify red flags that indicate a consumer may be involved in Suspicious Activity or transactions?</t>
  </si>
  <si>
    <t>This question should be answered "YES" if:
• FLAs were able to demonstrate good analytical skills to detect suspicious activity.
• FLAs were able to answer all selected questions correctly. 
• FLAs were able to identify three (3) red flags correctly.</t>
  </si>
  <si>
    <t xml:space="preserve">This question should be answered "NO" if:   
• FLAs were unable to identify three (3) red flags correctly. 
• FLAs answered one or more questions incorrectly. 
• FLAs were unable to demonstrate good analytical skills to detect suspicious activity. </t>
  </si>
  <si>
    <t>Please mention at least 3 red flags that should make us suspect of a customer being involved in Suspicious Activity.</t>
  </si>
  <si>
    <t>Mencione al menos 3 señales de alerta que podrían hacerle sospechar que un cliente está involucrado en algun tipo de actividad sospechosa.</t>
  </si>
  <si>
    <t>Veuillez indiquer au moins 3 signaux d’alerte qui devraient nous faire soupçonner qu'un client est impliqué dans des activité ou transactions suspectes.</t>
  </si>
  <si>
    <t>Por favor, mencione pelo menos 3 sinais de advertência que podem nos fazer suspeitar que um cliente possa estar envolvido em (Suspicious Activity).</t>
  </si>
  <si>
    <t>FLA INTERVIEW: Do FLAs know the appropriate steps to take (including reporting, etc.) when faced with suspicious activity or transactions?</t>
  </si>
  <si>
    <t>This question should be answered "YES" if:
WUCO confirms FLAs know the steps to report suspicious activity. These actions could include but are not limited to: 
     o Refusing the transaction.
     o Reporting the situation to the Compliance Officer/Delegate.
     o Completing the Referral for Unusual Activity Form, as applicable.</t>
  </si>
  <si>
    <t>This question should be answered "NO" if:   
WUCO cannot confirm that FLAs know the steps to report suspicious activity.</t>
  </si>
  <si>
    <t>1) What do you do if you encounter suspicious activity? 2) How do you report Suspicious Activity?</t>
  </si>
  <si>
    <t>1) ¿Qué haría usted si identificara señales de actividad sospechosa?
2) ¿Cómo reportan actividad sospechosa?</t>
  </si>
  <si>
    <t>1) Avez-vous remarqué une activité suspecte dans votre Agence?
2) Que faites vous en cas de détecter des signaux d'activité suspecte?
3) Comment faites-vous pour signaler une activité suspecte?</t>
  </si>
  <si>
    <t>1) ¿Vocês ja notaram alguma atividade suspeita na loja?
2) ¿O que faria você se identificasse sinais de atividade suspeita na loja?
3) ¿Como é que vocês reportam as atividades atipicas?</t>
  </si>
  <si>
    <t xml:space="preserve">FLA INTERVIEW: Is the employee(s) able to identify Agent Fraud related activity? </t>
  </si>
  <si>
    <t xml:space="preserve">This question should be answered "YES" If: 
• WUCO confirms FLAs demonstrated knowledge of methods to identify Agent fraud-related activity. 
• FLAs were able to answer all selected questions correctly. </t>
  </si>
  <si>
    <t xml:space="preserve">This question should be answered "NO" If: 
• FLAs answered one or more questions incorrectly. 
• WUCO cannot confirm that FLAs demonstrate knowledge of methods to identify Agent fraud-related activity.  </t>
  </si>
  <si>
    <t>1) Do you know any examples where you as an Agent could be the victim of fraud?
2) As an agent, have you ever been a victim of fraud? Do you ever receive phone calls from people claiming to be WU representatives?</t>
  </si>
  <si>
    <t>1) ¿Podría usted indicarme qué es fraude contra los Agentes?
2) ¿Podría usted compartirme un par de ejemplos de tipos de fraude contra el Agente?</t>
  </si>
  <si>
    <t>1) Savez-vous ce qu'est la fraude contre l'agent?
2) Comment un agent peut-il être victime de fraude par email?</t>
  </si>
  <si>
    <t>1) ¿O que entende você sobre fraude contra os funcionários?
2) ¿Poderia compartilhar comigo alguns exemplos de golpes de fraude contra os funcionários?</t>
  </si>
  <si>
    <t>FLA INTERVIEW: Is the employee(s) able to explain the actions that should be taken with regard to Agent fraud related activity?</t>
  </si>
  <si>
    <t xml:space="preserve">This question should be answered "YES" If: 
• FLAs were able to answer all selected questions correctly. 
• WUCO confirms that employee(s) able to explain the actions that should be taken with regard to Agent Fraud related activity.
These actions could include but are not limited to: 
    o Not proceeding with the caller request. 
    o Hanging up the phone. 
    o Stopping the transaction if recorded.
    o Reporting the situation to your supervisor, your Compliance Officer/Delegate and call your dedicated Agent Support number immediately. </t>
  </si>
  <si>
    <t>This question should be answered "NO" If: 
• FLAs were unable to answer all selected questions correctly. 
• WUCO could not confirm that employee(s) are able to explain the actions that should be taken with regard to Agent fraud related activity.</t>
  </si>
  <si>
    <t>1) What actions would you take if you faced a transaction related to Agent Fraud?
2) How would you report this type of incident?</t>
  </si>
  <si>
    <t>1) ¿Qué haría usted si identificara señales de posible fraude contra el Agente?
2) ¿Cómo reportarían una actividad de fraude en contra de un agente?</t>
  </si>
  <si>
    <t>Quelles mesures prendriez-vous si vous étiez confronté à une transaction liée à une fraude par agent ? 2) Comment signaleriez-vous ce type d'incident?</t>
  </si>
  <si>
    <t xml:space="preserve"> 1) Que ações tomaria se você enfrentasse uma transação relacionada à fraude ao agente?
2) Como você relataria esse tipo de incidente?</t>
  </si>
  <si>
    <t>This question should be answered "YES" if:
WUCO confirms the list of active FLAs in the system are matching with:
• The number of FLAs observed working at the location (in case of an onsite review), OR
• The number of FLAs working at the location as communicated by the agent representative (in case of a telephone review)</t>
  </si>
  <si>
    <t>This question should be answered "NO" if:
  • There is at least 1 active FLA whose name and OPID does not appear in the system (not applicable for roaming operators)
  • There is at least 1 FLA whose name and OPID appears in the system but is no longer processing transactions at the agent location.</t>
  </si>
  <si>
    <t xml:space="preserve">This question should be answered "N/A" if: 
• The Agent is ONLY Host to Host (“H2H”) or
• The Agent uses a system not recording FLA OP IDs.
**Note: If "N/A" is selected, a case comment is required stating the reason for the selection. </t>
  </si>
  <si>
    <t>GS8.GQ6</t>
  </si>
  <si>
    <t>FLA INTERVIEW: Is the employee(s) able to identify consumer fraud related activity?</t>
  </si>
  <si>
    <t xml:space="preserve">This question should be answered "YES" if:
• WUCO confirms that the FLA is able to identify consumer fraud scenarios.
• WUCO confirms that the FLA is able to identify three (3) red flags correctly. 
</t>
  </si>
  <si>
    <t>This question should be answered "NO" if:
• WUCO cannot confirm that the FLA was able to identify three (3) red flags correctly. 
• WUCO cannot confirm that the FLA was able to identify consumer fraud related activity.</t>
  </si>
  <si>
    <t>1) What do think is a typical behavior of a client involved in a consumer fraud scheme?
2) Please share at least 2-3 of the Consumer Fraud indicators/Red flags covered in your Anti-Fraud program.</t>
  </si>
  <si>
    <t xml:space="preserve"> 1) ¿Cómo cree usted que se comportaría un cliente que es víctima de fraude al consumidor?
2) De acuerdo con su programa Anti-Fraude ¿podría compartir al menos dos indicadores de fraude al consumidor?</t>
  </si>
  <si>
    <t>1) Comment pensez-vous que se comporterait un client victime d'une fraude à la consommation?
2) Sur la base de votre programme anti-fraude, pourriez-vous partager au moins deux indicateurs de fraude à la consommation?</t>
  </si>
  <si>
    <t>1) Qual é um comportamento típico de um cliente envolvido em fraude ao consumidor?
2) Por favor, forneça pelo menos 2-3 indicadores de fraude ao consumidor/sinais de alerta cobertos em seu programa antifraude.</t>
  </si>
  <si>
    <t xml:space="preserve">Provide an explanation for N/A answer to previous questions. </t>
  </si>
  <si>
    <t>N/A</t>
  </si>
  <si>
    <t>GS8.GQ7</t>
  </si>
  <si>
    <t xml:space="preserve">FLA INTERVIEW: Is the employee(s) able to explain the actions that should be taken with regard to consumer fraud related activity? </t>
  </si>
  <si>
    <t xml:space="preserve">This question should be answered "YES" if:
• FLAs were able to answer all selected questions correctly. 
• WUCO confirms that the FLA knows what actions to take after identifying consumer fraud related activity. These actions could include but are not limited to:      
   o Stopping the transaction, 
   o Reporting the situation to the Compliance Officer/Delegate.
   o Alerting the consumer, 
   o Refusing the payout of a potentially fraudulent transaction, 
   o Other activities as deemed necessary due to safety and/or legal concerns  </t>
  </si>
  <si>
    <t xml:space="preserve">This question should be answered "NO" if:
• FLAs were unable to answer all selected questions correctly. 
• WUCO could not confirm that employee(s) are able to explain the actions that should be taken with regard to consumer fraud related activity.
</t>
  </si>
  <si>
    <t>1) ¿Qué acciones tomaría usted ante una situación de fraude al consumidor?</t>
  </si>
  <si>
    <t>Quelles mesures prendriez-vous en cas de transaction liée à la fraude à la consommation?</t>
  </si>
  <si>
    <t>1) Que ações você tomaria no caso de uma situação de fraude ao consumidor?</t>
  </si>
  <si>
    <t>Does the Agent take appropriate measures with regard to employees who are not complying with the AML/CTF program?</t>
  </si>
  <si>
    <t>This question should be answered "YES" if:
WUCO confirms that the Agent takes appropriate measures on employees who are not complying with the AML/CTF program.</t>
  </si>
  <si>
    <t>This question should be answered "NO" if: 
WUCO confirms that the Agent DOES NOT take appropriate measures on employees who are not complying with the AML/CTF program.</t>
  </si>
  <si>
    <t>GS8.GQ8</t>
  </si>
  <si>
    <t>FLA INTERVIEW: Is the employee(s) aware transactions involving potential consumer fraud cannot be referred to another WU or competitor location?</t>
  </si>
  <si>
    <t xml:space="preserve">This question should be answered "YES" if:
WUCO confirms that the employee(s) were able to clearly explain that they should never refer transactions involving potential consumer fraud to another WU or competitor location.
</t>
  </si>
  <si>
    <t xml:space="preserve">This question should be answered "NO" if:
WUCO cannot confirm that the employee(s) could explain that they should never refer transactions involving potential consumer fraud to another WU or competitor location.
</t>
  </si>
  <si>
    <t>Vamos a suponer que usted rechaza una transacción debido a que identificó posible fraude al consumidor.
Usted le recomendaría al cliente ir a otra agencia o empresa para enviar o recibir la transacción?</t>
  </si>
  <si>
    <t>Disons que vous refusez ma transaction en raison d'une éventuelle fraude à la consommation ; me recommanderiez-vous d'aller dans un autre emplacement ou une autre entreprise pour effectuer cette transaction?</t>
  </si>
  <si>
    <t>Vamos supor, que você declina uma transação por ter identificado uma possível fraude ao consumidor.
Você recomendaria ao cliente ir a outra agência ou empresa para enviar ou receber a transação?</t>
  </si>
  <si>
    <t xml:space="preserve">If there have been any changes to the structure of the business or organization, and/or any of its key personnel, has the Agent notified Western Union of the change? </t>
  </si>
  <si>
    <t>This question should be answered "YES" if:
•  WUCO verifies with the Agent that there have been new changes in the structure of the business or organization and/or any of its key personnel (i.e., change in company structure like company to trust, new beneficial owners, or changes to key personnel details, and new details for key personnel who have left or joined your business) AND
•  The Agent has notified Western Union about any changes.</t>
  </si>
  <si>
    <t>This question should be answered "NO" if:
•  WUCO verifies with the Agent that there have been new changes in the structure of the business or organization and/or any of its key personnel (i.e., change in company structure like company to trust, new beneficial owners, or changes to key personnel details, and new details for key personnel who have left or joined your business); AND
•   Western Union  has NOT been notified of any changes by Agent; OR
• The Agent does not provide the documentation confirming Western Union has been notified of the change. 
**Note: If the Agent does not provide the requested documentation, include an explanation in the comments field.</t>
  </si>
  <si>
    <t>This question should be answered "N/A" if:
• The WUCO does not identify any new changes in the company or organization structure and/or key personnel including beneficial owners.
• The Agent states there have not been any changes in both company or organization structure and key personnel.</t>
  </si>
  <si>
    <t>GS12.GQ1</t>
  </si>
  <si>
    <t xml:space="preserve"> This question should be answered "YES" if: 
• WUCO verifies that the Agent is charging consumers the exact amount listed on the Send Receipt.
• Unless complaints are submitted against the Agent, the only way to verify this during a Program Review is by asking the Agent directly if they are charging any additional fees. If the Agent states they are not charging any additional fees, then this is enough to justify answering "Yes" to this question.
</t>
  </si>
  <si>
    <t xml:space="preserve">This question should be answered "NO" if: 
It is identified that the Agent is not charging consumers the exact amount listed on the Send Receipt. 
</t>
  </si>
  <si>
    <t xml:space="preserve">This question should be answered "NA" if:
The Agent does not offer Money Transfer sends.
</t>
  </si>
  <si>
    <t>1. How do you know or where do you see how much to charge a customer for a send transaction? 
2. Are there any additional fees?</t>
  </si>
  <si>
    <t>1. ¿Como sabe el monto final que debe pagar el cliente por una transaction? 
2. ¿Existe alguna tarfa adicional que se le cobre al cliente por el envío de una transferencia?</t>
  </si>
  <si>
    <t>1. Si un client veut envoyer de l'argent, comment savez-vous combien vous devez lui charger pour l'envoie de cette transaction ?     
2. Est-ce que vous chargez des frais supplémentaires pour ce service-là ?</t>
  </si>
  <si>
    <t>1. Como você sabe ou onde vê quanto cobrar os clientes por uma transação de envio?
2. Há alguma taxa adicional?</t>
  </si>
  <si>
    <t>Does the Agent CO manage all AML/CTF Act communications with AUSTRAC?</t>
  </si>
  <si>
    <t>This question should be answered "YES" if:
The Agent confirms that he does respond to all AUSTRAC feedbacks and report them to the network.</t>
  </si>
  <si>
    <t>This question should be answered "NO" if:
The Agent CANNOT confirm that he responds to all AUSTRAC feedbacks and report them to the network.</t>
  </si>
  <si>
    <t>GS12.GQ2</t>
  </si>
  <si>
    <t xml:space="preserve"> This question should be answered "YES" if: 
• WUCO  verifies that the Agent is charging consumers the exact amount listed on the Receive Receipt.
• Unless complaints are submitted against the Agent, the only way to verify this during a Program Review is by asking the Agent directly if they are charging any additional fees. If the Agent states they are not charging any additional fees, then this is enough to justify answering "Yes" to this question.</t>
  </si>
  <si>
    <t xml:space="preserve">This question should be answered "NO" if: 
It is identified that the Agent is not charging consumers the exact amount listed on the Receive Receipt. </t>
  </si>
  <si>
    <t xml:space="preserve">This question should be answered "NA" if: 
The Agent does not offer Money Transfer payouts. </t>
  </si>
  <si>
    <t>1. How do you know how much to pay a customer when paying out a money transfer? 
2. Are there any additional fees to charge?</t>
  </si>
  <si>
    <t>1. ¿Como sabe usted cuanto cual es el monto final a pagarle a un cliente cuando está cobrando una transacción? 
2. ¿Hay algún cargo o cobro adicional por pagar transferencias?</t>
  </si>
  <si>
    <t>1. Comment savez-vous combien il faut verser un client lors d;un payement d'un transfert?
2. Vous chargez des frais supplémentaires?</t>
  </si>
  <si>
    <t>1. Como você sabe quanto deve pagar a um cliente ao pagar uma transferência de dinheiro?_x000D_
2. Há alguma taxa adicional a ser cobrada?</t>
  </si>
  <si>
    <t>GS10.RQ1</t>
  </si>
  <si>
    <t>Is the Agent's compliance program subject to periodic reviews by an independent party, which can be the Agent's audit department or a third party reviewer?</t>
  </si>
  <si>
    <t xml:space="preserve">This question should be answered "YES" if:                   
WUCO verifies the frequency and validity of the independent reviews, the name of the party that performs them, and the date of the last one and ensure it complies with all regulatory requirements. To be valid, the Independent Review must be performed by a qualified individual who is neither the designated Compliance Officer nor a subordinate of the designated CO. </t>
  </si>
  <si>
    <t>This question should be answered "NO" if:     
WUCO CANNOT verify the frequency and/or validity of the independent reviews, the name of the party that performs them, the date of the last one or ensure it complies with all regulatory requirements.                                                                                                  
Issue finding. 
NOTE: A financial audit does not satisfy the independent review requirement unless the auditor has issued a report on AML Compliance controls.</t>
  </si>
  <si>
    <t>GS12.GQ3</t>
  </si>
  <si>
    <t>Has the agent implemented a Consumer Protection Program (CPP), including all minimum standards and sections addressing all topics required in their jurisdiction?</t>
  </si>
  <si>
    <t xml:space="preserve">This question should be answered “YES” if:
• The Agent has adopted Western Union’s Consumer Protection Program, or;
• WUCO has confirmed that the Agent's custom Consumer Protection Program or supplemental policies or procedures align with Western Union’s Consumer Protection Program and satisfy local regulatory requirements as applicable (see regional guidance below). </t>
  </si>
  <si>
    <t>This question should be answered “NO” if:
• Agent has not adopted Western Union’s CPP, or;
• Agent did not provide WUCO with a copy of their custom Consumer Protection Program or supplemental policies or procedures, or;
• WUCO determines (via onsite review or response to referral as described in Front Office Action) that the Agent's Consumer Protection Program or supplemental policies or procedures do not align with Western Union’s Consumer Protection Program or satisfy local regulatory requirements as applicable.</t>
  </si>
  <si>
    <t xml:space="preserve">This question should be answered “NA” if:
• The agent is NOT located in any of the following jurisdictions: US, Philippines, EUCIS. EUCIS-based entities include, but are not limited to, WUPSIL, WUPSGL, and WUIB entities. </t>
  </si>
  <si>
    <t>DOCUMENTS REQUIRED Anti-Fraud P&amp;Ps: Answer by reviewing Agent's Policies and Procedures document received prior or during the call.</t>
  </si>
  <si>
    <t>GS10.RQ2</t>
  </si>
  <si>
    <t>Is the scope of the review adequate to address key AML/CFT risk in the Agent's compliance program?</t>
  </si>
  <si>
    <t>This question should be answered "YES" if: 
WUCO confirms that the scope and coverage are adequate to address key AML risk in the agent compliance program.  (Included, not limited to, monitoring, reporting etc.)</t>
  </si>
  <si>
    <t xml:space="preserve">This question should be answered "NO" if:     
WUCO CANNOT confirm that the scope and coverage are adequate to address key AML risk in the agent compliance program. (Included, not limited to, monitoring, reporting etc.)      </t>
  </si>
  <si>
    <t>Has the Agent designated an AML/CFT and Anti-Fraud Compliance Officer/Compliance Delegate?</t>
  </si>
  <si>
    <t xml:space="preserve">This question should be answered "YES" if:
• WUCO was able to confirm that the Compliance Officer/Compliance Delegate position is currently filled and not targeted to be filled for some future date. An interim appointment pending the recruitment of a permanent Compliance Officer/Compliance Delegate is sufficient to answer “Yes” to this question.
• Agent is able to provide written documentation of the full name (and title) of the company's designated Compliance Officer/Compliance Delegate during the program review.
• WUCO is able to verify that the company has a designated Compliance Officer/Compliance Delegate for their AML/CFT and/or Anti-Fraud program. This generally is accomplished by identifying it in the company's AML/CFT and/or consumer fraud policies and procedures. However, WUCO can obtain verification from other sources including: written statement from the company's Board of Directors, e-mail confirmation from the Agent Owner, etc.      
Note: It is also possible, that the Agent has 2 Officers designated: 1 for AML/CFT and another for Anti-Fraud program. In this case, WUCO has to collect the evidences and designation for both. </t>
  </si>
  <si>
    <t xml:space="preserve">This question should be answered "NO" if:
• WUCO was unable to obtain written confirmation from the Agent that a Compliance Officer/Compliance Delegate has been designated by the company.
• WUCO is unable to verify that the company has a designated Compliance Officer/Compliance Delegate for their AML/CFT and/or Anti-Fraud program.  </t>
  </si>
  <si>
    <t>DOCUMENT REQUIRED AML &amp; Anti-Fraud P&amp;Ps (CO Designation Pages):
1) Are you the designated Compliance Officer of the location?
2) Are you the compliance officer for any other location(s)?
Would you please mention some of your main duties and responsibilities as the Compliance Officer of the store?
VERIFY CO DESIGNATION IN P&amp;P/S.</t>
  </si>
  <si>
    <t>DOCUMENT REQUIRED AML &amp; Anti-Fraud P&amp;Ps (CO Designation Pages):
1) Es usted el Oficial de Cumplimiento designado a esta tienda?
2) Está usted a cargo de alguna otra tienda como Oficial de Cumplimiento?
Por favor mencione cuales son sus principales responsabilidades como Oficial de Cumplimiento.
VERIFY CO DESIGNATION IN P&amp;P/S.</t>
  </si>
  <si>
    <t>DOCUMENT REQUIRED AML &amp; Anti-Fraud P&amp;Ps (CO Designation Pages):
1) Êtes-vous la personne designée comme Agent de Conformité?
2) Êtes-vous l'Agent de Conformité pour une autre agence de Western Union?
VERIFY CO DESIGNATION IN P&amp;P/S.</t>
  </si>
  <si>
    <t>DOCUMENT REQUIRED AML &amp; Anti-Fraud P&amp;Ps (CO Designation Pages): 1. Você é o Official de compliance designado da loja? 2. Esta você encarregado de alguma outra funcão além dessa? Por favor diga quais são suas principais responsabilidades como Official de compliance.</t>
  </si>
  <si>
    <t>This question should be answered "NO" if:
The FLAs do not understand that commercial transactions (send or receive) are not permitted in their jurisdiction and cannot be conducted.</t>
  </si>
  <si>
    <t xml:space="preserve">If the name of the AML/CFT and/or Anti-Fraud Compliance Officer/Compliance Delegate has changed since the last Program Review, has the Agent notified WU of the change? </t>
  </si>
  <si>
    <t xml:space="preserve">This question should be answered "YES" if:
The AML/CFT and/or Anti-Fraud Compliance Officer/Compliance Delegate has changed since the last Program Review and WUCO can verify that the change has been reported to WU (i.e., WUCO can verify that the Compliance Officer/Compliance Delegate name is listed in Salesforce OR a completed Designation of Compliance Officer Form was sent to WU). 
</t>
  </si>
  <si>
    <t>This question should be answered "NO" if:
The AML/CFT and/or Anti-Fraud Compliance Officer/Compliance Delegate has changed since the last Program Review and WUCO cannot verify that the change has been reported to WU.
For this question, the Resolved Onsite scenario applies mostly for Onsite Reviews since you can collect the written designation and send email to the respective parties for update, as it is difficult to collect the evidence during a review conducted over the phone.</t>
  </si>
  <si>
    <t xml:space="preserve">This question should be answered "NA" if:
• The AML/CFT and/or Anti-Fraud Compliance Officer/Compliance Delegate has not changed since the last Program Review. 
• This is the Agent's first Program Review. 
</t>
  </si>
  <si>
    <t>Verify if the name of the AML/CFT and/or Anti-Fraud Compliance Officer/Compliance Delegate has changed since the last Program Review and if it was notified to WU.</t>
  </si>
  <si>
    <t xml:space="preserve">Does the Agent understand how to handle a consumer complaint? </t>
  </si>
  <si>
    <t>This question should be answered "YES" if:
• WUCO confirms the Agent can explain the correct course of action to take when faced with a consumer complaint; AND
•  WUCO confirms that the Agent knows the processes involved in handling a general consumer complaint.</t>
  </si>
  <si>
    <t xml:space="preserve">This question should be answered "NO" if:
• WUCO confirms the Agent CANNOT explain the correct course of action to take when faced with a consumer complaint; OR
•  WUCO is unable to confirm that the Agent knows how to handle a general consumer complaint.  </t>
  </si>
  <si>
    <t xml:space="preserve">Is the Agent's Compliance Officer/Compliance Delegate experienced and knowledgeable about AML/CFT and Anti-Fraud Compliance? </t>
  </si>
  <si>
    <t xml:space="preserve">This question should be answered "YES" if:
• WUCO concludes that the Compliance Officer/Compliance Delegate demonstrates reasonable awareness of compliance requirements in their jurisdiction (including AML/CFT). 
• During the interview, WUCO confirms that the Compliance Officer/Compliance Delegate is knowledgeable in the following areas:    
          1.  AML/CFT, consumer fraud, and consumer protection program requirements (P&amp;Ps, Employee Training, Monitoring, Independent Review)
          2.  Suspicious Activity 
          3.  Fraud Scenarios 
          4.  Terrorist Financing  
          5.  As referenced in the P&amp;Ps        
    </t>
  </si>
  <si>
    <t xml:space="preserve">This question should be answered "NO" if:
WUCO determines through their interview with the company's Compliance Officer/Compliance Delegate that they are not experienced or knowledgeable regarding AML compliance, specifically: 
        1. AML/CFT, consumer fraud, and consumer protection  program requirements (P&amp;Ps, Employee Training, Monitoring, Independent Review)
        2. Suspicious Activity 
        3. Fraud Scenarios 
        4. Terrorist Financing  
        5. As referenced in the P&amp;Ps       </t>
  </si>
  <si>
    <t>1. How can you identify possible terrorist financing? 2. Why is it important to have an AML/CFT and Anti-fraud program in place? 3 What are some of the most relevant AML/CFT and Anti-Fraud risks in your business/geography?</t>
  </si>
  <si>
    <t>1. Como puede usted identificar una situation de financiamiento terrorista? 2. Porque es importante tener un programa de AML/CFT y Anti-Fraude? 3. Cuales son los riesgos más relevantes que usted puede identificar para su negocio o zona geográfica?</t>
  </si>
  <si>
    <t>1. Comment identifierez-vous un possible financement du terrorisme?
2. Pourquoi est-il important d’avoir un programme de LAB/LFT et lutte contre la fraude en place ? 3. Quels sont les risques les plus importants concernant la lutte LAB/LFT dans votre région?</t>
  </si>
  <si>
    <t>1. Como você pode identificar o possível financiamento do terrorismo?
2. Por que é importante ter um programa AML/CFT e antifraude disponível?
3. Quais são os riscos AML/CFT e antifraude mais relevantes na sua área geográfica?</t>
  </si>
  <si>
    <t>Does the Agent perform Employee Due Diligence, including verification of identity, confirmation of employment history, and confirmation of each individual's suitability to be employed in their current or prospective role?</t>
  </si>
  <si>
    <t>This question should be answered "YES" if:
WUCO confirms that the Agent has provided proof of Employee Due Diligence check. Examples of acceptable documentation include:
- Previous employment reference check
- Personal reference check
- Community type reference check
- National Police Check (NPC)
- Family member reference check (note: only acceptable where the employee is a family member of the Agent and has no other employment history)</t>
  </si>
  <si>
    <t>This question should be answered "NO" if: 
WUCO confirms that the Agent has NOT provided proof of Employee Due Diligence check.</t>
  </si>
  <si>
    <t>This question should be answered "N/A" if:  
• WUCO confirms that due to privacy concerns agent cannot not share copy of EDD; OR
• There are no other employees conducting transactions, other than the Compliance Officer.</t>
  </si>
  <si>
    <t>Are the Agent's Compliance Officer/Compliance Delegate's compliance responsibilities clearly documented?</t>
  </si>
  <si>
    <t>This question should be answered "YES" if:
• WUCO verifies that the Agent Compliance Officer's/Compliance Delegate's compliance responsibilities are properly documented.
Acceptable documentation might be:
          o Agent's Compliance Policies &amp; Procedures manual;
          o Signed attestation from the Agent Compliance Officer/Compliance Delegate;
          o Supplemental document (i.e. letter, formal summary) to the Agent's Compliance Policy;
          o Electronic manual/document from the Agent's intranet.
• WUCO confirms that the document has been formally approved by the organization (ex: formally approved, presented internally, shared with governance level, etc.).  
Note: If the document applies to responsibilities beyond Western Union but does not specify Western Union products, the WUCO may still answer "YES" as long as the responsibilities generally correspond to the Western Union requirements. If one of the responsibilities is missing, this question should be answered "NO".</t>
  </si>
  <si>
    <t>This question should be answered "NO" if:
• Agent's Policies &amp; Procedures manual does not contain a section outlining the responsibilities of the Compliance Officer/Compliance Delegate position, and the Agent does not have another document that outlines the responsibilities of the Compliance Officer/Compliance Delegate position.
• Agent provides the documented responsibilities of the Compliance Officer/Compliance Delegate position, but the document was insufficient and/or incomplete. 
• The WUCO (after reviewing the documentation), concludes that one or more components of the Compliance Officer's/Compliance Delegate's responsibilities is missing.</t>
  </si>
  <si>
    <t>DOCUMENTS REQUIRED AML P&amp;Ps with CO Responsibilities: Answered by reviewing Agent's Policies and Procedures document received prior or during the call.</t>
  </si>
  <si>
    <t xml:space="preserve">If the answer to the previous question is "N/A," provide a comment explaining why the selection was made. </t>
  </si>
  <si>
    <t>Has the Agent cleared all findings and remediation action items related to the last program review, which were due on or before the date of the present review?</t>
  </si>
  <si>
    <t>This question should be answered "YES" if:
The WUCO reviews all findings and remediation action items related to the last program review, which were due on or before the date of the present review, and determines that they have either been cleared or the due date has not yet arrived.</t>
  </si>
  <si>
    <t>This question should be answered "NO" if:
After reviewing all findings and remediation action items related to the last program review, the WUCO determines that not all of the program review findings and remediation actions have been cleared.</t>
  </si>
  <si>
    <t>This question should be answered "N/A" if:  
• The WUCO determines that the Agent was not assigned any Findings or remediation actions during the last Program Review.
• The Agent has not had a previous Program Review in iWatch.</t>
  </si>
  <si>
    <t xml:space="preserve"> INSTRUCTION to WUCO: In case a finding has not been remediated current PR would still apply, but we are required to collect remediation evidence for both Resolved Onsite or Response Required scenarios. The difference would be the Agent’s response whether they have taken the appropriate actions and are able to provide the evidence during the review or not. In case we are not able to collect the evidence for finding being remediated, we are required to move the case to BO and attach the document in previous case (if it is still open) or in current one (if it is closed). We consider this a rare scenario as it is not frequent to find open previous PRs, but it is important to notice that in case WUCO considers the information submitted to remediate findings is insufficient or it was not provided at all finding is to be assigned.</t>
  </si>
  <si>
    <t xml:space="preserve">Does the Agent perform and retain records of Employee Due Diligence that include collection and verification of employee identity documents?
</t>
  </si>
  <si>
    <t xml:space="preserve">This question should be answered "YES" if:
WUCO confirms that the Agent has provided evidence of valid identity documents for employees hired to process WU transactions. Examples of acceptable documentation include:
     1. Driver's License
     2. Photo ID Card
     3. Passport
</t>
  </si>
  <si>
    <t xml:space="preserve">This question should be answered "NO" if:
WUCO is unable to confirm that the Agent has provided evidence of valid identity documents for employees hired to process WU transactions.
</t>
  </si>
  <si>
    <t>This question should be answered "N/A" if: 
•  WUCO confirms that due to privacy concerns agent cannot share a copy of Employee ID records; OR
•  There are no other employees conducting transactions other than the Compliance Officer.</t>
  </si>
  <si>
    <t xml:space="preserve">This question should be answered "YES" if:
The name, address, and telephone number (all three) match to the same fields as listed in WU records.  
Note: During an onsite review, the name and address may be observed by the WUCO.  During an offsite review, the name and address confirmation must be provided by the Agent representative.          </t>
  </si>
  <si>
    <t>This question should be answered "NO" if:
Any of the three (location name, address, and telephone number) do not match WU records.</t>
  </si>
  <si>
    <t>Est-ce que le nom de l'agence, l'adresse et le numéro de téléphone enregistrés dans les systèmes Western Union, sont-ils exacts?</t>
  </si>
  <si>
    <t xml:space="preserve">Is the class of trade (COT) information stored in Western Union ("WU") systems accurate? </t>
  </si>
  <si>
    <t xml:space="preserve">This question should be answered "YES" if:
• WUCO finds that the Agent's COT matches WU internal records (AS400, Salesforce).
• The Agent's true COT is NOT prohibited under WU or regional policy. Prohibited Industries include:
     • Illegal Gambling
     • Shell Banks
     • Telemarketing Companies
     • Prostitution
     • Marijuana industry and other recreational drug industries
     • Unlicensed financial institutions, where licensing is required
     • Rough diamond trade
     • Counterfeit/pirated goods
     • Illegal activities
</t>
  </si>
  <si>
    <t>This question should be answered "NO" if: 
1. The COT does not match internal WU records (AS400, Salesforce). 
2. The Agent's true COT is prohibited under WU or regional policy. Prohibited Industries include:
     • Illegal Gambling
     • Shell Banks
     • Telemarketing Companies
     • Prostitution
     • Marijuana industry and other recreational drug industries
     • Unlicensed financial institutions, where licensing is required
     • Rough diamond trade
     • Counterfeit/pirated goods
     • Illegal activities
For finding #2 would not be a frequent scenario but in case it happens, it is important to bring it to Supervisor’s attention and further investigation is to be conducted with support of RC as applicable.</t>
  </si>
  <si>
    <t>A_1A_3</t>
  </si>
  <si>
    <t>Can you please confirm what type of business is this?</t>
  </si>
  <si>
    <t>Indique el tipo de negocio de esta locación.</t>
  </si>
  <si>
    <t>Quel type d'entreprise avez-vous?</t>
  </si>
  <si>
    <t>Indique o tipo de nogocio da loja.</t>
  </si>
  <si>
    <t xml:space="preserve">Is the ownership information stored in Western Union ("WU") systems accurate? </t>
  </si>
  <si>
    <t>This question should be answered "YES" if:
WUCO's comparison of the ownership details (collected during the interview) matches WU records (Salesforce).</t>
  </si>
  <si>
    <t>This question should be answered "NO" if:  
WUCO's comparison of the ownership details (collected during the interview) do not match WU records (Salesforce).</t>
  </si>
  <si>
    <t>Can you please confirm the ownership details of the location?</t>
  </si>
  <si>
    <t>Por favor brinde el o los nombres de los propietarios de la locación.</t>
  </si>
  <si>
    <t>Pouvez-vous confirmer les noms des propriétaires du magasin ?</t>
  </si>
  <si>
    <t xml:space="preserve">Por favor forneça o/os nomes dos donos da loja.
</t>
  </si>
  <si>
    <t>GS3.GQ4</t>
  </si>
  <si>
    <t>Does each Front Line Associate ("FLA") use only his or her own unique Operator ID to process money transfer/money order transactions?</t>
  </si>
  <si>
    <t xml:space="preserve">This question should be answered "YES" if:
After reviewing a sample* of transactions at this location, WUCO confirms that the number of Operator IDs processing transactions is generally consistent with:  
• The number of FLAs observed working at the location (in case of an onsite review), OR
• The number of FLAs working at the location as communicated by the Agent representative (in case of a telephone review).
Note: Transaction sample size must be at least 2 weeks worth of transactions and must be pulled no earlier than 30 days prior to the program review. 
</t>
  </si>
  <si>
    <t xml:space="preserve">This question should be answered "NO" if:
1. Agent explains that the number of FLA Operator IDs do not coincide with the transactional review because FLAs are sharing Operator IDs and passwords to speed up processing.
2. The Agent indicates during the review that Operators use shared IDs due to unwillingness to register with Western Union. </t>
  </si>
  <si>
    <t xml:space="preserve">This question should be answered "N/A" if:  
• This location’s transactions are entered remotely by a common Operator for multiple (or all) FLAs.
• The Agent is a Host to Host (“H2H”) or 
• The Agent uses a system not recording FLA OP IDs.
Note: If "" is selected, a case comment is required stating the reason for the selection. </t>
  </si>
  <si>
    <t>1) How many operators are authorized to process transactions and Money Orders?
2) Does each operator use a unique user ID and password to process MTs/MOs?
MAKE SURE YOU VERIFY THE INFO GIVEN BY THE AGENT AGAINST WU SYSTEMS.
Note: IF NOT USING UNIQUE IDs: May I have the full names of the other authorized people?</t>
  </si>
  <si>
    <t>1) Cuantos operadores están autorizados a procesar transacciones y giros (Money Orders)?
2) Está utilizando cada operador un usuario y contraseña de manera individualpara procesar transacciones y giros (Money Orders)?
MAKE SURE YOU VERIFY THE INFO GIVEN BY THE AGENT AGAINST WU SYSTEMS.
Note: IF NOT USING UNIQUE IDs: May I have the full names of the other authorized people?</t>
  </si>
  <si>
    <t>1) Actuellement, combien d'employés ont accès aux système de WU ?                               
2) Et combien de noms d'utilisateurs avez-vous qui ont accès au système? 
S'ils sont en train d'utiliser le même utilisateur: Pourriez-vous me donner les noms complets de ces personnes ?
N'oubliez pas que chaque opérateur doit se connecter à notre système avec son propre nom d'utilisateur et son propre mot de passe. Le partage du numéro d'identification de l'opérateur est strictement interdit. Vous pouvez ajouter un nouvel opérateur ou supprimer un ancien en appelant le Support Agent ou via le Portail Agent.</t>
  </si>
  <si>
    <t>1) Quais operadores estão autorizados a processar transações e Money Orders?
2) Cada operador está usando um usuário e senha de modo individual para processar transações Money Orders?
CERTIFIQUE-SE DE VERIFICAR AS INFORMAÇÕES FORNECIDAS PELO AGENTE CONTRA OS SISTEMAS WU.
Nota: SE NÃO USAR IDs EXCLUSIVOS: Posso ter os nomes completos das outras pessoas autorizadas?</t>
  </si>
  <si>
    <t>Who Conducted the interview (WUCO)?</t>
  </si>
  <si>
    <t>Please type the name of the WUCO in the Free Text response box.</t>
  </si>
  <si>
    <t>Date of Review:</t>
  </si>
  <si>
    <t>Is the Scanner unit duly installed and in good working condition at the location?</t>
  </si>
  <si>
    <t>This question should be answered "YES" if:
WUCO confirms that the Agent has provided proof of Employee Due Diligence check.</t>
  </si>
  <si>
    <t>This question should be answered "NO" if:
 WUCO confirms that the Agent has NOT provided proof of Employee Due Diligence check.</t>
  </si>
  <si>
    <t>This question should be answered "N/A" if: 
WUCO confirms that due to privacy concerns agent cannot share a copy of EDD.</t>
  </si>
  <si>
    <t>Attach a copy of the Finding Letter if the overall Level Assigned is "With Findings" or higher.</t>
  </si>
  <si>
    <t xml:space="preserve">​​​​​​​If the overall Level Assigned is "With Findings" or higher: 
• Attach a copy of the Finding Letter
• Add comment to Free Text box, i.e.,  "Attached" 
If the overall Level Assigned is "No Findings":
Add comment to Free Text box, i.e.,  "Not Attached" </t>
  </si>
  <si>
    <t>Does the Scanner unit clearly record the relevant WU money transfer activities taking place at the location?</t>
  </si>
  <si>
    <t xml:space="preserve">Attach a copy of the Finding Letter email sent to the Agent (or proof of mail, i.e., photo of the envelope) if the overall Level Assigned is "With Findings" or higher.
</t>
  </si>
  <si>
    <t xml:space="preserve">If the overall Level Assigned is "With Findings" or higher: 
• Attach a copy of the Finding Letter email sent to the Agent or proof of mail (i.e. photo of the envelope)
• Add comment to Free Text box, i.e.,  "Attached" 
​​​​​​​​​​​​​​​​​​​​​
If the overall Level Assigned is "No Findings":
Add comment to Free Text box, i.e.,  "Not Attached" </t>
  </si>
  <si>
    <t xml:space="preserve">If the answer to the previous question is "No," provide the ID check(s) results. </t>
  </si>
  <si>
    <t xml:space="preserve">If the overall Level Assigned is "With Findings" or higher: 
     •  Attach a copy of the Finding Letter email sent to the Agent or proof of mail (i.e., photo of the envelope)
     •  Add comment to Free Text box, i.e.,  "Attached" </t>
  </si>
  <si>
    <t xml:space="preserve">Does the agent understand how to handle a consumer complaint? </t>
  </si>
  <si>
    <t>GS11.GQ2</t>
  </si>
  <si>
    <t>Provide your Data Integrity Tool summary (include an overall reason for discussion, Agent response, WUCO recommendation and action required). If N/A was selected for the previous question, please provide a detailed explanation for why Data Integrity Analysis does not apply to this Agent.</t>
  </si>
  <si>
    <t>Does the Agent perform and retain records of Employee Due Diligence that include confirmation of employment history, and confirmation of each individual's suitability to be employed in their current or prospective role?</t>
  </si>
  <si>
    <t>GS13.GQ1</t>
  </si>
  <si>
    <t>Is this an EFRAL Post Reactivation Quarterly Review?</t>
  </si>
  <si>
    <t>This question should be answered "YES" if:  
WUCO confirms that the location is an EFRAL case that has been reactivated in WU systems and that this review is one of four EFRAL Post Reactivation Quarterly Reviews subsequent to  reactivation.  
Note: If this question is answered "YES", the questionnaire will display question GS13.GQ2.</t>
  </si>
  <si>
    <t>This question should be answered "NO" if:  
• WUCO confirms that there is NO record in WU systems that this is an EFRAL case that has been reactivated in WU systems or is one of four EFRAL Post Reactivation Quarterly Reviews subsequent to reactivation.  
• WUCO confirms that the Agent offers money order sales only. 
Note: If this question is answered "NO", the questionnaire will skip to question GS13.GQ6.</t>
  </si>
  <si>
    <t>GS13.GQ2</t>
  </si>
  <si>
    <t>Do FLAs retain photocopies of identity documents or biometric information presented by the recipient and retain the photocopies or images, along with the receive forms for a period of five (5) years?</t>
  </si>
  <si>
    <t>This question should be answered "YES" if:
WUCO confirms, after reviewing a sample of receive transactions, that the location has a copy of the recipient IDs and receive forms. If these documents are not stored at the location, have the Agent provide them before finalizing the review in iWatch.
Note: If this question is answered "YES", the questionnaire will display question GS13.GQ3.</t>
  </si>
  <si>
    <t>This question should be answered "NO" if: 
WUCO confirms that the location (EFRAL) does NOT retain copies of recipient IDs and receive forms.
Note: If this question is answered "NO", the questionnaire will skip to question GS13.GQ4.</t>
  </si>
  <si>
    <t>Does the Agent perform and retain records of Employee Due Diligence that include collection and verification of employee identity documents?</t>
  </si>
  <si>
    <t>GS13.GQ3</t>
  </si>
  <si>
    <t>Explicit statement that WUCO has verified the retention of identity documents and/or biometric information presented by receivers; attach the document (see RRVA Attachment Requirements).</t>
  </si>
  <si>
    <t>GS13.GQ4</t>
  </si>
  <si>
    <t xml:space="preserve">Is this a Send-Only EFRAL? </t>
  </si>
  <si>
    <t>This question should be answered "YES" if:
WUCO can verify the Agent's send-only status by identifying the status in WU systems as described in the Send-Only Attachment requirements.
Note: If this question is answered "Yes", the questionnaire will display question GS13.GQ5.</t>
  </si>
  <si>
    <t>This question should be answered "NO" if:
WUCO cannot verify the Agent's send-only status in WU systems.</t>
  </si>
  <si>
    <t>GS13.GQ5</t>
  </si>
  <si>
    <t>Explicit statement that WUCO has verified the Agent's send-only status; attach the document (see Send-Only Attachment Requirements).</t>
  </si>
  <si>
    <t>GS13.GQ6</t>
  </si>
  <si>
    <t>This question should be answered "YES" if:
WUCO has viewed the Commitment Letter and confirms that the Agent has signed it.</t>
  </si>
  <si>
    <t xml:space="preserve">This question should be answered "NO" if:  
• WUCO confirms that there is NO record in WU systems that the Agent is was an EFRAL case.
• WUCO confirms that the Agent offers money order sales only. </t>
  </si>
  <si>
    <t>GS13.GQ7</t>
  </si>
  <si>
    <t>Explicit statement that WUCO has verified (and attached) the Agent's signed Commitment Letter.</t>
  </si>
  <si>
    <t xml:space="preserve">If the answer to the previous question is "Yes", provide previous case number and an explicit statement confirming that the WUCO reviewed the previous program review case and has verified that all findings were remediated. 
If the answer to the previous question is "No", provide the previous case number and list of findings that were not cleared. </t>
  </si>
  <si>
    <t xml:space="preserve">Explicit statement of the name and title of the Compliance Officer. If the Agent has 2 CO's, provide both names, titles, along with the areas that their scope of responsibility covers.
</t>
  </si>
  <si>
    <t>GS9.GQ1</t>
  </si>
  <si>
    <t xml:space="preserve">Does the Agent monitor transactions using a WU monitoring tool (application)?    </t>
  </si>
  <si>
    <t>This question should be answered "YES" if:
• The Agent uses WU monitoring tools or applications to review transactions (Excel Macro, TransVision, Voyager, CMR, Translink, WUPOS Transaction Log).
• Agent is able to provide a sample of the last monitoring report from the WU monitoring application (print or screenshot).  
Note: If this question is answered "YES", the questionnaire will display question GS9.GQ2.</t>
  </si>
  <si>
    <t>This question should be answered "NO" if:
• The Agent does not use WU monitoring applications to review transactions
• Agent is unable to provide a sample of the last monitoring report from the WU monitoring application (print or screenshot).
• The Agent offers money order sales only.
Note: If this question is answered "NO", the questionnaire will display questions GS9.GQ3.</t>
  </si>
  <si>
    <t>Do you use any of the WU monitoring tool to monitor transactions?</t>
  </si>
  <si>
    <t>Utiliza usted alguna de las herramientas de Western Union para monitorear las transferencias realizadas en la tienda?</t>
  </si>
  <si>
    <t>Employez-vous l'un des outils de surveillance WU pour surveiller les transactions?</t>
  </si>
  <si>
    <t>Você usa alguma das ferramentas da Western Union para monitorar as transferências nas lojas?</t>
  </si>
  <si>
    <t>GS9.GQ2</t>
  </si>
  <si>
    <t xml:space="preserve">What is the name of the WU monitoring tool or application that the Agent uses? </t>
  </si>
  <si>
    <t>From the dropdown, select one of the following: 
• Excel Macro
• TransVision
• Voyager
• CMR
• Translink
• WUPOS Transaction Log</t>
  </si>
  <si>
    <t>What is the name of the WU monitoring tool or application that the Agent uses?</t>
  </si>
  <si>
    <t>Cual es el nombre de la aplicacion de WU que utiliza para monitorear las transferencias?</t>
  </si>
  <si>
    <t>Quel est le nom de l'outil WU de surveillance des transactions employé par l'Agent?</t>
  </si>
  <si>
    <t>Qual é o nome da aplicação da WU que você usa para monitorar as transferências?</t>
  </si>
  <si>
    <t>GS9.GQ3</t>
  </si>
  <si>
    <t>Provide a brief explanation of the Agent's transaction monitoring process for all WU products.</t>
  </si>
  <si>
    <t xml:space="preserve">The explanation of the scope of the Agent transaction monitoring process (for all WU products) must also include the following information: 
• Statement of monitoring type (manual or automated) 
• If monitoring is automated, name of monitoring system (non-WU system)
• Frequency of monitoring
• Name/Title of person conducting the monitoring
• If GS9.GQ1 was answered NO because the Agent is unable to provide a sample of the last monitoring report from the WU monitoring application (print or screenshot). </t>
  </si>
  <si>
    <t>Is the agent able to demonstrate that they have active BSA E-filing credentials AND knowhow to use the E-Filing system?</t>
  </si>
  <si>
    <t>This question should be answered "YES" if: 
• The Agent CO (or their delegate, if applicable) is able to demonstrate to WUCO that they have active BSA E-filing credentials; AND
• The Agent can demonstrate how to use the E-Filing system.
**Note: The simplest way to confirm this is by having the Agent log in to the E-Filing system during the review, and then asking them to show you how they would perform the necessary tasks (such as filing a SAR or submitting their MSB registration).</t>
  </si>
  <si>
    <t>This question should be answered  "NO" if:
The Agent is unable to satisfy all conditions set forth above (having active credentials; being able to access the system and demonstrate how to use it).</t>
  </si>
  <si>
    <t>1. Avez-vous accès au système BSA E-Filling ?
SI OUI, 
2. Pourriez-vous envoyer une preuve d'inscription ? Comme l'e-mail de confirmation que vous avez reçu lors de votre inscription
SI NON, je vous enverrai les étapes à suivre pour vous inscrire et m'enverrai une preuve.
OU accédez au système et envoyez une capture d'écran montrant que vous êtes connecté.</t>
  </si>
  <si>
    <t>1. Você tem acesso ao sistema BSA E-Filing?
SE SIM,
2. Você poderia enviar o comprovante de registro? Como o e-mail de confirmação que você recebeu quando se registrou
SE NÃO, enviarei as etapas que você precisa seguir para o registro e me enviará o comprovante. OU acesse o sistema e envie uma captura de tela mostrando que você está logado.</t>
  </si>
  <si>
    <t>GS5.RQ2</t>
  </si>
  <si>
    <t>Does the Agent have a process to report suspected or known sellers and telemarketers to Western Union?</t>
  </si>
  <si>
    <t>This question should be answered "YES" if:
• WUCO can verify that the Agent has a clearly communicated method for reporting suspected or known sellers and telemarkets to WU.
• Such methods can be:
     - Asking all consumers whether the transaction is a payment for goods or services offered through telemarketing.
     - Declining to process known or suspected telemarketing transactions, and
     - Reporting suspected or known sellers and telemarketers to Western Union so that they may be interdicted.
**Note: Agents must assist WU in identifying, preventing, and stopping the use of WU products and services for telemarketing activities by reporting suspected or known sellers and telemarketers to WU so that they may be interdicted.</t>
  </si>
  <si>
    <t>This question should be answered "NO" if:
WUCO cannot verify that the Agent has a clearly communicated method for reporting suspected or known sellers and telemarkets to WU.</t>
  </si>
  <si>
    <t>DOCUMENTS REQUIRED E-mail or communication from Agent HQ evidencing a clearly communicated process for employees to report suspected or known telemarketers: Answer by reviewing the documents prior or during the call.</t>
  </si>
  <si>
    <t>Have you trained all employees performing Western Union transactions on how to identify elder financial abuse and what to do if they detect elder abuse?</t>
  </si>
  <si>
    <t>This question should be answered "YES" if:
WUCO confirms that the agent has provided all employees performing Western Union transactions on how to identify elder financial abuse and what to do if they detect elder abuse.</t>
  </si>
  <si>
    <t>This question should be answered "NO" if:
WUCO CANNOT confirm that has provided all employees performing Western Union transactions on how to identify elder financial abuse and what to do if they detect elder abuse.</t>
  </si>
  <si>
    <t>DOCUMENTS REQUIRED Training Log showing Fraud Training was delivered: Answer by reviewing the documents prior or during the call.</t>
  </si>
  <si>
    <t>Does the Agent store all MT forms/SARs/CTRs in a secure location?</t>
  </si>
  <si>
    <t xml:space="preserve">This question should be answered "YES" if:WUCO confirms that the Agent is storing all transaction materials and regulatory reports in a secure location.
</t>
  </si>
  <si>
    <t>This question should be answered "NO" if:
WUCO confirms that the Agent is NOT storing all transaction materials and regulatory reports in a secure location.</t>
  </si>
  <si>
    <t>Where do you keep all physical records such as receipts and the regulatory documentation? (MT forms, SARS/CTRs)</t>
  </si>
  <si>
    <t>¿Dónde guarda los registros físicos, como los recibos y los documentos regulatorios? (formularios de transferencias, SARS/CTR, etc)</t>
  </si>
  <si>
    <t>Où conservez-vous les documents physiques, tels que les reçus et les documents réglementaires ? (formulaires de transfert, SAR/CTR, etc.)</t>
  </si>
  <si>
    <t>Onde você guarda todos os registros físicos, como recibos e documentação regulatória? (Formulários MT, SARS/CTRs)</t>
  </si>
  <si>
    <t xml:space="preserve">Does the Agent maintain complete and accurate Money Order Logs? </t>
  </si>
  <si>
    <t xml:space="preserve">The answer to this question should be "YES" if: WUCO confirms that the Agent is able to provide properly completed Money Order Logs for single sales of $3000 or more identified by WUCO during transaction analysis.
</t>
  </si>
  <si>
    <t>This question should be answered "NO" if:
The Agent is NOT able to provide properly completed Money Order Logs for single sales of $3000 or more  identified by WUCO during transaction analysis.</t>
  </si>
  <si>
    <t>This question should be answered "N/A" if:
• The Agent does not offer Money Orders; or
• Transaction Analysis did not reveal any MO sales for which a Money Order Log should have been created.</t>
  </si>
  <si>
    <t>Does the agent maintain records of transactions subject to OFAC’s regulations, including transfers involving Cuba, Syria, and Sudan, for five years?</t>
  </si>
  <si>
    <t>The answer to this question should be "YES" if: 
WUCO confirms that the Agent's process for maintaining records of transactions subject to OFAC (by verbal confirmation or observing the appropriate documents) is adequate.
**Note: For all Cuba-related (as well as Syria) money transfer transactions, Agents MUST retain the Send Money form AND the Agent copy of the transaction receipt for a period of five years.  In instances where My WU formless transactions are utilized involving the referenced countries, Agents MUST retain the Agent copy of the transaction receipt for a period of five years.</t>
  </si>
  <si>
    <t>This question should be answered "N/A" if:
• The Agent does not offer Western Union Money Transfer (either directly or through another service, such as Vigo or OV).
• The Agent has never conducted any transactions involving any of the countries listed in this requirement.</t>
  </si>
  <si>
    <t xml:space="preserve"> This question should be answered “YES” if:
• WUCO confirms that OFAC listing checks and collection and review of Criminal Record Certificates for each employee occur at the time of hire and every 3 years thereafter.
•WUCO confirms that Agent tracks completion on Employee Registry.</t>
  </si>
  <si>
    <t>This question should be answered “NO” if:
• WUCO is unable to confirm that OFAC listing checks and collection and review of Criminal Record Certificates for each employee occur at the time of hire and every 3 years thereafter.
•WUCO is unable to confirm that Agent tracks completion on Employee Registry.</t>
  </si>
  <si>
    <t>This question should be answered "YES" if:
WUCO should answer Yes if the Program Review resulted in a Finding Level of "With Findings" or higher.</t>
  </si>
  <si>
    <t>This question should be answered "NO" if:
WUCO should answer No if the Program Review resulted in a Finding Level of "No Findings."</t>
  </si>
  <si>
    <t xml:space="preserve">Does the Agent location has security cameras/and or alarm system?  </t>
  </si>
  <si>
    <t xml:space="preserve">Attach a copy of the Finding Letter if the overall Level Assigned is "With Findings" or higher.
</t>
  </si>
  <si>
    <t>This question should be answered “YES” if:
• WUCO confirms camera and/or alarm system is verified every 48 hours.
• WUCO confirms that they track verification on registry.</t>
  </si>
  <si>
    <t xml:space="preserve">This question should be answered “NO” if:
• WUCO was unable to confirm that the camera and/or alarm system is verified every 48 hours.
• WUCO was unable to verify the Agent tracking registry. </t>
  </si>
  <si>
    <t>Has the Agent cleared all findings and remediation action items related to the last program review or FIU/FRM Investigations, which were due on or before the date of the present review?</t>
  </si>
  <si>
    <t xml:space="preserve">This question should be answered "YES" if:
The WUCO reviews all findings and remediation action items related to the last program review, which were due on or before the date of the present review, and determines that they have either been cleared or the due date has not yet arrived.
</t>
  </si>
  <si>
    <t xml:space="preserve">If the answer to the previous question is "Yes", provide previous case number and an explicit statement confirming that the WUCO reviewed the previous program review case and has verified that all findings were remediated.
If the answer to the previous question is "No", provide the previous case number and list of findings that were not cleared. </t>
  </si>
  <si>
    <t>This question should be answered "YES" if:
• WUCO was able to confirm that the Compliance Officer/Compliance Delegate position is currently filled and not targeted to be filled for some future date. An interim appointment pending the recruitment of a permanent Compliance Officer/Compliance Delegate is sufficient to answer “Yes” to this question.
• Agent is able to provide documentation of the full name (and title) of the company's designated Compliance Officer/Compliance Delegate during the program review.
• WUCO is able to verify that the company has a designated Compliance Officer/Compliance Delegate for their AML/CFT and/or Anti-Fraud program. This generally is accomplished by identifying it in the company's AML/CFT and/or consumer fraud policies and procedures. However, WUCO can obtain verification from other sources including: written statement from the company's Board of Directors, e-mail confirmation from the Agent Owner, etc.      
Note: It is also possible, that the Agent has 2 Officers designated: 1 for AML/CTF and another for Anti-Fraud program. In this case, WUCO has to collect the evidences and designation for both.</t>
  </si>
  <si>
    <t xml:space="preserve">This question should be answered "NO" if:
• WUCO was unable to obtain evidence from the Agent that a Compliance Officer/Compliance Delegate has been designated by the company.
• WUCO is unable to verify that the company has a designated Compliance Officer/Compliance Delegate for their AML/CFT and/or Anti-Fraud program.  </t>
  </si>
  <si>
    <t>DOCUMENT REQUIRED AML &amp; Anti-Fraud P&amp;Ps (CO Designation Pages):
Note:
This is generally accomplished by identifying it in the company's AML/CFT and/or consumer fraud policies and procedures. However, WUCO can obtain verification from other sources including: written statement from the company's Board of Directors, e-mail confirmation from the Agent Owner, etc. 
1) Are you the designated Compliance Officer of the location?
2) Are you the compliance officer for any other location(s)?
Would you please mention some of your main duties and responsibilities as the Compliance Officer of the store?
VERIFY CO DESIGNATION IN P&amp;P/S.</t>
  </si>
  <si>
    <t xml:space="preserve">This question should be answered "YES" if:
The AML/CFT and/or Anti-Fraud Compliance Officer/Compliance Delegate has changed since the last Program Review and WUCO can verify that the change has been reported to WU (i.e., WUCO can verify that the Compliance Officer/Compliance Delegate name is listed in Salesforce OR a completed Designation of Compliance Officer Form was sent to WU). 
</t>
  </si>
  <si>
    <t xml:space="preserve">This question should be answered "NO" if:
The AML/CFT and/or Anti-Fraud Compliance Officer/Compliance Delegate has changed since the last Program Review and WUCO cannot verify that the change has been reported to WU. 
</t>
  </si>
  <si>
    <t xml:space="preserve">This question should be answered "N/A" if:
• The AML/CFT and/or Anti-Fraud Compliance Officer/Compliance Delegate has not changed since the last Program Review. 
• This is the Agent's first Program Review. 
</t>
  </si>
  <si>
    <r>
      <t>DOCUMENT REQUIRED AML &amp; Anti-Fraud P&amp;Ps (CO Designation Pages). Only if the response is NO documentation is required to resolve onsite. For this, send a request to the responsible department (</t>
    </r>
    <r>
      <rPr>
        <b/>
        <sz val="9"/>
        <rFont val="Calibri"/>
        <family val="2"/>
        <scheme val="minor"/>
      </rPr>
      <t>KYA-LACA-Support@westernunion.com</t>
    </r>
    <r>
      <rPr>
        <sz val="9"/>
        <rFont val="Calibri"/>
        <family val="2"/>
        <scheme val="minor"/>
      </rPr>
      <t>).</t>
    </r>
  </si>
  <si>
    <t>DOCUMENT REQUIRED AML &amp; Anti-Fraud P&amp;Ps (CO Designation Pages).</t>
  </si>
  <si>
    <t xml:space="preserve">Explicit statement of the name and title of the Compliance Officer. If the Agent has 2 CO's, provide both names, titles, along with the areas that their scope of responsibility covers.
</t>
  </si>
  <si>
    <t xml:space="preserve">This question should be answered "NO" if:
• WUCO concludes that the Compliance Officer/Compliance Delegate does not demonstrate reasonable awareness of compliance requirements in their jurisdiction (including AML/CFT). 
• During the interview, WUCO cannot confirm that the Compliance Officer/Compliance Delegate is knowledgeable in the following areas:    
          1.  AML/CFT, consumer fraud, and consumer protection program requirements (P&amp;Ps, Employee Training, Monitoring, Independent Review)
          2.  Suspicious Activity 
          3.  Fraud Scenarios 
          4.  Terrorist Financing  
          5.  As referenced in the P&amp;Ps        
   </t>
  </si>
  <si>
    <t>1. How can you identify possible terrorist financing?
2. Why is it important to have an AML/CFT and Anti-fraud program in place?
3 What are some of the most relevant AML/CFT and Anti-Fraud risks in your business/geography?</t>
  </si>
  <si>
    <t>1. Como puede usted identificar una situation de financiamiento terrorista?
2. Porque es importante tener un programa de AML/CFT y Anti-Fraude?
3. Cuales son los riesgos más relevantes que usted puede identificar para su negocio o zona geográfica?</t>
  </si>
  <si>
    <t>GS3.GQ5</t>
  </si>
  <si>
    <t>Is the Agent's Compliance Officer's reporting line independent from the Sales or Business function?</t>
  </si>
  <si>
    <t>This question should be answered "YES" if:
WUCO has obtained &amp; reviewed the Agent’s organizational chart or reviewed the Compliance Officer’s job description, and confirms the reporting structure is independent of the Sales/Business organization. 
Note:
WUCO may also need to leverage the regional Western Union Sales Representative to obtain these charts and then make the appropriate determination.
In situations where conflicts between business and Agent CO responsibilities are unavoidable, such as with smaller organizations (MA is of a similar size as an Independent Agent; depending on the scenario, but typically 10 or fewer locations), the WUCO may make a judgement call and answer this question “Yes” after considering the following:
 - Are there procedures in place to ensure the objective management of AML, CFT, fraud, and consumer protection matters?
 - Has training to the Compliance Officer/Compliance Delegate been reasonably demonstrated?
WUCO must include a deviation comment in the Comment Log for this type of scenarios.</t>
  </si>
  <si>
    <t xml:space="preserve">This question should be answered "NO" if:
WUCO determines (by examining the company's organizational chart or verbally from the Compliance Officer directly) that the Agent’s Compliance Officer reporting line is not independent from the sales or business function.
</t>
  </si>
  <si>
    <t>Who do you have responsibilities over, from an organizational chart standpoint?</t>
  </si>
  <si>
    <t>¿Quienes están bajo su linea de reporte?</t>
  </si>
  <si>
    <t>Qui sont sous votre responsabilité, d’un point de vue organisationnelle?</t>
  </si>
  <si>
    <t>Sobre quem você tem responsabilidades, desde o ponto de vista da estrutura organizacional?</t>
  </si>
  <si>
    <t>GS1.RQ1</t>
  </si>
  <si>
    <t>For locations in Quebec only:
Have the following additional changes been advised to WU by the network CO:
• Changes in the home address of officers, directors and Compliance Officers (as provided on the Appendix D3)
• Changes in Identification information (as provided on the Appendix D1 or D3)
• Changes to the business name (as provided on the Appendix D2)
• New/additional Officers or Directors who have oversight of the Western Union contract in Quebec.</t>
  </si>
  <si>
    <t>This question should be answered "YES" if:
WUCO confirms that all material changes have been communicated to WU within the required 15 day time period and documented.</t>
  </si>
  <si>
    <t xml:space="preserve">This question should be answered "NO" if:
WUCO confirms that the Agent has not provided material changes to their business as outlined in the AML Manual to Western Union within 15 days. </t>
  </si>
  <si>
    <t>1. Have you had any changes to the following information about your business?
• Change in personal address of Officers, Directors and Compliance Officers (as indicated in Appendix D3)
• Change in identification information (as indicated in Appendix D1 or D3)
• Business name change (as indicated in Appendix D2)
• Additions, new officers or new directors that supervise Western Union contracts in Quebec.
2. Were these changes announced to WU by the Compliance Officer?</t>
  </si>
  <si>
    <t>GS3.GQ6</t>
  </si>
  <si>
    <t xml:space="preserve">This question should be answered "YES" if:
• WUCO verifies that the Agent Compliance Officer's/Compliance Delegate's compliance responsibilities are properly documented.
Acceptable documentation might be:
          o Agent's Compliance Policies &amp; Procedures manual;
          o Signed attestation from the Agent Compliance Officer/Compliance Delegate;
          o Supplemental document (i.e. letter, formal summary) to the Agent's Compliance Policy;
          o Electronic manual/document from the Agent's intranet.
• WUCO confirms that the document has been formally approved by the organization (ex: formally approved, presented internally, shared with governance level, etc.).  
Note: If the document applies to responsibilities beyond Western Union but does not specify Western Union products, the WUCO may still answer "YES" as long as the responsibilities generally correspond to the Western Union requirements. If one of the responsibilities is missing, this question should be answered "NO".
</t>
  </si>
  <si>
    <t>DOCUMENTS REQUIRED AML P&amp;Ps with CO Responsibilities: 
Any of the following options:
1. Answered by reviewing Agent's Policies and Procedures document received prior or during the call.
2. Signed attestation from the Agent Compliance Officer/Compliance Delegate.
2. Supplemental document (i.e. letter, formal summary) to the Agent's Compliance Policy.
3. Electronic manual/document from the Agent's intranet.</t>
  </si>
  <si>
    <t>This question should be answered "YES" if:
• WUCO has obtained a copy of the Agent's AML/CTF Policies and Procedures. 
• WUCO has examined the Agent's documented AML/CFT Policies &amp; Procedures, either physically onsite or "Digitally/Electronically" during an offsite review.
• The Agent's policies prohibit viewing of the AML/CFT Policies and Procedures document (in any form), but the Agent’s CO/CD has provided: 
     o A supplemental document (i.e., letter of confirmation, AML Policy Statement) OR 
     o An electronic manual/document from the Agent's intranet or official website that contains language stating that the Agent has an AML/CFT Compliance Program.
Note: WUCO must attach proof that the Agent has documented AML/CFT Policies and Procedures. See Attachment Guidance for details. The P&amp;Ps should be approved and distributed. This will be addressed in subsequent questions.</t>
  </si>
  <si>
    <t>DOCUMENTS REQUIRED AML/CFT P&amp;Ps: Answered by reviewing Agent's Policies and Procedures (owned or WU's) document received prior or during the call.</t>
  </si>
  <si>
    <t>Are the Agent's AML/CFT policies and procedures complete, including WU minimum standards and sections addressing all topics required in their jurisdiction, including Sub-Agent oversight, if applicable?</t>
  </si>
  <si>
    <t>This question should be answered "YES" if: 
• The Agent has adopted WU's Global Agent Compliance Manual. 
• WUCO has compared the Agent's P&amp;P document to WU's Global Agent Compliance Manual and determines that it includes, at a minimum, the main components of an AML/CFT Program as well as the following WU minimum standards: 
     o AML Compliance Organization 
     o KYC Program including collection of consumer identification as required
     o Transaction Monitoring Program
     o Regulatory reporting requirements
     o Escalation of compliance issues to the Agent CO as necessary
     o Management of consumers demonstrating suspicious behavior
     o Filing of SARs/STRs with authorities as appropriate
     o Compliance Training Program (including initial, ongoing and testing of knowledge)
     o Recordkeeping/Record Retention Policy that complies with WU record retention timelines and applicable legal requirements, including the safe and secure storage of transaction records and sensitive consumer data. 
     o Quality assurance and testing (Independent Reviews if applicable)
     o If applicable, the compliance policies and procedures also include Sub-Agent oversight. 
Note: 
• If the Agent's policies prohibit viewing of the AML/CFT Policies and Procedures document, the Agent Compliance Officer/Compliance Delegate must confirm the existence of each point listed above in writing.
• Not all sections need to be covered in the same document. The intention is that all sections are covered in the Agent's overall Policies and Procedures.</t>
  </si>
  <si>
    <t xml:space="preserve">This question should be answered "NO" if:
The Agent's Policies &amp; Procedures do not contain (or do not properly explain) one or more of the following items:
     • AML Compliance Organization 
     • KYC Program including collecting consumer identification as required
     • Transaction Monitoring Program
     • Regulatory reporting requirements
     • Escalation of compliance issues to Agent CO as necessary
     • Management of consumers demonstrating suspicious behavior 
     • Filing of SARs/STRs with authorities as appropriate
     • Compliance Training Program (including initial, ongoing, and testing of knowledge)
     • Recordkeeping/Record Retention Policy that complies with WU record retention timelines and applicable legal requirements, including the safe and secure storage of transaction records and sensitive consumer data. 
     • Quality assurance and testing (Independent Reviews if applicable)
     • If applicable, the compliance policies and procedures also include Sub-Agent oversight. 
</t>
  </si>
  <si>
    <t>This question should be answered "N/A" if: 
The previous question was answered "NO".</t>
  </si>
  <si>
    <t>DOCUMENTS REQUIRED AML/CFT P&amp;Ps: Answered by reviewing Agent's Policies and Procedures document received prior or during the call. (Refer to guidance column for the minumun standards)</t>
  </si>
  <si>
    <t>This question should be answered "YES" if:
•WUCO has obtained a copy of the Agent's Anti-Fraud Policies and Procedures. 
•WUCO has examined the Agent's documented Anti-Fraud Policies &amp; Procedures, either physically onsite or "Digitally/Electronically" during an offsite review.
• The Agent's policies prohibit viewing of the Anti-Fraud Policies and Procedures document (in any form), but the Agent’s CO/CD has provided: 
     o A supplemental document (i.e., letter of confirmation, Anti-Fraud Policy Statement) OR 
     o An electronic manual/document from the Agent's intranet or official website that contains language stating that the Agent has an Anti-Fraud Compliance Program.
Note: WUCO must attach proof that the Agent has a documented and approved Anti-Fraud Policies and Procedure. See Attachment Guidance for details. 
If Agent is using their own P&amp;Ps, the entire document must be attached to the case.
If Agent is using the Western Union Compliance policies and procedures, select one of the following:
a. If the latest WU Global Agent Compliance Manual is available in the Agent’s language, and the document is being used as their P&amp;P document, then at a minimum, the Compliance Officer Acknowledgement (with Option “A” or “B” checked, and should include Agent information, Compliance Officer name, signature and date) must be attached to the case.
b. If an earlier version of the WU Global Agent Compliance Manual is used by the Agent, the following must be attached to the case:
     a. A copy of the P&amp;P table of contents;  AND
     b. Customizable pages (that include Agent and Compliance Officer information) from Appendix E — Agent Anti-Fraud Policies and Procedures The Anti-Fraud P&amp;P.
**Note: If the Agent only submits key pages (e.g., table of contents, Compliance Acknowledgement Page) from the Compliance Manual and the Anti-Fraud P&amp;Ps, during the review, the WUCO should confirm the full document is available. Also, the WUCO must add a case comment confirming the pages that were submitted, and confirmation of the availability of the full document. The comment applies for both FO &amp; BO stages.</t>
  </si>
  <si>
    <t xml:space="preserve">This question should be answered "NO" if:
• Agent did not provide WUCO with a copy of their P &amp; P document.
• Agent was unwilling or unable to show or confirm (in writing), the existence of Policies &amp; Procedures during the review.
• The WUCO was unable to obtain:
     o A supplemental document (i.e., letter of confirmation, Anti-Fraud Policy Statement) OR 
     o An electronic manual/document from the Agent's intranet or official website that contains language stating that the Agent has an Anti-Fraud Compliance Program.
</t>
  </si>
  <si>
    <t xml:space="preserve">This question should be answered "N/A" if: 
The Agent offers only Money Order sales. </t>
  </si>
  <si>
    <t>DOCUMENTS REQUIRED Anti-Fraud P&amp;Ps: Answered by reviewing Agent's Policies and Procedures document received prior or during the call. (Refer to guidance column for details)</t>
  </si>
  <si>
    <t>Are the Agent's Anti-Fraud policies and procedures complete, including WU minimum standards and sections addressing all topics required in their jurisdiction, including Sub-Agent oversight, if applicable?</t>
  </si>
  <si>
    <t xml:space="preserve">This question should be answered "YES" if:
•The Agent has adopted WU's Global Agent Compliance Manual  (including Appendix B: The Model of Western Union Anti-Fraud Policy and Procedures). 
•WUCO has compared the Agent's P&amp;P document to WU's Global Agent Compliance Manual and determines that it includes, at a minimum, the main components of an Anti-Fraud Program as well as the following WU minimum standards: 
     o Anti-Fraud P&amp;Ps that meet WU minimum Anti-Fraud standards.
     o Inclusion of consumer fraud typologies
     o Actions to take when fraud is suspected
     o Detection and prevention of fraud induced money transfers.
     o Everyday fraud prevention practices
     o Escalation of suspected fraud and compliance issues to Agent CO as necessary
     o Management of consumers demonstrating suspicious behavior
     o Filing of SARs/STRs with authorities as appropriate 
     o If applicable, the compliance policies and procedures also include Sub-Agent oversight. 
Note: 
• If the Agent's policies prohibit viewing of the Anti-Fraud Policies and Procedures document, the Agent Compliance Officer/Compliance Delegate must confirm the existence of each point listed above in writing.
• Not all sections need to be covered in the same document. The intention is that all sections are covered in the Agent's overall Policies and Procedures.
</t>
  </si>
  <si>
    <t xml:space="preserve">This question should be answered "NO" if:
The Agent's Policies &amp; Procedures do not contain (or do not properly explain) one or more of the following items: 
     • The Anti-Fraud P&amp;Ps meeting WU minimum Anti-Fraud standards.
     • Consumer fraud typologies
     • Actions to take when fraud is suspected
     • The detection and prevention of fraud induced money transfers.
     • Everyday fraud prevention practices
     • Escalation of suspected fraud and compliance issues to Agent CO as necessary
     • Management of consumers demonstrating suspicious behavior
     • Filing of SARs/STRs with authorities as appropriate
     • If applicable, the compliance policies and procedures also include Sub-Agent oversight. 
 </t>
  </si>
  <si>
    <t xml:space="preserve">This question should be answered "N/A" if: 
• The previous question was answered "NO". 
• The Agent offers only Money Order sales. </t>
  </si>
  <si>
    <t>**Note: If the Agent only submits key pages (e.g., table of contents, Compliance Acknowledgement Page) from the Compliance Manual and the Anti-
Fraud P&amp;Ps, during the review, the WUCO should confirm the full document is available. Also, the WUCO must add a case comment confirming the
pages that were submitted, and confirmation of the availability of the full document. The comment applies for both FO &amp; BO stages.</t>
  </si>
  <si>
    <t>DOCUMENTS REQUIRED COMPLETE Anti-Fraud P&amp;Ps: Answered by reviewing Agent's Policies and Procedures document received prior or during the call (Refer to guidance column for details)</t>
  </si>
  <si>
    <t xml:space="preserve">Are the Agent's AML/CFT &amp; Anti-Fraud Policies and Procedures updated periodically? </t>
  </si>
  <si>
    <t xml:space="preserve">This question should be answered "YES" if:                                                                                                                                                                                     WUCO confirms that the Agent has described the review and update process for the AML and Anti-fraud policies and procedures.   Updates should: 
• Include the most current version of the WU AML and Anti-fraud Policy and Procedures manual. 
• Have been reviewed within the prescribed time frame specified by the regional governing Act/Legislation or regulation.  </t>
  </si>
  <si>
    <t xml:space="preserve">This question should be answered "NO" if:
WUCO confirms that the Agent was unable to describe the review and update process for the AML and Anti-fraud policies and procedures.  
• Updates do not Include the most current version of the WU AML and Anti-fraud Policy and Procedures manual or the Agent's AML and Anti-fraud Policies and procedures have not been reviewed within the prescribed time frame specified by the regional governing Act/Legislation or regulation.  
• The Agent has never reviewed and/or updated their company's AML Policies &amp; Procedures.
• WU CO confirms that the agent is utilizing an obsolete version of the WU AML Policy and Procedures manual.                                                                                    Note: If this question is answered " NO",  answer "NO" to all the Questions related to P&amp;P in the same section and select "Response Required" in the Finding description section.  </t>
  </si>
  <si>
    <t>DOCUMENTS REQUIRED AML/CFT and Anti-Fraud P&amp;Ps or  written statement describing the Agent’s process for updating their procedures periodically. Answered by reviewing Agent's Policies and Procedures or written statement document received prior or during the call.
1. Walk me trough the process for updating the AML/CFT and Anti-Fraud Policies and Procedures.
2. How often are they updated?</t>
  </si>
  <si>
    <t>DOCUMENTS REQUIRED AML and Anti-Fraud P&amp;Ps: Answered by reviewing Agent's Policies and Procedures document received prior or during the call.
1. Describa el proceso de actualización de las Políticas y Procedimientos AML/CFT y Anti-fraude.
2. ¿Con qué frecuencia se actualizan?</t>
  </si>
  <si>
    <t>DOCUMENTS REQUIRED AML and Anti-Fraud P&amp;Ps: Answered by reviewing Agent's Policies and Procedures document received prior or during the call.
1. Expliquez-moi le processus à suivre pour mettre à jour les Politiques et procédures LAB/CFT et anti-fraude.
2. Quelle est la fréquence de la mise à jour ?</t>
  </si>
  <si>
    <t>DOCUMENTS REQUIRED AML and Anti-Fraud P&amp;Ps: Answered by reviewing Agent's Policies and Procedures document received prior or during the call.
1. Explique o processo de atualização das Políticas e Procedimentos AML/CFT e Antifraude.
2. Com que frequência eles são atualizados?</t>
  </si>
  <si>
    <t>How often does the Agent update its AML/CFT &amp; Anti-Fraud Policies and Procedures?</t>
  </si>
  <si>
    <t>If GS4.GQ5 is answered "YES": The agent updates their AML/CFT &amp; Anti-Fraud every XXXXX.</t>
  </si>
  <si>
    <t xml:space="preserve">Are the AML/CFT and Anti-Fraud Policies and Procedures communicated to all employees involved with Western Union services at least annually?
</t>
  </si>
  <si>
    <t>This question should be answered "YES" if:
ALL of the following conditions exist: 
• WUCO reviewed the evidence that the Policies &amp; Procedures are communicated on at least an annual basis to all employees (including those at the Master Agent and Sub-Agent level) involved with WU products and services.  
This communication can include (but is not limited to):
         o Intranet communication
         o E-mail communication from headquarters to Store level (Manager, etc.)               
         o Newsletters/other store-level communication 
         o Training sessions
• WUCO confirms that the communication process is appropriately documented in the Agent's Policies &amp; Procedures manual.
• The responses to questions GS4.GQ1, GS4.GQ2, GS4.GQ3 and GS4.GQ4 are all "YES." 
Note: If the Agent offers Money Orders only, the answers to questions GS4.GQ1 and GS4.GQ2 are both "YES" (Anti-Fraud does not apply to MOs).</t>
  </si>
  <si>
    <t>This question should be answered "NO" if: 
One of the following conditions exist:
• WUCO was unable to obtain evidence that the Policies &amp; Procedures are communicated on at least an annual basis to all employees (including those at the Master Agent and Sub-Agent level) involved with WU products and services.  
• WUCO cannot confirm that the communication process is appropriately documented in the Agent's Policies &amp; Procedures manual.
• Any responses to questions GS4.GQ1, GS4.GQ2, GS4.GQ3 and GS4.GQ4 is "NO." 
Note: If the Agent offers Money Orders only, either answer to questions GS4.GQ1 and GS4.GQ2 is "NO" (Anti-Fraud does not apply to MOs).</t>
  </si>
  <si>
    <t>Special Note to the WUCO: If one of the sections bulleted in the guidance for question GS4.GQ2 or GS4.GQ4 does not exist this question should be answered "NO".</t>
  </si>
  <si>
    <t>DOCUMENT REQUIRED: Evidence/proof or documentation showing that the Policies &amp; Procedures are communicated on at least an annual basis to all employees (including those at the Master Agent and Sub-Agent level) involved with WU products and services. 
If P&amp;Ps were not shown, finding applies. (Refer to guidance)</t>
  </si>
  <si>
    <t xml:space="preserve">Does the Agent have a clearly documented and communicated process for its FLAs, Sub-Agents, Agent management to report suspicious activity concerns to the Agent's Compliance Officer?
</t>
  </si>
  <si>
    <t xml:space="preserve">This question should be answered "YES" if:
• WUCO can verify that the Agent has a clearly documented process for its FLAs, Sub-Agents, Agent management to report suspicious activity concerns to the Agent Compliance Delegate/Officer.   
• WUCU can verify by obtaining written procedures from the Agent, a copy of the company's "Suspicious Activity Referral Form" (or equivalent), or another method of confirmation that the process exists and is functional.
• WUCO confirms that even when there is no jurisdictional requirement to file SARs/STRs, the Agent is aware that they are expected to escalate suspicious consumer behavior or activity to WU for further review once they have completed their internal investigation.
</t>
  </si>
  <si>
    <t>This question should be answered "NO" if:
• WUCO cannot verify that the Agent has a clearly documented process for its  FLAs, Sub-Agents, Agent management to report suspicious activity concerns to the Agent Compliance Delegate/Officer.  
• WUCO was unable to verify by obtaining written procedures from the Agent, a copy of the company's "Suspicious Activity Referral Form" (or equivalent), or another method of confirmation that the process exists and is functional.
• WUCO cannot determine that the Agent is aware that they are expected to escalate suspicious consumer behavior or activity to WU for further review once they have completed their internal investigation even when there is no jurisdictional requirement to file SARs/STRs.</t>
  </si>
  <si>
    <t>DOCUMENTS REQUIRED AML/CFT P&amp;Ps (SUSPICIOUS ACTIVUTY SECTION): Answered by reviewing Agent's Policies and Procedures document received prior or during the call.</t>
  </si>
  <si>
    <t>How do you report unusual/suspicious activity? (Submit a SAR – Suspicious Activity Report via BSA.
What is the timeframe to send a SAR? (30 days from the event)
Have you filed a SAR?
Are you familiar with the CTRs?
(WU files CTRs for WU MT transactions above $10,000 but the Agent is responsible for a combination of money orders, check cashing, travelers check or currency exchange and money transfers above 10 k or just money orders.)"</t>
  </si>
  <si>
    <t xml:space="preserve">Does the Agent have any form of a documented Training Program?
</t>
  </si>
  <si>
    <t xml:space="preserve">This question should be answered "NO" if:
• Agent did not provide WUCO with a copy of their Training Program document.
• Agent was unwilling or unable to show or confirm (in writing), the existence Training Program document during the review.
Note: The Training Program can either be a stand-alone document or part of their compliance policies and procedures.
</t>
  </si>
  <si>
    <t>This question should be answered "N/A" if: 
The Agent offers only MNO, DMA, or ABMT.</t>
  </si>
  <si>
    <t>DOCUMENTS REQUIRED: AML/CFT and Fraud Awareness P&amp;Ps  (Training Section): Answered by reviewing Agent's Policies and Procedures document received prior or during the call.
1. Where in your program is the Training section located and what does it talk about specifically?</t>
  </si>
  <si>
    <t xml:space="preserve">Do training materials include AML/CFT topics and guidance on detecting fraud and handling of fraud-induced money transfers?
</t>
  </si>
  <si>
    <t>This question should be answered "NO" if:
WUCO confirms that the Agent's training content neither meet the bulleted points nor satisfies the region-specific content assessment.</t>
  </si>
  <si>
    <t>DOCUMENTS REQUIRED Training Evidence: Answer by reviewing Agent's Training Log report prior or during the call. 
Note: Make sure the documentation includes the topics covered, name of the attendees and the training date.</t>
  </si>
  <si>
    <t>GS6.GQ3</t>
  </si>
  <si>
    <t xml:space="preserve">Is the Agent's CO/CD able to demonstrate that they have implemented a working oversight process to ensure all Agent and Sub-Agent FLA’s receive Initial and Ongoing AML/CFT and Fraud Awareness training? 
</t>
  </si>
  <si>
    <t>This question should be answered "YES" if:
• WUCO is able to verify that Agent has implemented and has a working oversight process to ensure all Agent and Sub-Agent FLA’s receive Initial and Ongoing AML/CFT and Fraud Awareness training.  
• The Agent's policies prohibit viewing of the AML/CFT and Anti-Fraud Training Program (in any form), but the Agent’s CO/CD has provided: 
     o A supplemental document (i.e., letter of confirmation) OR 
     o An electronic manual/document from the Agent's intranet or official website that contains language stating that the Agent has an AML/CFT and Anti-Fraud Training Program.
Note: 
• WUCO should NOT focus on whether the FLA training timeliness and quizzes are 100% effective, but rather whether the Agent CO has strong control over the tracking of training.  WUCO should use professional judgment in making this assessment.
• For Agents using LMS Training, "YES" response is acceptable.
• If the Agent offers Money Orders only, and otherwise complies with AML/CFT training (Anti-Fraud is not pertinent to MOs), this question can be answered "YES".</t>
  </si>
  <si>
    <t xml:space="preserve">This question should be answered "NO" if:
WUCO is unable to confirm that the Agent has implemented and has a working oversight process to ensure all Agent and Sub-Agent FLA’s receive Initial and Ongoing AML/CFT and Fraud Awareness training.  
</t>
  </si>
  <si>
    <t>This question should be answered "N/A" if: 
• Training Logs are maintained at the Network location, not at the HQ.
• The Agent offers only MNO, DMA, or ABMT.</t>
  </si>
  <si>
    <t>DOCUMENT REQUIRED AML/CFT &amp; Anti-Fraud P&amp;Ps (Training section) and Training Evidence: If P&amp;Ps were not provided, finding applies. 
Note: Make sure the documentation includes the topics covered, name of the attendees and the training date.</t>
  </si>
  <si>
    <t>GS6.GQ4</t>
  </si>
  <si>
    <t>Does the Agent maintain an updated FLA list that contains FLA name, training date, method of delivery,  and training content that is maintained according to applicable record keeping rules?</t>
  </si>
  <si>
    <t xml:space="preserve">This question should be answered "YES" if: 
WUCO confirms that the FLA lists are complete including the name, training date, method of delivery, and training content that is maintained according to applicable record keeping rules.
</t>
  </si>
  <si>
    <t>This question should be answered "NO" if: 
Agent does not maintain updated FLA list that contains FLA name, training date, method of delivery, and training content completion status that is maintained according to applicable record keeping rules.</t>
  </si>
  <si>
    <t xml:space="preserve">This question should be answered "N/A" if:
•Training Logs are maintained at the Network location, not at the HQ. 
• Agents being reviewed are MNO, DMA or ABMT Agents.
</t>
  </si>
  <si>
    <t>DOCUMENTS REQUIRED AML/CFT &amp; Anti-Fraud Training Evidence: This question will be answered based on the Training Evidence provided prior or during call.
Note: Make sure the documentation includes the topics covered, name of the attendees and the training date.</t>
  </si>
  <si>
    <t>DOCUMENTS REQUIRED Training Evidence: This question will be answered based on the Training Evidence provided.</t>
  </si>
  <si>
    <t>GS6.GQ5</t>
  </si>
  <si>
    <t xml:space="preserve">This question should be answered "YES" if:
• WUCO verifies that the Agent has implemented and maintained an oversight process to ensure all FLAs receive initial AML/CFT and Fraud Awareness training. The process does not have to include quiz details to receive a “YES” answer to this question.                                             
• If Agent's Compliance Officer cannot provide (due to legal or privacy restrictions) the details of the Agents overall AML/CFT and Fraud Awareness training program; a copy (of WU-relevant program excerpt or a verbal description) of the process, which WUCO would provide for the Compliance Delegate to sign, would be sufficient.
• In the absence of an examination with a numerical score, Agent's Compliance Officer must be able to demonstrate that each FLA has completed the initial training modules and understands the training content.
Note: 
• For Agents using LMS Training, "YES" response is acceptable.
• WUCO should NOT focus on whether the FLA training timeliness and quizzes are 100% effective, but rather whether the Agent CO has strong control over the tracking of training. WUCO should use professional judgment in making this assessment.
• If the Agent offers Money Orders only, and otherwise complies with AML/CFT training (Anti-Fraud is not pertinent to MOs), this question can be answered "YES".
</t>
  </si>
  <si>
    <t>DOCUMENT REQUIRED AML/CFT &amp; Anti-Fraud Initial Training Evidence: This question will be answered based on the Training Evidence provided prior or during call. Make sure a specific comment is noted on the Training Log indicating AML/CFT &amp; Anti-Fraud training was delivered. 
1. Walk me through the process a newly hired operator must go through before being able to conduct transactions? (Initial Training).
2. Where or how do you document these trainings?</t>
  </si>
  <si>
    <t>GS6.GQ6</t>
  </si>
  <si>
    <t xml:space="preserve">Has the Agent provided ongoing AML/CTF and Anti-Fraud Awareness training to all employees to continue to conduct transactions (particularly when there are significant changes to the processes, systems, risks or compliance program standards)? </t>
  </si>
  <si>
    <t>This question should be answered "YES" if:
WUCO verifies that the Agent has implemented and maintained a documented training process to ensure all FLAs receive ongoing AML/CTF and Fraud Awareness training in order to continue conducting transactions on their own.
Note: 
•For Agents using LMS Training, "YES" response is acceptable.
•WUCO should NOT focus on whether the employee ongoing training timeliness and quizzes (if any) are 100% effective, but rather whether the Agent CO has strong control over the tracking of ongoing training.  WUCO should use professional judgment in making this assessment. LMS training is acceptable for a "YES" response.
•If the Agent offers Money Orders only, and otherwise complies with AML/CFT training (Anti-Fraud is not pertinent to MOs), this question can be answered "YES".</t>
  </si>
  <si>
    <t>This question should be answered "N/A" if:  
The Agent has been active for less than a year AND there have been no significant changes to the processes, systems, risks or compliance program standards since activation.</t>
  </si>
  <si>
    <t>DOCUMENT REQUIRED AML/CFT &amp; Anti-Fraud Ongoing Training Evidence: This question will be answered based on the Training Evidence provided prior or during call. Make sure a specific comment is noted on the Training Log indicating AML/CFT &amp; Anti-Fraud training was delivered. 
How often do you provide AML and Anti-Fraud refresher training to your regular employees?</t>
  </si>
  <si>
    <t>This question should be answered "YES" if:
• The Agent uses WU monitoring tools or applications to review transactions.
• Agent is able to provide a sample of the last monitoring report from the WU monitoring application (print or screenshot).  
Note: If this question is answered "YES", the questionnaire will display question GS7.GQ2.</t>
  </si>
  <si>
    <t>This question should be answered "NO" if:
• The Agent does not use WU monitoring applications to review transactions
• Agent is unable to provide a sample of the last monitoring report from the WU monitoring application (print or screenshot).
• The Agent offers money order sales only.
Note: If this question is answered "NO", the questionnaire will display questions GS7.GQ3.</t>
  </si>
  <si>
    <t>DOCUMENT REQUIRED: Screenshot of the Application used for monitoring along with a sample of the last monitoring reports (not older than 3 months from the date of the Program Review).
1. Do you use any of the WU monitoring tool to monitor transactions?</t>
  </si>
  <si>
    <t xml:space="preserve">Provide a brief explanation of the Agent's transaction monitoring process for all WU products. 
</t>
  </si>
  <si>
    <t xml:space="preserve">The explanation of the scope of the Agent transaction monitoring process (for all WU products) must also include the following information: 
• Statement of monitoring type (manual or automated) 
• If monitoring is automated, name of monitoring system (non-WU system)
• Frequency of monitoring
• Name/Title of person conducting the monitoring
• If GS7.GQ1 was answered NO because the Agent is unable to provide a sample of the last monitoring report from the WU monitoring application (print or screenshot). </t>
  </si>
  <si>
    <t>Effective Monitoring: Agent performs the monitoring process by reviewing transaction records on a weekly/monthly  basis, by comparing the transactions frequency. The WU’s AML/CFT  &amp; Anti- Fraud Compliance Monitoring Log &amp; WUCO determined that their Monitoring is effective.                                                                           Not Effective Monitoring: The agent did not provide the proper monitoring documentation prior the Compliance Review. The agent is not performing an effective monitoring sin they indicated XXXXXXXXXXXXXXXXXXXXXXXXXXXXXX.</t>
  </si>
  <si>
    <t xml:space="preserve">Is the Agent performing transaction monitoring on transactions associated with all locations, including Sub-Agents, for all WU products on a regular basis? 
</t>
  </si>
  <si>
    <t>This question should be answered "YES" if:
•  WUCO has examined monitoring documents and confirms that the CO has reviewed them. 
• The monitoring is performed by the locations, and the CO reviews consolidated monitoring reports across locations.</t>
  </si>
  <si>
    <t xml:space="preserve">This question should be answered "NO" if:
WUCO cannot confirm that the CO either performs monitoring or at least reviews it.
</t>
  </si>
  <si>
    <t>DOCUMENT REQUIRED Monitoring Results Reports: Answer by reviewing Agent's Monitoring document prior or during the call.
1) What WU products are included in your monitoring process?
2) How often do you monitor the transactions conducted at the location?</t>
  </si>
  <si>
    <t xml:space="preserve">Is the transaction monitoring being conducted effectively? 
</t>
  </si>
  <si>
    <t xml:space="preserve">This question should be answered "NO" if:
• WUCO confirms one or more deficiencies are identified. 
• The Agent excludes Sub-Agent volume from monitoring.
• WUCO instructs the Agent to file regionally required regulatory reports on activity included in the analysis. 
</t>
  </si>
  <si>
    <t>DOCUMENT REQUIRED Monitoring Results Report: Answer by reviewing Agent's Monitoring document prior or during the call. (Refer to guidance)
1) Walk me through your transaction monitoring process.</t>
  </si>
  <si>
    <t>This question should be answered "YES" if: 
WUCO reviews the Agent's monitoring documentation (e.g. Monitoring Logs) from the most recent full 30 days of available monitoring and confirms that the results are complete and sufficiently documented  (either electronically, manually, or both) to create a comprehensive audit trail of the investigation.</t>
  </si>
  <si>
    <t xml:space="preserve">DOCUMENT REQUIRED Monitoring Results Report: Answer by reviewing Agent's Monitoring document from the most recent full 30 days of available monitoring and confirms that it is complete and sufficiently documents either electronically, manually, or both, to create a comprehensive audit trail of the investigation prior or during the call. </t>
  </si>
  <si>
    <t xml:space="preserve">This question should be answered "YES" if: 
• WUCO can verify that the Agent maintains independent testing/Independent Review (of the AML/CFT and fraud controls) that is performed on a regular periodic basis.
• In WUCO's judgment, the scope and coverage of the Agent's independent testing /Independent Review are adequate to address key AML/CFT and Fraud risks in the Agent compliance program. (Including, although not limited to, monitoring, reporting etc.)
• WUCO can verify the frequency of the independent reviews, the name of the qualified party (not involved in the implementation or operation of Agent's compliance program) that performs them, and the date of the last one and ensure it complies with all regulatory requirements. 
</t>
  </si>
  <si>
    <t>This question should be answered "NO" if:
• WUCO cannot verify that the Agent maintains independent testing/Independent Review (of the AML/CFT and fraud controls) that is performed on a regular periodic basis.
• In WUCO's judgment, the scope and coverage of the Agent's independent testing /Independent Review are not adequate to address key AML/CFT and Fraud risks in the Agent compliance program. (Including, although not limited to, monitoring, reporting etc.)
• WUCO cannot verify the frequency of the independent reviews, the name of the qualified party (not involved in the implementation or operation of Agent's compliance program) that performs them, the date of the last one or ensure it complies with all regulatory requirements. 
• The Agent performs only a financial audit as evidence of compliance, (unless it includes an AML Compliance controls report) since a financial audit does not satisfy the independent review requirement without a report on AML Compliance controls.</t>
  </si>
  <si>
    <t xml:space="preserve">This question should be answered "N/A" if: 
The Agent is categorized as a Master/HQ WUPSIL Agent and solely relies on WU’s AML/CFT Program, because they are not required by law to have an AML/CFT Program.
</t>
  </si>
  <si>
    <t>DOCUMENT REQUIRED: AML/CFT and Anti-Fraud: (Independent Review Frequency): Answer by reviewing Agent's P&amp;Ps and confirm the IR frequency (Yearly, every 6 months, etc).</t>
  </si>
  <si>
    <t>This question should be answered "N/A" if: 
• The Agent's most recent Independent Review did not reveal deficiencies. 
• The Agent has not yet performed an independent review.</t>
  </si>
  <si>
    <t xml:space="preserve"> DOCUMENT REQUIRED Independent Review: Answer by reviewing Agent's Independent Review prior the call or during the review.
1) Were there any deficiencies identified in the previous IR that you needed to correct?
2) How were those deficiencies corrected?</t>
  </si>
  <si>
    <t xml:space="preserve">Does a review of transactions show no or minimal Data integrity issues including invalid, illegible, incomplete, missing, or conflicting biographical data for consumers or recipients of money transfers (Specifically: Names, Addresses, Telephone Numbers and Identifications)? 
</t>
  </si>
  <si>
    <t xml:space="preserve">This question should be answered "YES" if:
WUCO, upon review of  the primary KYC fields that are required in this Agent’s country, is able to confirm that there are minimal or NO Data integrity issues including  "blanks” or data inconsistencies.  
Notes: 
• The WUCO must review 5 locations (if the Agent has less than 5 locations capture the entire network). 
• Examples of data inconsistency include, but are not limited to, alpha characters in a numeric field or numeric characters in an alpha field; clear violations/evasions of data integrity rules deployed in this country. 
The data sample size of past transaction data is defined by regional guidance.
</t>
  </si>
  <si>
    <t xml:space="preserve">This question should be answered "N/A" if: 
• Data Integrity Analysis does not apply to the Agent, based on the type of product offered.  
• Agent did not process any transactions during the review period. 
Note: "If N/A" is selected, a comment in the following Free Text question must be added explaining why it does not apply. </t>
  </si>
  <si>
    <t xml:space="preserve">If the answer to the previous question is "Yes" or “No”, provide your Data Integrity Tool summary (include an overall reason for discussion, Agent response, WUCO recommendation and action required). 
If the answer to the previous question is "N/A", provide a detailed explanation for why Data Integrity Analysis does not apply to this Agent.  </t>
  </si>
  <si>
    <t xml:space="preserve">The intent of the DIT Analysis summary is not to provide a detailed summary of each location (Analysis), but rather provide an overall summary. </t>
  </si>
  <si>
    <t>1)What is being found? 2) Agent's response to that? 3) Recommendation to the Agent 4) Finding or No Finding assigned Although the report brought up results associated with address inconsistencies, the agent explained that the location is in a rural area and there are no street names or apartment numbers; therefore, no significant questionable activity was detected. Although the report brought up results associated with address inconsistencies, the agent explained that the location is in a rural area and there are no street names or apartment numbers. Regarding senders showing more than one ID, after reviewing the report it was noticed that they are different type and different number; therefore, no significant questionable activity was detected.</t>
  </si>
  <si>
    <t xml:space="preserve">Does the Agent have a documented Know Your Customer/ Customer Identification Program (aligned with local regulation)? </t>
  </si>
  <si>
    <t>This question should be answered "YES" if:
WUCO was able to confirm the Agent 's KYC/CIP program as outlined in their policies and procedure include the following:
• Description of the requirements for approving an account and reasons for not opening or closing an account. 
• Description of the identification requirements and verification process for individuals that are aligned to local regulatory requirement.
• Description of the verification process to confirm beneficial ownership or controlling person details.
• Description of customer due diligence and enhanced due diligence process.
• Description of Agent's customer risk assessment process or any criteria set forth by Agent to define a specific category of customers as higher risk or deviating from the standard customer profile, as determined by Agent.
• Confirmation that the policy or procedures include requirements to check names of the business, authorized users, signing officers, and owners against relevant Government/Economic Sanction Lists.
• Confirmation that policy or procedures includes requirements for Politically Exposed Persons (PEP) that are based on local regulatory requirements. 
• Description on the Agent ’s requirements to perform ongoing due diligence and requirements around updating customer records. 
Note: If the WUCO is able to review a sample of the Agent's customer's files, the WUCO determines the Agent's KYC/CIP meets local KYC/CIP requirements. In some cases, the Agent may not share their customers records. In those cases, the WUCO will have to use their judgement when reviewing the documentation and interviewing the Agent's Compliance Officer.</t>
  </si>
  <si>
    <t>This question should be answered "NO" if:
• WUCO cannot confirm the Agent's KYC/CIP policies or procedures meet local regulations. 
• WUCO reviews a sample of Agent customer's files, and determines that the Agent does not comply with local KYC/CIP requirements.</t>
  </si>
  <si>
    <t xml:space="preserve">This question should be answered "N/A" if: 
• The Agent only offers Money Transfer. AND/OR
• The Agent only offers Money Orders. </t>
  </si>
  <si>
    <t>DOCUMENTS REQUIRED AML P&amp;Ps or letter stating that CIP/KYC process is updated in P&amp;Ps: Answered by reviewing Agent's Policies and Procedures document received prior or during the call.</t>
  </si>
  <si>
    <t>DOCUMENTS REQUIRED AML P&amp;Ps: Answered by reviewing Agent's Policies and Procedures document received prior or during the call.</t>
  </si>
  <si>
    <t xml:space="preserve">If the answer to the previous question is "Yes", provide an explicit statement of the inclusion of sections referred to in the question. For any sections deemed not applicable, state why they are not applicable (Soft copy of the policies and procedures or letter provided by the Agent stating that they have updated their CIP/KYC process in their P&amp;P's).
If the answer to the previous question is "No", provide an explicit statement of which sections are missing, and what action will be taken to remediate.
</t>
  </si>
  <si>
    <t>The Agent uses WU's P&amp;Ps: WU P&amp;Ps provided by agent includes all required section and including KYC and CIP (customer identification collection and verification process, CDD and Customer Risk Assessment, customer records updates and customer approval process.
Agent provided their own P&amp;Ps: Agent's P&amp;P’s were provided prior the Compliance Review, all required topics are covered in P&amp;Ps:
-Customer identification collection and verification process.
-Customer Dude Diligence and customer Risk Assessment process.
-Consumer records updates.      
- Customer approval process.  
Agent does not have KYC &amp; CIP Program: The did not provide evidence of the KYC &amp; CIP program in place (-Customer identification collection and verification process.
-Customer Dude Diligence and customer Risk Assessment process.
-Consumer records updates and Customer approval process).</t>
  </si>
  <si>
    <t>Does this Agent have any Sub-Agents?</t>
  </si>
  <si>
    <t>Do you have any sub-agent under your organization?</t>
  </si>
  <si>
    <t>¿Tiene algún sub-agente bajo su organización?</t>
  </si>
  <si>
    <t>Avez-vous des sous-agents dans votre organisation ?</t>
  </si>
  <si>
    <t>Você tem algum subagente baixo sua organização?</t>
  </si>
  <si>
    <t xml:space="preserve">Has the Agent distributed the latest Global Agent Compliance Manual to its Sub-Agents? </t>
  </si>
  <si>
    <t>This question should be answered "YES" if:
WUCO can verify that the Master Agent has distributed the compliance manual to its Sub-Agents.</t>
  </si>
  <si>
    <t>This question should be answered "NO" if:
WUCO is unable to verify that the Master Agent has distributed the compliance manual to its Sub-Agents.</t>
  </si>
  <si>
    <t>DOCUMENTS REQUIRED: 
1. Official letter confirming the distribution of the latest compliance manual to sub-agents.
2. Copy of the email/communication showing the copy of the latest manual attached to it.
Answered by reviewing Agent's Policies and Procedures document received prior or during the call.</t>
  </si>
  <si>
    <t xml:space="preserve">Can the Agent demonstrate that its Sub-Agents have adopted or incorporated and implemented the latest Global Agent Compliance Manual into their Policies and Procedures? 
</t>
  </si>
  <si>
    <t>This question should be answered "YES" if:
• The Sub-Agents have adopted the Manual, and WUCO has obtained and examined a copy of a Sub-Agent customized Global Compliance Manual. 
• The Sub-Agents have incorporated the Manual, and WUCO has obtained and examined a Sub-Agent AML/CFT and Anti-Fraud Policies and Procedures document that shows that the details of the manual have been incorporated. 
• The Agent's policies prohibit viewing of the Sub-Agent's AML/CFT and Anti-Fraud Policies and Procedures document (in any form), but the Agent’s CO/CD has provided: 
     o A supplemental document (i.e., confirming the details of the manual have been incorporated by Sub-Agent).</t>
  </si>
  <si>
    <t xml:space="preserve">This question should be answered "NO" if:
• The Sub-Agents have not adopted the Manual, and/or WUCO has not obtained and examined a copy of the Agent's customized Global Compliance Manual. 
• The Sub-Agent have not incorporated the Manual, and/or WUCO has not obtained and examined the Agent's AML/CFT and Anti-Fraud Policies and Procedures document that shows that the details of the manual have been incorporated. </t>
  </si>
  <si>
    <t>DOCUMENTS REQUIRED Sub agent's AML/CFT and Anti-Fraud P&amp;Ps: Answered by reviewing Sub Agent's Policies and Procedures document received prior or during the call.</t>
  </si>
  <si>
    <t>DOCUMENTS REQUIRED AML and Anti-Fraud P&amp;Ps: Answered by reviewing Agent's Policies and Procedures document received prior or during the call.</t>
  </si>
  <si>
    <t>GS10.GQ4</t>
  </si>
  <si>
    <t>What is the name of the Policy &amp; Procedure document being used by Sub-Agents?</t>
  </si>
  <si>
    <t xml:space="preserve">From the dropdown, select the applicable option: 
• WU Global Agent Compliance Program Manual
• Master Agent Policies and Procedures
• Sub-Agent Policies and Procedures
• None </t>
  </si>
  <si>
    <t xml:space="preserve">From the dropdown, select the applicable option: 
• WU Global Agent Compliance Program Manual
• Master Agent Policies and Procedures
• Sub-Agent Policies and Procedures
• None </t>
  </si>
  <si>
    <t>GS10.GQ5</t>
  </si>
  <si>
    <t xml:space="preserve">How do Sub-Agents access the Agent's AML/CFT &amp; Anti-Fraud Policies and Procedures?  </t>
  </si>
  <si>
    <t>From the dropdown, select the applicable option: 
• Intranet communication
• E-mail communication from headquarters to Store level (Manager, etc.)               
• Newsletters
• Other (including store-level communication) </t>
  </si>
  <si>
    <t xml:space="preserve">From the dropdown, select the applicable option: 
• Intranet communication
• E-mail communication from headquarters to Store level (Manager, etc.)               
• Newsletters
• Other (including store-level communication) </t>
  </si>
  <si>
    <t>GS10.GQ6</t>
  </si>
  <si>
    <t xml:space="preserve">Do the AML/CFT &amp; Anti-Fraud Policies and Procedures used by Sub-Agents meet minimum standards?  </t>
  </si>
  <si>
    <t xml:space="preserve">This question should be answered "YES" if:
WUCO has compared the Agent's P&amp;P document to WU's Global Agent Compliance Manual and determines that it includes, at a minimum, the main components of the AML/CFT and Anti-Fraud Program. AML/CFT P&amp;P requirements can be referenced in question GS4.GQ2. Anti-Fraud P&amp;P requirements can be referenced in question GS4.GQ4. </t>
  </si>
  <si>
    <t xml:space="preserve">This question should be answered "NO" if:
WUCO has compared the Agent's P&amp;P document to WU's Global Agent Compliance Manual and is unable to determine that it includes, at a minimum, the main components of the AML/CFT and Anti-Fraud Program. </t>
  </si>
  <si>
    <t>DOCUMENTS REQUIRED Sub Agent's AML/CFT and Anti-Fraud P&amp;Ps: Answered by reviewing Sub Agent's Policies and Procedures document received prior or during the call.</t>
  </si>
  <si>
    <t>GS10.GQ7</t>
  </si>
  <si>
    <t>If the answer to the previous question is "Yes": Explicit statement of the sections referred to in the questions. For any sections deemed not applicable, state why they are not applicable. 
If the answer to the previous question is "No": Explicit statement of which sections are missing and what action will be taken to remediate.</t>
  </si>
  <si>
    <t xml:space="preserve">Guidance: AML/CFT P&amp;P requirements can be referenced in question GS4.GQ2. Anti-Fraud P&amp;P requirements can be referenced in question GS4.GQ4. </t>
  </si>
  <si>
    <t xml:space="preserve">If the previous anwser is YES: 
WUCO has compared the Agent's P&amp;P document to WU's Global Agent Compliance Manual and determines that it includes, at a minimum, the main components of an AML/CFT Program as well as the following WU minimum standards: 
     o AML Compliance Organization 
     o KYC Program including collection of consumer identification as required
     o Transaction Monitoring Program
     o Regulatory reporting requirements
     o Escalation of compliance issues to the Agent CO as necessary
     o Management of consumers demonstrating suspicious behavior
     o Filing of SARs/STRs with authorities as appropriate
     o Compliance Training Program (including initial, ongoing and testing of knowledge)
     o Recordkeeping/Record Retention Policy that complies with WU record retention timelines and applicable legal requirements, including the safe and secure storage of transaction records and sensitive consumer data. 
     o Quality assurance and testing (Independent Reviews if applicable)
     o If applicable, the compliance policies and procedures also include Sub-Agent oversight. 
************************
If the previous anwser is NO: The Agent's Policies &amp; Procedures do not contain (or do not properly explain) one or more of the following items:
</t>
  </si>
  <si>
    <t>GS10.GQ8</t>
  </si>
  <si>
    <t>Can the Agent demonstrate that its AML/CFT &amp; Anti-Fraud Policies and Procedures for Sub-Agent Oversight include WU minimum standards and sections addressing all topics required in their jurisdiction?</t>
  </si>
  <si>
    <t>This question should be answered "YES" if:
• WUCO can confirm that the Agent's policy states that the Sub-Agent must:  
     o Collect consumer information in compliance with WU standards and local law;
     o Comply with minimum recordkeeping requirements, including keeping the records of FLA identities; 
     o  Report suspicious activity to the Agent, and, as required, to the local authorities;
     o Train FLAs before they may conduct transactions; and
     o Designate a Compliance Officer.
• There are any deviations from these bulleted points in the policy/contract which the WUCO deems to be acceptable omissions, clearly explain why they are acceptable. 
Note: If the AML/CFT or Anti-fraud P&amp;P does not exist, this question should be answered "No".</t>
  </si>
  <si>
    <t>This question should be answered "NO" if:
• WUCO cannot confirm that all the bulleted points are included in the policy.
• The AML/CFT or Anti-Fraud P&amp;P does not exist, this question should be answered "No".</t>
  </si>
  <si>
    <t xml:space="preserve">This question should be answered "N/A" if:
The Agent being reviewed is an MNO, DMA or ABMT Agent.
</t>
  </si>
  <si>
    <t>DOCUMENTS REQUIRED AML/CFT and Anti-Fraud policies and procedures or a written statement confirming that their policy for Sub-Agent Oversight includes all requirements: 
Answered by reviewing Agent's Policies and Procedures document received prior or during the call.</t>
  </si>
  <si>
    <t>GS10.GQ9</t>
  </si>
  <si>
    <t>Can the Agent demonstrate that it is performing program reviews of Sub-Agents to validate compliance with program requirements?</t>
  </si>
  <si>
    <t>This question should be answered "YES" if: 
•WUCO is able to confirm that the Agent performs periodic reviews of each of its Sub-Agent's compliance programs to ensure:  
     o That the Sub-Agent understands their compliance obligations. 
     o Compliance with recordkeeping requirements;
     o Sub-Agent and FLAs complete training before they may conduct WU transactions; 
     o Sub-Agents and FLAs complete ongoing training before they may continue to conduct WU transactions.
     o A Compliance Officer has been designated.
     o The Sub-Agent has an up-to-date copy of the Global Agent Compliance Program Manual. 
AND to:
     o Collect consumer information in compliance with WU standards and local law;
    o Report suspicious activity to the Agent, and, as required, to local authorities;
Note: 
• WUCO needs to review the nature and extent of the reviews to verify that all Sub-Agents have been included. 
• WUCO may also: 
     o Check to see that the Agent periodically visits its Sub-Agent's locations. 
     o Discuss the selection method by which Agent samples locations to review among its Sub-Agent population.</t>
  </si>
  <si>
    <t>This question should be answered "NO" if:
WUCO cannot confirm that the Agent performs periodic reviews of each of its Sub-Agent's compliance programs.</t>
  </si>
  <si>
    <t>DOCUMENTS REQUIRED Program Reviews / Visits Cronogram to Sub-Agents: Answered by reviewing the documents prior or during the call.</t>
  </si>
  <si>
    <t>DOCUMENTS REQUIRED Program Reviews to Sub-Agents: Answered by reviewing the documents prior or during the call.</t>
  </si>
  <si>
    <t>GS10.GQ10</t>
  </si>
  <si>
    <t>How frequently does the Agent perform program review visits to selected Sub-Agent locations?</t>
  </si>
  <si>
    <t xml:space="preserve">From the dropdown, select the applicable option: 
• Quarterly
• Semi-Annually
•Annually 
• Other </t>
  </si>
  <si>
    <t>From the dropdown, select the applicable option: 
• Quarterly
• Semi-Annually
•Annually 
• Other</t>
  </si>
  <si>
    <t>GS10.GQ11</t>
  </si>
  <si>
    <t xml:space="preserve">If the previous question was answered “Other,” please explain: </t>
  </si>
  <si>
    <t>If the previous question was answered “Other,” please explain:</t>
  </si>
  <si>
    <t>GS10.GQ12</t>
  </si>
  <si>
    <t>Does the Agent suspend or terminate Sub-Agents for non-compliance identified through oversight activities?</t>
  </si>
  <si>
    <t>This question should be answered "YES" if: 
WUCO can verify that the Agent escalates noncompliant Sub-Agents to WU for suspension/termination.</t>
  </si>
  <si>
    <t>This question should be answered "NO" if: 
The Agent oversight and monitoring evidence includes noncompliant Sub-Agents for whom there is no escalation.</t>
  </si>
  <si>
    <t>DOCUMENTS REQUIRED AML/CFT P&amp;Ps include suspension and termination guidelines for non-compliant Sub-Agents.: Answer by reviewing the documents prior or during the call.</t>
  </si>
  <si>
    <t>DOCUMENTS REQUIRED Agent Oversight and Monitoring Evidence: Answer by reviewing the documents prior or during the call.</t>
  </si>
  <si>
    <t>GS10.GQ13</t>
  </si>
  <si>
    <t>Can the Agent demonstrate that it confirms that its Sub-Agents are licensed or registered, as required, before  it enters into a Sub-Agent agreement?</t>
  </si>
  <si>
    <t>This question should be answered "YES" if: 
WUCO can verify that the Agent, prior to signing, confirms that their Sub-Agents are legally licensed (or at least registered) to operate in their region.</t>
  </si>
  <si>
    <t>This question should be answered "NO" if:
WUCO cannot verify that the Agent, prior to signing, confirmed that the Sub-Agents are legally licensed (or at least registered) to operate in their region.</t>
  </si>
  <si>
    <t>This question should be answered "N/A" if: 
The Agents Sub-Agents are not required to be licensed or registered.</t>
  </si>
  <si>
    <t>DOCUMENTS REQUIRED AML/CTF policies and procedures include licensing and registration requirements for Sub-Agents, or a confirmation stating that this process is performed by Western Union: Answer by reviewing the documents prior or during the call.</t>
  </si>
  <si>
    <t>DOCUMENTS REQUIRED Licensing and Registration Requirements for sub-agents: Answer by reviewing the documents prior or during the call.</t>
  </si>
  <si>
    <t>GS10.GQ14</t>
  </si>
  <si>
    <t>Can the Agent demonstrate that it performs due diligence on its Sub-Agents?</t>
  </si>
  <si>
    <t xml:space="preserve">This question should be answered "YES" if: 
WUCO can confirm that the Agent has a process for performing Sub-Agent due diligence that includes the following points:  
1. To conduct proper due-diligence, the Agent must, at a minimum, collect the following information from the Sub-Agent owners and at least one senior level manager and make this information available to WU: 
• first and last name(s); 
• city and country of residence; 
• date(s) of birth; 
• country of birth; 
• identification date of issuance; 
• identification expiration date; and
• identification number. 
2. It is expected that the Agent ensure that all Sub-Agents class of trade or industry is not prohibited (Described in the Agent manual) and their owners and directors are not subject to applicable sanctions, (including those maintained by OFAC and the United Nations). </t>
  </si>
  <si>
    <t xml:space="preserve">This question should be answered "NO" if:
WUCO cannot confirm that the Agent has a process for performing Sub-Agent due diligence that includes the following points: 
1.To conduct proper due-diligence, the Agent must, at a minimum, collect the following information from the Sub-Agent owners and at least one senior level manager and make this information available to WU: 
• first and last name(s); 
• city and country of residence; 
• date(s) of birth; 
• country of birth; 
• identification date of issuance; 
• identification expiration date; and
• identification number. 
2. It is expected that the Agent ensure that all Sub-Agents class of trade or industry is not prohibited (Described in the Agent manual) and their owners and directors are not subject to applicable sanctions, (including those maintained by OFAC and the United Nations). </t>
  </si>
  <si>
    <t>DOCUMENTS REQUIRED Due Diligence process on Sub-Agents: Answer by reviewing the documents prior or during the call.</t>
  </si>
  <si>
    <t xml:space="preserve">This question should be answered "N/A" if:
The Agent does not offer Money Transfer sends.
</t>
  </si>
  <si>
    <t>1. How do you know or where do you see how much to charge a customer for a send transaction? 
2. Is there any additional fees?</t>
  </si>
  <si>
    <t>1. Como você sabe quanto cobrar a um cliente por uma transação de envio?
2. Existe alguma taxa adicional?</t>
  </si>
  <si>
    <t xml:space="preserve">This question should be answered "N/A" if: 
The Agent does not offer Money Transfer payouts. </t>
  </si>
  <si>
    <t>1. How do you know how much to pay a customer when paying out a money transfer? 
2. Is there any additional fees to charge?</t>
  </si>
  <si>
    <t>1. Como você sabe quanto pagar a um cliente ao pagar uma transferência de dinheiro?
2. Existe alguma taxa adicional a ser cobrada?</t>
  </si>
  <si>
    <t>Do the Agent and it's Sub-Agent, if any, have a documented policy in place for collecting and maintaining records regarding the identities of Agent and any Sub-Agent FLAs?</t>
  </si>
  <si>
    <t>The answer should be answered "YES" if:  
WUCO can confirm that the Agent, and it's Sub-Agents, if any, have a policy for collecting, and maintaining records regarding the identities of Agent and any Sub- Agent FLAs using reliable, independent source documents, data, or information such as a government-issued or other identification documents acceptable in the country, and safeguarding of the same.
**Note: The FLA policy can either be a stand-alone document or part their compliance policies and procedures.</t>
  </si>
  <si>
    <t xml:space="preserve">This question should be answered "NO" if:
The Agent, and it's Sub-Agents, if any, cannot confirm that they have adopted and implemented policies and procedures for collecting, and maintaining records regarding the identities of Agent and any Sub- Agent FLAs. </t>
  </si>
  <si>
    <t>DOCUMENTS REQUIRED: Evidence that the Agent and Sub-Agents, if any, have implemented policies and procedures that include the collection, maintenance of Agent and any Sub-Agent FLA identities
Answered by reviewing Agent's Policies and Procedures and/or ID Policy Addendum received prior or during the call.</t>
  </si>
  <si>
    <t>DOCUMENTS REQUIRED AML P&amp;Ps containing the ID Policy (Addendum): Answered by reviewing Agent's Policies and Procedures and/or ID Policy Addendum received prior or during the call.</t>
  </si>
  <si>
    <t>The Agent and it's Sub-Agents, if any, do not comply with retention period requirements for paper records (i.e., receipts) under local regulation or according to WU standards, whichever is more stringent.</t>
  </si>
  <si>
    <t>• WUCO confirms that the Agent and it's Sub-Agents, if any, are able to describe the required retention period for all paper records as described in the “TWUC Information Governance Retention Schedule.” 
• All transaction forms, and compliance records related to WU products and services that are created or handled by the Agent must be retained for the longer of either:
     o (i) the legally required number of years from the date of the transaction in the jurisdiction where the Agent operates; or 
     o (ii) for ten (10) years 
• WUCO can confirm the applicable legal retention periods, or can advise Agent that they may contact WU Records Management department at wurecordsmanagement@westernunion.com to confirm.</t>
  </si>
  <si>
    <t xml:space="preserve">This question should be answered "NO" if:
• WUCO confirms that the Agent and it's Sub-Agents, if any, are unable to describe the required retention period for all records.
**Note: WUCO can confirm the applicable legal retention periods, or can advise Agent that they may contact WU Records Management department at wurecordsmanagement@westernunion.com to confirm. </t>
  </si>
  <si>
    <t>Have there been any new changes in regulatory requirements affecting the payout process that may impact the amount paid to costumers? (i.e. new tax, new fees or payout amount split)</t>
  </si>
  <si>
    <t>This question should be answered "YES" if:
WUCO verifies with the Agent that there have been new changes in regulatory requirements affecting the payout process that may impact the amount paid to consumers (i.e., new tax, new fees, or payout amount split).</t>
  </si>
  <si>
    <t>This question should be answered "NO" if:
• The WUCO does not identify any new changes in regulatory requirements affecting the payout process.
• The Agent states there have not been any changes in regulatory requirements affecting the payout process. 
**Note: Unless complaints are submitted against the Agent, the only way to verify this during a Program Review is by asking the Agent directly if there have been changes in regulatory requirements. This is enough to justify answering "NO" to this question.</t>
  </si>
  <si>
    <t>This question should be answered "N/A" if:
The Agent does not offer Money Transfer payouts.</t>
  </si>
  <si>
    <t>DOCUMENT REQUIRED IF YES: Documentation that includes a description of the requirement and reference to the regulation or law to confirm the impact on paid transactions.  
Have there been any new changes in regulatory requirements affecting the payout process that may impact the amount paid to costumers? (i.e. new tax, new fees or payout amount split)</t>
  </si>
  <si>
    <t>¿Ha habido nuevos cambios en los requisitos regulatorios que afecten el proceso de pago y que puedan afectar el monto pagado a los clientes? (es decir, nuevos impuestos, nuevas tarifas o división del monto del pago)</t>
  </si>
  <si>
    <t>Y a-t-il eu de nouveaux changements dans les exigences réglementaires affectant le processus de paiement et susceptibles d'avoir un impact sur le montant payé aux clients ? (c'est-à-dire nouvelle taxe, nouveaux frais ou partage du montant du paiement)</t>
  </si>
  <si>
    <t>This question should be answered “YES” if:
• The Agent has adopted Western Union’s Consumer Protection Program, or;
• WUCO has confirmed that the Agent's custom Consumer Protection Program or supplemental policies or procedures align with Western Union’s Consumer Protection Program and satisfy local regulatory requirements as applicable (see regional guidance below).
• For agents located in the US:
o If the WUCO can determine that the agent’s custom Consumer Protection Program includes, at a minimum:
     • Guidance related to prepayment disclosures,
     • Transaction receipts,
     • Error resolution,
     • Cancellation and refunds,
     • Unfair, Deceptive or Abusive Acts or Practices (UDAAP).
**Note: If answered “YES” because the Agent has adopted Western Union’s Consumer Protection Program, indicate this in a comment.</t>
  </si>
  <si>
    <t>This question should be answered “NO” if:
• Agent has not adopted Western Union’s CPP, or;
• Agent did not provide WUCO with a copy of their custom Consumer Protection Program or supplemental policies or procedures, or;
• WUCO determines (via onsite review or response to referral as described in Front Office Action) that the Agent's Consumer Protection Program or supplemental policies or procedures do not align with Western Union’s Consumer Protection Program or satisfy local regulatory requirements as applicable. (REFER TO DODD-FRANK)</t>
  </si>
  <si>
    <t>This question should be answered “NA” if:
• The agent is NOT located in any of the following jurisdictions: US, Philippines, EUCIS. EUCIS-based entities include, but are not limited to, WUPSIL, WUPSGL, and WUIB entities.</t>
  </si>
  <si>
    <t>DOCUMENTS REQUIRED Consumer Protection Program: Answer by reviewing Agent's Policies and Procedures document received prior or during the call.</t>
  </si>
  <si>
    <t>Do the Agent and it's Sub-Agents, if any, securely dispose of all paper records after the retention period is reached (i.e., shredding)?</t>
  </si>
  <si>
    <t>This question should be answered "YES" if: 
WUCO confirms that the Agent and it's Sub-Agents, if any, are disposing of all documents appropriately (e.g., by shredding) after the retention period is reached.</t>
  </si>
  <si>
    <t>This question should be answered "NO" if:
WUCO confirms that the Agent and it's Sub-Agents, if any, are NOT disposing of all documents properly after the retention period is reached.</t>
  </si>
  <si>
    <t>GS12.GQ4</t>
  </si>
  <si>
    <t>Do the Agent and it's Sub-Agents, if any, delete electronic records after the retention period is reached?</t>
  </si>
  <si>
    <t xml:space="preserve">This question should be answered "YES" if: 
WUCO confirms that the Agent and it's Sub-Agents, if any, are deleting all electronic records after the retention period is reached. </t>
  </si>
  <si>
    <t>This question should be answered "NO" if:
WUCO confirms that the Agent and it's Sub-Agents, if any, are NOT deleting all electronic records after the retention period is reached.</t>
  </si>
  <si>
    <t>This question should be answered "N/A" if:
The Agent and it's Sub-Agents, if any, do not store records electronically.</t>
  </si>
  <si>
    <t>GS2.RQ1</t>
  </si>
  <si>
    <t>PREWORK &amp; GENERAL QUESTIONS</t>
  </si>
  <si>
    <t>For the state of XXX there are some state requirements you need to have.
Do you have them?
Can you please read what the notices states?
OR IF AGENT IS AT THE STORE, can you read to me what the sign says?</t>
  </si>
  <si>
    <t>POLICIES AND PROCEDURES</t>
  </si>
  <si>
    <t xml:space="preserve">Let’s say something happens and the documents get damaged,stolen, or lost before they reach the 5 year period. Do you know who to contact to report this?                                                                                                                                                  (they have to contact either agent support or the AE) </t>
  </si>
  <si>
    <t>Does the Agent know where to direct a customer for privacy questions and inquiries?</t>
  </si>
  <si>
    <t>GS5.RQ3</t>
  </si>
  <si>
    <t xml:space="preserve">This question should be answered "YES" if:
• WUCO confirms that the date of the last review/approval was in the past 12 months.  To confirm the date, WUCO must identify:
     - The most current date of approval on the Agent's Policies &amp; Procedures manual (date should be within the past 12 months of the current review date).
     - List of revision dates from the Agent Compliance Officer.  
NOTE: If the Agent's internal policy does not allow WUCO to review, WUCO must obtain letter confirming the last revision date from the Agent's Compliance Officer .    </t>
  </si>
  <si>
    <t>This question should be answered "NO" if: 
WUCO confirms that:
• The last revision date of the Agent's Policies &amp; Procedures manual is more than 12 months prior to the date of the review.
• The Agent has never reviewed and/or updated their company's AML Policies &amp; Procedures and they have been an Agent for more than 12 months.</t>
  </si>
  <si>
    <t>This question should be answered "N/A" if:
• Agent does not have Policies &amp; Procedures.</t>
  </si>
  <si>
    <t xml:space="preserve">DOCUMENTS REQUIRED Updated (Yearly) P&amp;Ps: Answer by reviewing Agent's Policies and Procedures prior or during the call. </t>
  </si>
  <si>
    <t>Are the Agent's training records available for Western Union to review?</t>
  </si>
  <si>
    <t>This question should be answered "YES" if:                                                                                                
WUCO has examined the agent's training records (training logs, copies of completed quizzes, etc.).</t>
  </si>
  <si>
    <t>This question should be answered "NO" if:                                                                                                
WUCO has NOT been able to examined the agent's training records (training logs, copies of completed quizzes, etc.).</t>
  </si>
  <si>
    <t>TRAINING</t>
  </si>
  <si>
    <t xml:space="preserve">DOCUMENT REQUIRED Training Log/LMS: This question will be answered based on training records (training logs, copies of completed/graded quizzes and/or Training Log documentation. </t>
  </si>
  <si>
    <t>GS7.RQ1</t>
  </si>
  <si>
    <t>This question should be answered "YES" if:  
•The Agent CO (or their delegate, if applicable) is able to demonstrate to WUCO that they have active BSA E-filing credentials; AND 
• The Agent can demonstrate how to use the E-Filing system. 
NOTE: The simplest way to confirm this is by having the Agent log in to the E-Filing system during the review, and then asking them to show you how they would perform the necessary tasks (such as filing a SAR or submitting their MSB registration).</t>
  </si>
  <si>
    <t>This question should be answered  "NO" if: 
The Agent is unable to satisfy all conditions set forth above (having active credentials; being able to access the system and demonstrate how to use it).</t>
  </si>
  <si>
    <t>REPORTING</t>
  </si>
  <si>
    <t xml:space="preserve">Do you have access to the BSA E-Filling system?
IF NO, I will send the steps you need to follow for registration and send me proof.
IF YES, Could you please send registration proof?
 Like the confirmation  email you got when you registered
OR access the system and send a screen shot showing you are logged in. </t>
  </si>
  <si>
    <t>Does the Agent dispose of all documents appropriately (e.g. shredding)?</t>
  </si>
  <si>
    <t>This question should be answered "Yes" if: 
WUCO confirms that the Agent is disposing of all documents appropriately (e.g., by shredding).</t>
  </si>
  <si>
    <t>This question should be answered "NO" if: 
WUCO confirms that the Agent is NOT disposing of all documents properly.</t>
  </si>
  <si>
    <t>RECORDKEEPING</t>
  </si>
  <si>
    <t>Once the documents reach the 5 year period, what do you do with them? How do you get rid of the AML documents?</t>
  </si>
  <si>
    <t>Date of Interview</t>
  </si>
  <si>
    <t>GS9.RQ2</t>
  </si>
  <si>
    <t>This question should be answered "NO" if:  
WUCO confirms that  the Agent is NOT able to provide properly completed Money Order Logs for single sales of $3 or more  identified by WUCO during transaction analysis.</t>
  </si>
  <si>
    <t>This question should be answered "N/A" if: 
•Transaction Analysis (CMOR) did not reveal any MO sales for which a Money Order Log should have been created.</t>
  </si>
  <si>
    <t xml:space="preserve">DOCUMENT REQUIRED CMOR or No Results Template created by WUCO. </t>
  </si>
  <si>
    <t>Interviewee Name and email address and/or Fax</t>
  </si>
  <si>
    <t>Attach Finding Letter when the overall level assigned to the case is "With Findings or higher".
Note:  If no findings are assessed in the interview, please attach the email sent to the GFO manager explaining that there were no findings.</t>
  </si>
  <si>
    <t>If the overall level assigned to the case is "With Findings" or higher, WUCO must attach a copy of the Findings letter and enter "Attached" in the free text field.</t>
  </si>
  <si>
    <t>If  the overall level assigned to the case is No Findings, WUCO must attach the email  sent to GFO manager explaining that there were no findings and enter "Not Attached" in the free text field.</t>
  </si>
  <si>
    <t>Attach Finding Letter email sent to the agent or proof of mailing  (i.e. photo of envelope) that was sent to the agent when the overall level assigned to the case is "With Findings or higher".
If no findings are assessed in the interview, please attach the email sent to the GFO manager explaining that there were no findings.</t>
  </si>
  <si>
    <t>If  the overall level assigned to the case is "With Findings" or higher, WUCO must attach a copy of the Finding Letter email sent to the agent or proof of mailing (i.e. photo of envelope) that was sent to the agent and enter "Attached" in the free text field.</t>
  </si>
  <si>
    <t>If the overall level assigned to the case is "No Findings", WUCO must attach the email  sent to GFO manager explaining that there were no findings and enter "Not Attached" in the free text field.</t>
  </si>
  <si>
    <t>Has the Agent completed all action items arising from regulatory or law enforcement referrals which were due on or before the date of the present review?</t>
  </si>
  <si>
    <t>This question should be answered "YES" if: 
•  The WUCO reviews all action items arising from regulatory review findings or law enforcement referrals issued to the Agent and determines that no action items assigned to the Agent are overdue.</t>
  </si>
  <si>
    <t>This question should be answered "NO" if:
WU CO finds that, after reviewing the past 12 months of the location case history, the Agent has overdue outstanding action items connected with regulatory review findings or law enforcement referrals.</t>
  </si>
  <si>
    <t>This question should be answered "N/A" if:  
• No regulatory review findings or law enforcement referrals pertaining to this location have been issued since the last completed program review; or, if there have been any such findings or referrals, none resulted in the location being assigned any action items.
 • The Agent has outstanding action items connected with regulatory review findings or law enforcement referrals, but these action items are not yet past due.
 • The Agent did not provide the documentation due to regulatory restriction.</t>
  </si>
  <si>
    <t>If answer is N/A:  Provide brief statement of justification</t>
  </si>
  <si>
    <t>This question should be answered "N/A" if: 
• No regulatory review findings or law enforcement referrals pertaining to this location have been issued since the last completed program review; or, if there have been any such findings or referrals, none resulted in the location being assigned any action items.
 • The Agent has outstanding action items connected with regulatory review findings or law enforcement referrals, but these action items are not yet past due.
 • The Agent did not provide the documentation due to regulatory restriction.</t>
  </si>
  <si>
    <t>GS2.GQ3</t>
  </si>
  <si>
    <t>Has the Agent completed all action items arising from WU internal referrals (e.g. from FIU or FRM) which were due on or before the date of the present review?</t>
  </si>
  <si>
    <t xml:space="preserve">This question should be answered "YES" if:
The WUCO has reviewed all WU internal referrals for this location (issued since the date of the most current prior program review) and determined that all have been satisfactorily resolved.   </t>
  </si>
  <si>
    <t xml:space="preserve">This question should be answered "NO" if: 
The WUCO has reviewed all WU internal referrals for this location since the date of the most recent prior program review and determined that NOT all have been satisfactorily resolved.      </t>
  </si>
  <si>
    <t>This question should be answered "N/A" if: 
• No WU internal referrals pertaining to this location have been issued since the last completed program review; 
OR
 • There have been referrals, but none have resulted in the Agent being assigned any action items.
OR
 • The Agent has outstanding action items connected with internal referrals, but these action items are not yet past due.
OR 
 • The Agent did not provide the documentation due to regulatory restriction.</t>
  </si>
  <si>
    <t>GS2.GQ4</t>
  </si>
  <si>
    <t>If answer is NO: Provide a brief description of the deficiency. If answer is N/A:  Provide brief statement of justification</t>
  </si>
  <si>
    <t>No WU internal referrals pertaining to this location have been issued since the last completed program review;
OR
 • There have been referrals, but none have resulted in the Agent being assigned any action items.
OR
 • The Agent has outstanding action items connected with internal referrals, but these action items are not yet past due.
OR
 • The Agent did not provide the documentation due to regulatory restriction.</t>
  </si>
  <si>
    <t>GS2.GQ5</t>
  </si>
  <si>
    <t>Has the Agent cleared all findings from the most recent prior program review?</t>
  </si>
  <si>
    <t>This question should be answered "YES" if:
•  WU CO has checked the most recent previous compliance program review document and has ensured that all deficiencies have been resolved.  </t>
  </si>
  <si>
    <t>This question should be answered "No" if:
•  WU CO has checked the most recent previous compliance program review document and was unable to confirm that all deficiencies have been resolved.  </t>
  </si>
  <si>
    <t>This question should be answered "N/A" if:
• No deficiencies identified during previous review or
• No previous reviews have taken place in the past 3 years.</t>
  </si>
  <si>
    <t>GS2.GQ6</t>
  </si>
  <si>
    <t>If question is answered YES, and the total occurrences in the Findings Tab indicates repeat Findings, provide a brief justification for the apparent discrepancy.  If question is answered NO, provide most recent prior case number and the repeat findings.  If question is answered N/A provide brief statement of justification.</t>
  </si>
  <si>
    <t>Please elaborate…</t>
  </si>
  <si>
    <t>GS2.GQ7</t>
  </si>
  <si>
    <t xml:space="preserve">This question should be answered "YES" if:
• The name, address, and telephone number (all three) match to the same fields as listed in WU records.  
In an onsite review, the name and address may be observed by the WUCO.  In a telephone review, the name and address confirmation must be provided by the agent representative.       </t>
  </si>
  <si>
    <t>This question should be answered "No" if:
• One or more items listed do not match WU records.</t>
  </si>
  <si>
    <t xml:space="preserve">Please confirm the locations' name and address? </t>
  </si>
  <si>
    <t>GS2.GQ8</t>
  </si>
  <si>
    <t>"This question should be answered ""Yes"" if:
WUCO confirms the accuracy of the information stored in WU systems."</t>
  </si>
  <si>
    <t>This question should be answered "NO" if:  
• WU CO's comparison of the ownership details (collected during the interview) do not match WU records (AS4 data, IWatch, or local system).  List which system has been checked for comparison.
Note:  Some Agent information in the AS4 provides only the agent name not the owner name.</t>
  </si>
  <si>
    <t>Please confirm the ownership details of the location?</t>
  </si>
  <si>
    <t>Is there evidence that appropriate name scanning against sanctions lists and customer identification collection is being done?</t>
  </si>
  <si>
    <t>This question should be answered "YES" if:  
•WUCO confirms that the Agent can adequately demonstrate that consumers who purchase MO are being scanned against required sanctions lists. 
NOTE: WUCO is not required to complete an audit of the  screening process.</t>
  </si>
  <si>
    <t xml:space="preserve">This question should be answered "No" if: WUCO confirms that a screening program to ensure that  consumers who purchase MO are being scanned against required sanctions lists has NOT been implemented </t>
  </si>
  <si>
    <t>This question should be answered "N/A" if: 
The Agent does not sell MO</t>
  </si>
  <si>
    <t>GS2.GQ9</t>
  </si>
  <si>
    <t>If the answer to this question is NO, provide a brief explanation of the discrepancy with an explicit list of the WU systems reviewed.</t>
  </si>
  <si>
    <t>Please elaborate if answer is NO.</t>
  </si>
  <si>
    <t>GS2.RQ2</t>
  </si>
  <si>
    <t>Does the Agent collect sufficient customer identification?</t>
  </si>
  <si>
    <t>This question should be answered "Yes" if: 
WUCO confirms that the Agent can adequately demonstrate that consumers who purchase MO are being identified as per requirements. 
NOTE: WUCO should verify MO sales in CMOR to validate information provided by the Agent.</t>
  </si>
  <si>
    <t xml:space="preserve">This question should be answered "No" if: 
WUCO confirms that identification is NOT being captured as per requirements. </t>
  </si>
  <si>
    <t>GS2.GQ10</t>
  </si>
  <si>
    <t>This question should be answered "Yes" if: 
The COT recorded in WU records is accurate.</t>
  </si>
  <si>
    <t xml:space="preserve">This question should be answered "NO" if: 
• The COT does not match internal WU records. </t>
  </si>
  <si>
    <t>GS2.RQ3</t>
  </si>
  <si>
    <t>Have the following additional changes been advised to WU by the network CO: 
• Changes in the home address of officers, directors and Compliance Officers (as provided on the Appendix D3)
• Changes in Identification information (as provided on the Appendix D1 or D3)
• Changes to the business name (as provided on the Appendix D2)
• New/additional Officers or Directors who have oversight of the Western Union contract in Quebec.</t>
  </si>
  <si>
    <t>The Agent is not located in Quebec.</t>
  </si>
  <si>
    <t>GS2.GQ11</t>
  </si>
  <si>
    <t>Does the Agent have a quality assurance program that performs regular and independent testing of the AML/CFT controls?</t>
  </si>
  <si>
    <t>This question should be answered "Yes" if: 
• WUCO can confirm that the Agent has implemented a quality assurance program that requires periodic testing of the AML/CFT Compliance controls, AND                                                                                                   
•WUCO can verify the frequency of the independent reviews, the name of the entity that performs them, and the date of the last one and ensure it complies with all regulatory requirements, AND
• In WUCO's judgment, the scope and coverage of the Agent's independent testing /Independent Review are adequate to address key AML risks in the agent compliance program.  (Including, although not limited to, monitoring, reporting etc.)</t>
  </si>
  <si>
    <t>This question should be answered "NO" if: 
• WUCO cannot confirm that the Agent has implemented a quality assurance program the requires periodic testing of the AML/CFT Compliance controls,  OR
•WUCO cannot verify the frequency of the independent reviews, the name of the party that performs them,  the date of the last one or ensure it complies with all regulatory requirements.  
Note: A financial audit does not satisfy the independent review requirement unless the auditor has issued a report on AML Compliance controls.</t>
  </si>
  <si>
    <t>This question should  be answered "N/A" if:
 The location has offered MO for less than a year 
OR
 the Agent's jurisdiction does not require independent testing.</t>
  </si>
  <si>
    <t xml:space="preserve">Document Required P&amp;Ps: Collect evidence that the compliance policies and procedures adopted by the agent reflect all appropriate independent review guidelines. Independent Review Frequency. </t>
  </si>
  <si>
    <t>GS2.RQ4</t>
  </si>
  <si>
    <t>Upon hire of new employees, can the Agent fully explain appropriate vetting has occurred?  (Submission of employee information to the AMF for security clearance.)</t>
  </si>
  <si>
    <t xml:space="preserve">This question should be answered "YES" if: 
WUCO confirms that employees have been appropriately vetted per the requirements of the MSB Act in Quebec. </t>
  </si>
  <si>
    <t>This question should be answered "NO" if:  
WUCO cannot confirm that the Agent has  submitted  the appropriate documentation to the AMF for vetting of all current employees for vetting and security clearance per provincial regulations.</t>
  </si>
  <si>
    <t>This question should be answered "N/A" if : 
The Agent is not located in Quebec</t>
  </si>
  <si>
    <t>GS2.GQ12</t>
  </si>
  <si>
    <t>If answered N/A: Provide a brief statement of justification</t>
  </si>
  <si>
    <t>The location has offered MO for less than a year
OR
 the Agent's jurisdiction does not require independent testing.</t>
  </si>
  <si>
    <t>FREE TEXT if GS2.GQ11 is answered N/A.</t>
  </si>
  <si>
    <t>GS2.RQ5</t>
  </si>
  <si>
    <t xml:space="preserve">Is a current AMF Certificate of Registration displayed in a conspicuous place. </t>
  </si>
  <si>
    <t>This question should be answered "YES" if: 
WUCO confirms that the Agent has the appropriate AMF  Registration for services provided by Western Union on display</t>
  </si>
  <si>
    <t xml:space="preserve">This question should be answered "NO" if: WUCO confirms that the Agent does NOT display their license so that is  clearly legible in a conspicuous place. </t>
  </si>
  <si>
    <t>GS2.GQ13</t>
  </si>
  <si>
    <t>Is the Independent testing adequately documented showing it properly performed?</t>
  </si>
  <si>
    <t xml:space="preserve"> This question should be answered "YES" if:    
 • WUCO confirms that the Agent has provided a complete copy of the most recent Independent Review.
OR
• Written confirmation from the CO acknowledging that the IR has been conducted by an independent third party; listing the subjects and timeframe covered as well as the name of the reviewer and the date conducted.</t>
  </si>
  <si>
    <t>This question should be answered "NO" if: 
•WUCO confirms that the Agent has not provided a complete copy of the most recent Independent Review.  
Note: A financial audit does not satisfy the independent review requirement unless the auditor has issued a report on AML/CFT Compliance controls.</t>
  </si>
  <si>
    <t>This question should be answered N/A if: 
• The Agent has been active less than a year 
OR 
the Agent's jurisdiction does not require independent testing.
OR
• The question (Does the Agent have a quality assurance program that performs regular and independent testing of the AML/CFT controls? ) has been answered No</t>
  </si>
  <si>
    <t xml:space="preserve">Do you know what an independent review is?
How often do you conduct them?
What is your relationship with the independent reviewer? </t>
  </si>
  <si>
    <t>Is the most recent version of the Agent AML Manual available at the location?</t>
  </si>
  <si>
    <t>This question should be answered "Yes" if:
WUCO can validate that the Agent has the most recent version of the Agent AML Manual, or the Agent has integrated the most recent version into their own Policies and Procedures, either must be available at the location.</t>
  </si>
  <si>
    <t>This question should be answered "No" if:  
Neither the WU provided Agent AML Manual, nor an integrated version reflecting WU's most recent version, is  available at the location</t>
  </si>
  <si>
    <t>GS2.GQ14</t>
  </si>
  <si>
    <t>• The Agent has been active less than a year OR 
the Agent's jurisdiction does not require independent testing. OR
• The question (Does the Agent have a quality assurance program that performs regular and independent testing of the AML/CFT controls?) is answered N/A.</t>
  </si>
  <si>
    <t>FREE TEXT if GS2.GQ13 is answered N/A.</t>
  </si>
  <si>
    <t>Can the Agent appropriately described their process for filing LCTRs?</t>
  </si>
  <si>
    <t>This question should be answered "YES" if:
WUCO confirms that the Agent is able to describe the appropriate steps in LCTR filing when faced with money order transactions totaling $1, or more done by the same customer in a single day.</t>
  </si>
  <si>
    <t>This question should be answered "NO" if: 
WUCO confirms that the Agent is NOT able to describe the appropriate steps in LCTR filing when faced with money order transactions totaling $1, or more done by the same customer in a single day.</t>
  </si>
  <si>
    <t>MONITORING</t>
  </si>
  <si>
    <t>GS2.GQ15</t>
  </si>
  <si>
    <t>This question should be answered "YES" if:                                                                                                    
 •WUCO can verify (either by reviewing supporting documentation or having the Agent CO explain how they addressed the issues) that all key deficiencies noted in the most recent independent review have been addressed and resolved.   
Note:  If only minor deficiencies were noted in the independent review, WUCO must select "YES". WUCO should use professional judgment in assessing criticality of deficiencies noted.</t>
  </si>
  <si>
    <t xml:space="preserve">This question should be answered "No" if: 
•WU CO cannot verify  that all key deficiencies noted in the most recent independent review have been addressed and resolved. </t>
  </si>
  <si>
    <t>This question should be answered "N/A" if: 
•The agent has not yet performed an independent review
 OR
the agent has performed an independent review but no major deficiencies were indentified
OR 
the Agent's jurisdiction does not require independent testing.</t>
  </si>
  <si>
    <t xml:space="preserve">DOCUMENT REQUIRED IR: Were there any deficiencies identified in the previous IR that you needed to correct?
Were those deficiencies corrected? </t>
  </si>
  <si>
    <t>Is the Location completing and retaining MO logs to fully identify sales of $3, or more, to the same customer in a day?</t>
  </si>
  <si>
    <t>This question should be answered "YES" if:  
WUCO inspects the Money order logs and KYC information and confirms their completeness and accuracy</t>
  </si>
  <si>
    <t xml:space="preserve">This question should be answered "NO" if: 
WUCO confirms that the Agent does NOT properly maintain MO records when a sale of $3 or more is made to the same individual in a single day. </t>
  </si>
  <si>
    <t>GS2.GQ16</t>
  </si>
  <si>
    <t xml:space="preserve">  •The agent has not yet performed an independent review
 OR
the agent has performed an independent review but no major deficiencies were identified
OR
the Agent's jurisdiction does not require independent testing.</t>
  </si>
  <si>
    <t>FREE TEXT if GS2.GQ15 is answered N/A.</t>
  </si>
  <si>
    <t xml:space="preserve">Is there evidence that the MO Logs are retained for a minimum of six (6) consecutive years or from Agent Activation (whichever is less)? </t>
  </si>
  <si>
    <t>This question should be answered "YES" if: 
WUCO confirms that the Agent retains the MO Logs for the required time period.</t>
  </si>
  <si>
    <t>This question should be answered "NO" if:
WUCO confirms that the Agent does NOT maintain Money Order documents, including MO Logs,  for a period of six (6) consecutive years.</t>
  </si>
  <si>
    <t>Does each Front Line Agent ("FLA") use only their own User Code to print Money Orders?</t>
  </si>
  <si>
    <t>This question should be answered "YES" if:
•  WU CO determines that, after reviewing  a sample* of transactions conducted at this location, the number of Operator IDs found in the sample is generally consistent with:  
      •  The number of FLAs observed working at the location (in case of an onsite review), OR
      •  The number of FLAs working at the location as communicated by the agent representative (in case of a telephone review)
*Sample size should be at least 2 weeks worth of transactions.</t>
  </si>
  <si>
    <t>This question should be answered "NO" (with this finding) if:
WU CO determines that, after reviewing  a sample* of transactions conducted at this location, the number of Operator IDs found in the sample does not match 
  •  The number of FLAs observed working at the location (in case of an onsite review), OR
  •  The number of FLAs working at the location as communicated by the agent represent representative (in case of a telephone review) but judges that (based on the Agent explanation) the FLAs are sharing Operator IDs and passwords to reduce processing time.</t>
  </si>
  <si>
    <t>This question should be answered "NO" (with this finding) if:
WU CO determines that, after reviewing  a sample* of transactions conducted at this location, the number of Operator IDs found in the sample does not match
•  The number of FLAs observed working at the location (in case of an onsite review), OR
•  The number of FLAs working at the location as communicated by the agent representative (in case of a telephone review) but the agent indicates during the review that FLAs share Operator IDs because they are unwilling to register with Western Union.</t>
  </si>
  <si>
    <t>1) How many operators are authorized to process Money Orders?
2) Does each operator use a unique user ID and password to process MOs?
MAKE SURE YOU VERIFY THE INFO GIVEN BY THE AGENT AGAINST WU SYSTEMS.
Note: IF NOT USING UNIQUE IDs: May I have the full names of the other authorized people?</t>
  </si>
  <si>
    <t>Is the Agent filing LCTR Reports for Money Order Services with Western Union within 24 hours of the transaction?</t>
  </si>
  <si>
    <t>This question should be answered "YES" if: 
WUCO confirms that the Agent is filing LCTRs for Money Order Services with WU within 24 hours of the transaction.</t>
  </si>
  <si>
    <t>This question should be answered "NO" if: WUCO confirms that the Agent is NOT filing LCTRs for Money Order Services with WU within 24 hours of the transaction.</t>
  </si>
  <si>
    <t>Has the Agent updated the authorized operator ID list?</t>
  </si>
  <si>
    <t>This question should be answered "YES" if: 
The active Operator IDs list matches the number and names of  FLAs currently conducting transactions.</t>
  </si>
  <si>
    <t>This question should be answered "No" if:  
The active Operator ID list does not match the number or names of  FLAs currently conducting transactions.</t>
  </si>
  <si>
    <t>Is there any other employee besides the ones provided on the list of users? Should anyone be taken off?</t>
  </si>
  <si>
    <t>Do FLAs know that consumers must be physically present to transact?</t>
  </si>
  <si>
    <t>This question should be answered "YES" if:
In an interview, the FLA confirms that they only conduct transactions when  a consumer is physically present.</t>
  </si>
  <si>
    <t>This question should be answered "NO" (with this finding) if:
In an interview, the FLA is unaware that they may only conduct transactions when a consumer is physically present.</t>
  </si>
  <si>
    <t xml:space="preserve">This question should be answered "NO" (with this finding) if:
In an interview, the FLA indicates that they are aware of the requirement but conducts transactions when no consumers are physically present.         </t>
  </si>
  <si>
    <t xml:space="preserve">Let’s say I am a regular customer who cannot come to the store right now and I call you to ask that you process a Money Order for me, and I will pay for it later. What would you do in a case like this? </t>
  </si>
  <si>
    <t xml:space="preserve">Do employees have access to AML/CFT Compliance policies and procedures at Point of Sale (POS) ? </t>
  </si>
  <si>
    <t xml:space="preserve">The question should be answered YES if:
• WU CO can confirm that the Agent has AML/CFT Compliance procedures available and communicated to all employees. 
  • This communication can include (but is not limited to):
         - Intranet communication
         - E-mail communication.             
         - Newsletters/other store level communication </t>
  </si>
  <si>
    <t>The question should be answered NO if: 
• Employees do not have access to AML/CFT Compliance Policies and Procedures.</t>
  </si>
  <si>
    <t xml:space="preserve">If I were to talk to an FLA and ask for the AML and Anti-Fraud Policies and Procedures, would they know where to find them? </t>
  </si>
  <si>
    <t>Has the Agent designated an AML Compliance Officer/Compliance Delegate?</t>
  </si>
  <si>
    <t xml:space="preserve">This question should be answered "YES" if:
•WUCO is able to confirm that the AML/CFT Compliance Officer/Compliance Delegate position is currently filled and not targeted to be filled at some future date.  (An interim appointment pending the recruitment of a permanent AML/CFT Compliance Officer/Compliance Delegate is sufficient to answer “Yes” to this question.)
or
• Agent is able to provide written documentation of the full name (and title) of the company's designated AML/CFT Compliance Officer/Compliance Delegate during the program review.
or
• WUCO is able to verify that the company has documented a designated Compliance Officer/Compliance Delegate for their AML/CFT program.  (This information is generally found in the company's AML/CFT Compliance  policies and procedures.  However, WUCO can obtain verification from other sources including  a written statement from the company's Board of Directors, e-mail confirmation from the Agent Owner, etc.)      </t>
  </si>
  <si>
    <t>This question should be answered "NO" if:
• WUCO was unable to obtain written confirmation from the Agent that a Compliance Officer/Compliance Delegate has been designated by the company.</t>
  </si>
  <si>
    <t xml:space="preserve">1) Are you the designated Compliance Officer of the location? 2) Are you the compliance officer for any other location(s)? Would please mention some of your main duties and responsibilities as the Compliance Officer of the store?
VERIFY CO DESIGNATION IN P&amp;P/S. </t>
  </si>
  <si>
    <t xml:space="preserve">•If this question is answered YES, provide an explicit statement of Name, Title, and contact information for the designated AML/CFT CO/CD, the areas of responsibility within his/her scope (i.e. AML, CTF or fraud). and which document, photo, or letter was examined and obtained by the WUCO as proof of designation .   • If the question is answered NO, provide brief, detailed statement of deficiency    </t>
  </si>
  <si>
    <t>"If the question is answered with a YES: The CO is XXXXXXXXXX Store’s XXXXXXXXXX (Manager, Owner, etc) and oversees the AML/CTF and Anti-Fraud policies. The document examined by the WUCO is the customized version of the Western Union AML/CFT and Anti-Fraud P&amp;Ps.
If the question is answered with a NO:  The CO is XXXXXXXXXX Store’s XXXXXXXXXX (Manager, Owner, etc) and is in charge of the AML/CTF and Anti-Fraud policies; however, P&amp;Ps were not provided."</t>
  </si>
  <si>
    <t>Is the Agent's Compliance Officer/Compliance Delegate experienced and knowledgeable about AML Compliance?</t>
  </si>
  <si>
    <t xml:space="preserve">This question should be answered "YES" if:
• WUCO concludes that the Compliance Officer/Compliance Delegate demonstrates reasonable awareness of AML/CFT compliance requirements in their jurisdiction.
          • During the interview, WU CO confirms that the Compliance Officer/Compliance Delegate  is knowledgeable in the following areas:    
                       1.  AML/CFT Compliance Program requirements (P&amp;Ps, Employee Training, Monitoring, Independent Review)
                        2.  Suspicious Activity 
                        3.  Terrorist Financing  
         </t>
  </si>
  <si>
    <t xml:space="preserve">This question should be answered "NO" if:
• WUCO determines through their interview with the company's Compliance Officer/Compliance Delegate  that he/she is not experienced or knowledgeable regarding AML/CFT compliance, specifically: 
      1. AML/CFT,  (P&amp;Ps, Employee Training, Monitoring , Independent Review)
        2.  Suspicious Activity 
        3.  Terrorist Financing  
        </t>
  </si>
  <si>
    <t xml:space="preserve">Evaluate the CO's AML and Anti-Fraud knowledge based on the overall program review processed. </t>
  </si>
  <si>
    <t>Are the Agent's Compliance Officer/Compliance Delegate's AML compliance responsibilities clearly documented?</t>
  </si>
  <si>
    <t xml:space="preserve">This question should be answered "YES" if:
•WUCO verifies that the Agent Compliance Officer's/Compliance Delegate's  compliance responsibilities are properly documented.
    Acceptable documentation might be:
          - Agent's AML Policies &amp; Procedures
          - Signed attestation from the Agent Compliance Officer/Compliance Delegate 
          - Supplemental document (i.e. letter, formal summary) to the  Agent's AML Policy.
          - Electronic manual/document on the Agent's intranet
AND
• WUCO confirms that the document has been formally approved by the organization (ex: formally approved, presented internally, shared with governance level, etc.).  
• Note:  If the document applies to responsibilities beyond Western Union but does not specify Western Union products, the WUCO may still answer "yes" as long as the responsibilities generally correspond to the Western Union requirements.  </t>
  </si>
  <si>
    <t>This question should be answered "NO" if:
• Agent's Policies &amp; Procedures does not contain a section outlining the responsibilities of the Compliance Officer/Compliance Delegate  position, and the Agent does not have another document that outlines the responsibilities of the Compliance Officer/Compliance Delegate  position.
• Agent provides the documented responsibilities of the Compliance Officer/Compliance Delegate position  the WUCO,  but the document was insufficient and/or incomplete. 
 • The WUCO (having reviewed the documentation),concludes that one or more components of the Compliance Officer's/Compliance Delegate's  responsibilities is missing.</t>
  </si>
  <si>
    <t xml:space="preserve">DOCUMENTS REQUIRED P&amp;Ps with CO Responsibilities: Answered by reviewing Agent's Policies and Procedures document received prior or during the call. </t>
  </si>
  <si>
    <t>Does the Agent have documented  AML/CFT compliance policies and procedures?</t>
  </si>
  <si>
    <t xml:space="preserve">This question should be answered "YES" if:
• Either ahead of or during the scheduled review, WUCO examined the company's documented AML/CFT Compliance Policies &amp; Procedures.  </t>
  </si>
  <si>
    <t>This question should be answered "NO" if:
• Agent did not provide WUCO a copy of their documented AML/CFT Compliance Policies &amp; Procedures.</t>
  </si>
  <si>
    <t xml:space="preserve">DOCUMENTS REQUIRED P&amp;Ps: Answered by reviewing Agent's Policies and Procedures document received prior or during the call. Make sure both, AML and Anti-Fraud are available otherwise; finding must be assigned. </t>
  </si>
  <si>
    <t>If the question is answered "Yes": Brief, detailed, statement of the name of the document examined by the WUCO.  If the question is answered "No": Brief, detailed,  statement of deficiency.</t>
  </si>
  <si>
    <t>"Agent provided WU P&amp;Ps: WU’s P&amp;P’s were provided prior the Compliance Review. The document includes the following:                                                    
• Reporting and recordkeeping.  
• Customer identification requirements (WU and regulatory.
•  Descriptions of money laundering and terrorist financing.
•  Coverage of consumer victim fraud, how to identify potential victims, and how to respond.
•  Coverage of elder financial abuse, how to identify potential victims, and how to respond.
•  Sanctions requirements (OFAC).
If Agent is providing own P&amp;Ps make sure the below sections are included and listed in comment: Owned P&amp;P’s were provided prior the Compliance Review. The document covers:
• Reporting and recordkeeping.  
• Customer identification requirements (WU and regulatory.
•  Descriptions of money laundering and terrorist financing.
•  Coverage of consumer victim fraud, how to identify potential victims, and how to respond.
•  Coverage of elder financial abuse, how to identify potential</t>
  </si>
  <si>
    <t xml:space="preserve">Are the Agent's  AML/CFT Compliance  procedures complete, including  WU AML/ CFT P&amp;P minimum standards and sections addressing all topics required in their jurisdiction (including sections addressing training, monitoring, reporting, recordkeeping (including FLAs identification record), independent review, identification requirements, fraud awareness and prevention)? </t>
  </si>
  <si>
    <t>This question should be answered "YES" if:
• WUCO can verify that the agent is using an intact, current, customized AML/CFT Compliance Policies and Procedures document. 
OR 
• WUCO confirms that all required sections (listed below) are included in the Agent's AML/CFT Compliance Policies and Procedures document :  
         • Customized title page
         • Training
         • Monitoring
         • Reporting 
         • Recordkeeping (including FLAs identification record)
         • Independent review
         • Identification requirements
         • Fraud awareness and prevention (if applicable)
Note: Not all sections need to be covered in the same document. The intention is that all sections are covered in the Agent's overall Policies and Procedures.</t>
  </si>
  <si>
    <t>This question should be answered "NO" if:
• The Agent's Compliance Policies &amp; Procedures do not contain (or do not properly explain) one or more of these required sections:
         • Customized title page
         • Training
         • Monitoring
         • Reporting 
         • Recordkeeping (including FLAs identification record)
         • Independent review
         • Identification requirements
         • Fraud awareness and prevention (if applicable)</t>
  </si>
  <si>
    <t xml:space="preserve">DOCUMENTS REQUIRED P&amp;Ps: Answered by reviewing Agent's Policies and Procedures document received prior or during the call. Make sure both, AML and Anti-Fraud are complete otherwise; finding must be assigned. 
*
 </t>
  </si>
  <si>
    <t xml:space="preserve">If answer is YES:brief, detailed, explicit statement of the inclusion of sections referred to in the question.  If the agent is using an intact, current WU Agent P&amp;P or COS Kit, verification of the version/ date of issuance is sufficient. For any sections deemed not applicable, state why they are not applicable. If answer is NO: Explicit statement of which sections are missing, and what action will be taken to remediate.
 </t>
  </si>
  <si>
    <t>If the agent uses WU P&amp;P: The agent uses WU's AML/CFT dated: XX/XX/XXXX and Anti-Fraud P&amp;P's dated: XX/XX/XXXX. WUCO is sending an updated and customized version of the WU’s AML/CFT and Anti-Fraud Compliance documents.                                               If the agent uses their own P&amp;Ps: The agent has their own P&amp;Ps which contain all the sections required. The documents are dated XX/XX/XXXX.                                                The Agent does not have P&amp;Ps: The agent did not provide any documentation for P&amp;Ps prior the Compliance Review session.                                                             The agent provided incomplete P&amp;Ps: Although the agent has the own P&amp;Ps these did not contain the following sections: XXXXXXXXXXXXXXXXXXXXXXXXXXXXXXXXXXXXXXXXXXXXXXXXXXXXXXXXXXXXXXXXXXXXXXXXXXXXXXXXXXXXXXXX.</t>
  </si>
  <si>
    <t xml:space="preserve">Are the AML/CFT Compliance policies and procedures communicated to all employees involved with Western Union services? </t>
  </si>
  <si>
    <t xml:space="preserve">This question should be answered "YES" if:
•WUCO reviewed evidence that the AML/CFT Compliance Policies &amp; Procedures are communicated to all employees conducting Western Union transactions.  This communication can include (but is not limited to):
         - Intranet communication
         - E-mail communication from headquarters to Store level (Manager, etc.)               
         - Newsletters/other store level communication 
• WUCO should also confirm that this communication process is properly documented in the Agent's Compliance Policies &amp; Procedures.   </t>
  </si>
  <si>
    <t xml:space="preserve">This question should be answered "NO" if:  
 •If one of the sections bulleted in the guidance for the previous question (Customized title page, Training, Monitoring, Reporting, Recordkeeping (including FLAs identification record),  Independent review,  Identification requirements, Fraud awareness and prevention) does not exist.
OR
 •WUCO has confirmed that the Agent does not have an AML/CFT Compliance Policies &amp; Procedures in place, 
OR 
• Agent has an AML/CFT Compliance Policies &amp; Procedures in place but it is not re-communicated to employees on at least an annual basis using one of the above (or other) communication methods.  </t>
  </si>
  <si>
    <t>DOCUMENT REQUIRED P&amp;Ps and Verbal Confirmation of communication and distribution to all employees: If P&amp;Ps were not shown, finding applies. Do not say it but these are possible answers: via email, on a physical copy, weekly meetings, etc.)
1. Describe how you communicate and distribute the P&amp;Ps to all employees.</t>
  </si>
  <si>
    <t>Are employees who are responsible for Western Union products and services required to acknowledge in writing that they have read and understood the AML/CFT policy?</t>
  </si>
  <si>
    <t xml:space="preserve">This question should be answered "YES" if:  
• WUCO can verify by reviewing the agent's AML/CFT policy that all employees  who are responsible for Western Union products and services are required to acknowledge that they have read and understood the AML policy acknowledgements.     </t>
  </si>
  <si>
    <t>This question should be answered "NO" if:
• It is not a current policy of the Agent to obtain acknowledgement from their employees that they have read their AML/CFT policy.
OR
• It is part of the Agent's policy to obtain acknowledgement from their employees that they have read their AML/CFT policy, but the Agent was unable to show WUCO evidence of this process during the program review.
•the AML/CFT P&amp;P does not exist.</t>
  </si>
  <si>
    <t xml:space="preserve">DOCUMENTS REQUIRED P&amp;Ps &amp; LMS/Training Log: Answer yes if the P&amp;Ps and/or Training Log/LMS were received prior or during the call. </t>
  </si>
  <si>
    <t>Do the Agent's AML/CFT Compliance Policies and Procedures state the following:
• Front Line Associates ("FLA") are required to complete compliance training before they provide Western Union products and services;
• AML/CFT compliance training must be completed annually; and
• FLAs must demonstrate understanding of training content by achieving an acceptable score on their AML/CFT Compliance training examination.</t>
  </si>
  <si>
    <t xml:space="preserve">This question should be answered "YES" if:
• WUCO can verify that all bulleted points (in this question) are included in the company's AML/CFT policy.  If there are any deviations from these bulleted points that  WUCO deems acceptable, the "Yes" should still be selected.  Examples of acceptable variations may include:  
     •  Policy/procedure that applies to training beyond Western Union (and therefore does not specify Western Union).
    •  In the absence of an examination with a numerical score, policy/procedures </t>
  </si>
  <si>
    <t>This question should be answered "NO" if:
• WUCO is unable to locate/verify that all bulleted points (in this question) are included in the company's AML/CFT Compliance policy.
OR
• Agent's Compliance Officer verbally confirms that the bulleted points are not currently included as part of the company's AML/CFT Compliance policy.
OR
• WUCO determines (during a review of the Agent's training process) that one or more of the three bulleted points are not being met by the Agent's current AML/CFT Compliance policy.</t>
  </si>
  <si>
    <t xml:space="preserve">DOCUMENTS REQUIRED P&amp;Ps: Answer by reviewing Agent's Policies and Procedures document (Training Section) prior or during the call. </t>
  </si>
  <si>
    <t>Can FLAs demonstrate that they have been properly trained by describing AML/CFT compliance?</t>
  </si>
  <si>
    <t xml:space="preserve">This question should be answered "YES" if: 
•  WUCO has interviewed at least one FLA and confirms that the FLA is able to describe AML/CFT risks most relevant to their geography and business.
• If the FLA  or CO/CD is the only employee available, answer this question "YES" or "NO" with regard to that person's knowledge. </t>
  </si>
  <si>
    <t>This question should be answered "NO" if:
• In an interview, the FLA is unable to describe AML/CFT risks most relevant to their geography and business.
• If the FLA  or CO/CD is the only employee available, answer this question "YES" or "NO" with regard to the person's knowledge.</t>
  </si>
  <si>
    <t xml:space="preserve">Answer based on the Agent's general knowledge about AML/CFT Compliance. </t>
  </si>
  <si>
    <t>FLA INTERVIEW: Are FLAs able to demonstrate their understanding of suspicious activity by providing at least one example?</t>
  </si>
  <si>
    <t>This question should be answered "Yes" if:
• WUCO interviews at least two FLAs (when possible) in addition to the CO/CD/primary interviewee (if available) and confirms that the FLAs are able to describe suspicious activity with at least one example. The FLAs should be aware that the detection of suspicious activity entails not just looking at the details of the transactions, but also observing the consumers' behavior at the point of sale. WUCO should ask follow-up questions as needed to assess the FLA's understanding of this.
• If the FLA  or CO/CD is the only employee available, answer this question "YES" or "NO" with regard to that person's knowledge.</t>
  </si>
  <si>
    <t>This question should be answered "NO" if:   
• The FLAs are unable to describe suspicious activity with at least one example.
• If the FLA  or CO/CD is the only employee available, answer this question "YES" or "NO" with regard to that person's knowledge.</t>
  </si>
  <si>
    <t xml:space="preserve">Answer based on the Agent's general knowledge about AML/CFT Compliance. 
*
1) What do you consider to be Suspicious Activity? 
2) Can you provide some examples of suspicious activity or customer behaviors that you consider suspicious? </t>
  </si>
  <si>
    <t>FLA INTERVIEW: Do FLAs know the appropriate steps to take when faced with a suspicious activity or transaction?</t>
  </si>
  <si>
    <t xml:space="preserve">This question should be answered "Yes" if:
• WUCO interviews at least two FLAs (when possible) and confirms that the FLAs are able to describe appropriate steps to take when faced with a suspicious activity or transaction, as well as who should be contacted within the Agent's organization and/or Western Union.
• If the FLA  or CO/CD is the only employee available, answer this question "YES" or "NO" with regard to that person's knowledge. </t>
  </si>
  <si>
    <t>This question should be answered "NO" if:
• In an interview, the FLAs are unable to describe: 
Appropriate steps to take when faced with a suspicious activity or transaction, 
OR
Who should be contacted within the Agent's organization and/or Western Union.
• If the FLA  or CO/CD is the only employee available, answer this question "YES" or "NO" with regard to that person's knowledge.</t>
  </si>
  <si>
    <t>How do you report a suspicious activity?</t>
  </si>
  <si>
    <t>Does the agent maintain an initial AML/CFT Compliance training program for all FLAs?</t>
  </si>
  <si>
    <t>This question should be answered "YES" if:
• WUCO  verifies that the Agent has implemented a permanent oversight process to ensure that all FLAs have received initial AML/CFT Compliance training:                                                          
                  •When the Agent's Compliance Officer/Compliance Delegate cannot provide (due to legal or privacy restrictions) the details of the Agent's overall AML/CFT Compliance program or training; a copy of WU-relevant program excerpt or comparable document signed by the Compliance Officer/Compliance Delegate, is sufficient.
Note: WUCO should NOT focus on whether the FLA training timeliness and quizzes (if any) are 1% effective, but rather whether the Agent CO has strong control over the tracking of training.  WUCO should use professional judgment in making this assessment.  LMS training is acceptable for a "Yes" response.</t>
  </si>
  <si>
    <t>This question should be answered "NO" if:  
• WU CO cannot confirm that the Agent provides initial AML/CFT compliance training to all FLAs.
• Initial training provided to new FLAs does not cover AML/CFT compliance.</t>
  </si>
  <si>
    <t>DOCUMENT REQUIRED Training Log/LMS): If you have a newly hired operator, what process do they go through before selling MO? (Initial Training).
2)Where or how do you document these trainings?  
Make sure a specific comment is noted on the Training Log indicating Anti-Fraud training was delivered.
(You can use WU provided materials and resources, such as COS Kit, Regulatory Bulletins, Job Aids, and/or Agent Portal, or external materials).</t>
  </si>
  <si>
    <t>If this question is answered "Yes": Explicit statement of evidence shared by the Agent Compliance Officer including type (e.g. training log or tracker), date range covered (e.g. trainings current year to date), and whether it represents the full population of FLAs or a sample of FLAs.</t>
  </si>
  <si>
    <t>Document Received: Training log was provided which includes initial AML/CFT Compliance
training delivered by CO XXXXXXXXXXX on XXXXXXXXXX. All FLA's were included in the document received.                                                                Document NOT Received: WUCO was unable to confirm that initial AML/CFT Compliance training was delivered to all FLAs.</t>
  </si>
  <si>
    <t xml:space="preserve">Does the agent maintain an ongoing AML/CTF  Compliance training program for all FLAs that includes ad hoc training if or when there are significant changes to the processes, systems, risks or compliance program standards, or at least annually? </t>
  </si>
  <si>
    <t>This question should be answered "YES" if:
• WUCO  verifies that the Agent has implemented a permanent oversight process to ensure all FLAs receive ongoing AML/CFT Compliance training:                                            
                  •When the Agent's Compliance Officer/Compliance Delegate cannot provide (due to legal or privacy restrictions) the details of the Agent's overall AML/CFT Compliance program or training; a copy of WU-relevant program excerpt or comparable document signed by the Compliance Officer/Compliance Delegate, is sufficient.
Note: WUCO should NOT focus on whether the FLA training timeliness and quizzes are 1% effective, but rather whether WUCO concludes that the Agent CO has strong control over the tracking of training.   LMS training is acceptable for a "Yes" response.</t>
  </si>
  <si>
    <t>This question should be answered "NO" if:  
• WU CO cannot confirm that the Agent provides initial AML/CFT compliance training to all FLAs.
• The ongoing training provided to FLAs does not cover AML/CFT Compliance.</t>
  </si>
  <si>
    <t>This question should be answered "N/A" if:  
The agent has been active for less than a year AND there have been no significant changes to the processes, systems, risks or compliance program standards since activation.</t>
  </si>
  <si>
    <t>DOCUMENT REQUIRED Training Log/LMS: How often do you provide AML and Anti-Fraud refresher training to your regular employees?</t>
  </si>
  <si>
    <t>GS6.GQ7</t>
  </si>
  <si>
    <t>Has the agent provided documentation to establish that FLAs are current on all training and that it includes subjects covered, employee names, dates of trainings, and types (initial and ongoing)?</t>
  </si>
  <si>
    <t xml:space="preserve">This question should be answered "YES" if:
WUCO examined the company's documented AML/CFT and Anti-fraud training records and confirms that they cover all required issues and include names, dates, and types (initial and ongoing). </t>
  </si>
  <si>
    <t>This question should be answered "NO" if:
WUCO confirms that the agent did not provide training documents, the documents provided are deficient, or training has not been provided.</t>
  </si>
  <si>
    <t>DOCUMENT REQUIRED Training Log/LMS: This question will be answered based on training records (training logs, copies of completed/graded quizzes and/or Training Log documentation.</t>
  </si>
  <si>
    <t>Does the Agent have a clearly communicated process for all employees, including FLAs, compliance personnel, and management, to report suspicious activity concerns in accordance with local law and/or Western Union requirements (as applicable)?</t>
  </si>
  <si>
    <t>This question should be answered "YES" if:
• WUCO can verify that the Agent has a clearly communicated process for FLAs or management to report suspicious activity in accordance with local law and/or Western Union requirements (as applicable).  
• WUCO can verify written procedures from the Agent, a copy of the company's "Suspicious Activity Referral Form" (or equivalent), or another method of confirmation that the process exists and is functional.</t>
  </si>
  <si>
    <t>This question should be answered "NO" if:
• WUCO cannot verify that the Agent has a clearly communicated process for FLAs or management to report suspicious activity concerns to the Agent Compliance Delegate/Officer.  
•  WUCO determines that the agent is unaware that they are expected to escalate suspicious consumer behavior or activity to WU for further review once they have completed their internal investigation even when there is no jurisdictional requirement to file SARs/STRs.</t>
  </si>
  <si>
    <t>Is the Agent complying with all applicable regulatory reporting requirements (including the submission of referrals to WU for investigation)? Examples of required regulatory reports include suspicious activity, sanctions, or cash transaction reports.</t>
  </si>
  <si>
    <t xml:space="preserve">This question should be answered "YES" if:
• WUCO reviews a sample of the required regulatory reports and confirms that the Agent submitted these reports to the authorities (or to Western Union, as applicable in their jurisdiction) in compliance with the regulations.    
• The Agent has not yet encountered any situations where a regulatory report should have been filed, or does not provide documentation due to Agent policy, WUCO concludes that the Agent has an adequate level of understanding of the applicable requirements, and ability to describe their procedures for ensuring compliance; the Agent understands the requirement and has a sound reporting process in place. 
•  WUCO confirms that even when there is no jurisdictional requirement to file SARs/STRs, the agent is aware that they are expected to escalate suspicious consumer behavior or activity to WU for further review once they have completed their internal investigation.
NOTE: WUCO is not expected to audit all the reports for any defined range of transactions and/or dates.  (In case agent is obliged by local law/contract to submit referrals to WU, WUCO to check first availability of the internal referrals and mark “Yes” if the referrals are available and of adequate quality.) WUCO may select YES if there are potentially suspicious transactions detected, which generally should be reported, but which, due to valid reasonable circumstances explained by the agent, form transparent and logical reasons to justify the agent’s decision to refrain from filing. </t>
  </si>
  <si>
    <t>This question should be answered "NO" if:
• WUCO identified additional transactions (through their pre-work review and/or in reviewing the Agent's transaction records) that should have required a regulatory report to be filed but was not completed by the Agent; 
• WUCO determines that one or more reports have not been properly filed by the Agent.  "Not properly filed" means:
        - Not submitted to appropriate authorities in a timely manner; and/or
        - Incomplete; and/or
        - Inaccurate.
• In cases where the Agent has not yet had occasion to file any regulatory reports (and thus WUCO must rely on interviewing the Agent to answer this question), WUCO determines that there are deficiencies in the Agent’s understanding of the requirements and/or their procedures for ensuring compliance.  
•  WUCO determines that the agent is unaware that they are expected to escalate suspicious consumer behavior or activity to WU for further review once they have completed their internal investigation even when there is no jurisdictional requirement to file SARs/STRs.</t>
  </si>
  <si>
    <t xml:space="preserve">How do you report unusual/suspicious activity? (Submit a SAR – Suspicious Activity Report via BSA.
       a. What is the timeframe to send a SAR? (30 days from the event)
        b. Have you filed a SAR?
Are you familiar with the CTRs? </t>
  </si>
  <si>
    <t>Does the Agent conduct effective transaction monitoring on a regular basis? 
Effective transaction monitoring should include the following red flags:
        * Significant trends in the transaction patterns experienced at the agent location; 
        *       Significant differences in the transaction patterns experienced at an agent location relative to the patterns experienced at other agent locations;
        *       Unusual demographic activity;          
       *       Unusual transaction patterns; 
       *       Suspicious structuring or splitting of transactions</t>
  </si>
  <si>
    <t>This question should be answered "YES" if:
 WU CO confirms that the Agent's monitoring program is both effective and occurring on a regular basis and meets ALL of the following requirements:
1.  The frequency of monitoring (weekly, monthly) is appropriate. (Daily monitoring is generally not acceptable, as many patterns of questionable activity develop over the course of multiple days and may not be identified via a daily process.)
AND
2. Monitoring is being performed every week/month (as appropriate).
AND
3. The Agent's method of monitoring is adequate to detect all activity listed including red flags bulleted in the question.
AND
4.  The  Agent's method of monitoring is adequate to detect situations when a recordkeeping requirement (e.g. CTR or Money Order Log) has been triggered.
The WUCO also needs to discuss their transaction analysis with the Agent to test the effectiveness of the Agent's monitoring process. If WUCO instructs the Agent to file SARs on activity included in this analysis, a finding MUST be given.</t>
  </si>
  <si>
    <t>This question should be answered "NO" if:
WUCO confirms one or more deficiencies are identified. 
The WUCO also needs to discuss their transaction analysis with the Agent to test the effectiveness of the Agent's monitoring process. If WUCO instructs the Agent to file SARs on activity included in this analysis, a finding MUST be given.</t>
  </si>
  <si>
    <t>DOCUMENT REQUIRED MCL: How do you conduct your monitoring process? How often? What information do you pay attention to? What patterns do you look for?
(WUPOS: go to other services and select transaction log, enter the date range for the period of time that you would like to review (weekly, biweekly or monthly), and you will have the report to review all transactions, you can sort names and amounts to look for possible suspicious patterns.)</t>
  </si>
  <si>
    <t>If this question is answered "Yes":  Explicit statement of the scope of the Agent transaction monitoring process for WU products and the nature and name of the evidence examined.  If this question is answered "No":  Brief, explicit statement of deficiency.</t>
  </si>
  <si>
    <t>Effective Monitoring: Agent performs the monitoring process by reviewing transaction records on a weekly/monthly  basis, by comparing the transactions frequency. The WU’s AML/CFT  &amp; Anti- Fraud Compliance Monitoring Log &amp; WUCO determined that their Monitoring is effective.                                                                           Not Effective Monitoring: The agent did not provide the proper monitoring documentation prior the Compliance Review.       The agent is not performing an effective monitoring sin they indicated XXXXXXXXXXXXXXXXXXXXXXXXXXXXXX.</t>
  </si>
  <si>
    <t xml:space="preserve">This question should be answered "YES" if:
WUCO has examined  monitoring documents and confirms that the CO has reviewed them.  </t>
  </si>
  <si>
    <t>This question should be answered "NO" if:
- WUCO cannot confirm that the CO either performs monitoring or at least reviews it.</t>
  </si>
  <si>
    <t xml:space="preserve">DOCUMENT REQUIRED MCL: Answer by reviewing Agent's MCL prior or during the call. </t>
  </si>
  <si>
    <t>This question should be answered "YES" if:  
WUCO reviews the Agent's monitoring documentation (e.g. Monitoring Logs) and confirms that it is complete and sufficiently documents either electronically, manually, or both, to create a comprehensive audit trail of the investigation.</t>
  </si>
  <si>
    <t>This question should be answered "NO" if:
WU CO concludes, after reviewing the Agent's monitoring documentation (e.g. Monitoring Logs), that the documentation is not adequate.</t>
  </si>
  <si>
    <t>DOCUMENTS REQUIRED MCL: Answer by reviewing if the monitoring documents prior or during the call.</t>
  </si>
  <si>
    <t>Has the agent adopted and carried out policies and procedures for collecting, and maintaining records regarding the identities of Agent FLAs?</t>
  </si>
  <si>
    <t>The answer should be answered "YES" if:  
•  WUCO confirms that the agent has adopted and carried out  policies and procedures for collecting, and maintaining records regarding the identities of Agent FLAs,  using reliable, independent source documents, data, or information such as a government-issued or other acceptable identification document in their country, and safeguarding of the same.</t>
  </si>
  <si>
    <t xml:space="preserve">This question should be answered "NO" if:
• The Agent cannot confirm that they have adopted  policies and procedures for collecting, and maintaining records regarding the identities of Agent FLAs. 
• The Agent cannot confirm that they have carried out policies and procedures for collecting, and maintaining records regarding the identities of Agent FLAs  </t>
  </si>
  <si>
    <t>DOCUMENT REQUIRED ID Addendum: Answer by reviewing Agent's Policies and Procedures document or receiving the ID Policy Addendum prior or during the call.</t>
  </si>
  <si>
    <t>Does the Agent comply with the recordkeeping requirements under local regulation or according to WU standards, whichever is more stringent?</t>
  </si>
  <si>
    <t xml:space="preserve">This question should be answered "YES" if:
• WUCO is able to confirm that the regional recordkeeping requirements are being met.  </t>
  </si>
  <si>
    <t xml:space="preserve">This question should be answered "NO" if:
• WUCO cannot confirm that the regional recordkeeping requirements are being met.  </t>
  </si>
  <si>
    <t>For how long do you keep the AML Compliance documents? (5 years)</t>
  </si>
  <si>
    <t>Does the Agent store all physical records (e.g. Money Order Logs, KYC Forms) in a safe and secure place?</t>
  </si>
  <si>
    <t xml:space="preserve">This question should be answered "YES" if:
 •WUCO observes and verifies that records are stored in a safe and secure place, and specifically that they are NOT on the service counter or accessible to consumers or unauthorized staff. 
•If the review is conducted by telephone, the Agent confirms that the records are not stored on the service counter or accessible to consumers or unauthorized staff.  </t>
  </si>
  <si>
    <t xml:space="preserve">This question should be answered "NO" if:
WUCO observes the records are stored on the service counter or accessible to consumers and/or unauthorized staff; not in a safe and secure place. 
If the review is conducted by telephone, the Agent confirms that the records are stored on the service counter or are accessible to consumers or unauthorized staff or other unsafe, unsecured  place. </t>
  </si>
  <si>
    <t>For how long do you keep the WU physical Reports and other records? (5 years)</t>
  </si>
  <si>
    <t>Is the Agent able to produce clear copies of transaction records/documents, either for the required retention period or for the period between the date of the review and the last dispatch to the centralized storage?</t>
  </si>
  <si>
    <t xml:space="preserve">This question should be answered "YES" if:
•WUCO examines a sample of 3 money order close out reports, and is satisfied that they fulfill the retention/recordkeeping requirements.
•The review is conducted by telephone, the WUCO inquires of the agent representative and is satisfied with their description of the recordkeeping process.
</t>
  </si>
  <si>
    <t>This question should be answered "NO" if: 
•The WUCO determines that money order close out reports are not held for the required retention period or that the agent is not able to provide a satisfactory description of the recordkeeping process.</t>
  </si>
  <si>
    <t>1. Where do you keep documents inside the store? When discussing the recordkeeping period for IRS audits, if Agent has any questions about IRS audit requirements, provide Agent Audit Support phone contact: Email: AgentAuditSupport@westernunion.com</t>
  </si>
  <si>
    <t>FLA INTERVIEW: Do FLAs know the acceptable forms of identification for a Western Union transaction?</t>
  </si>
  <si>
    <t>This question should be answered "YES" if:  
• In response to WUCO's query, the FLA was able express satisfactory knowledge of the acceptable forms of identification for a Western Union transaction.
WUCO may consult F2Zoom to review acceptable ID.</t>
  </si>
  <si>
    <t>This question should be answered "NO" if:
WUCO concludes that the FLA does not have adequate knowledge of the acceptable forms of identification for a Western Union transaction.
WUCO may consult F2Zoom to review acceptable ID.</t>
  </si>
  <si>
    <t xml:space="preserve">What IDs do you accept as valid if I am purchasing 2K worth of MO?  </t>
  </si>
  <si>
    <t>Do FLAs check the consumer's valid ID Card, the expiry date (if any), and verify that the ID photo looks like the consumer?</t>
  </si>
  <si>
    <t xml:space="preserve">This question should be answered "YES" if:
•The agent can describe the requirements and WUCO concludes that the agent's description of the requirements is satisfactory.    Inquiry should confirm that the Agent understands they must enter information in the system or MO log exactly as it appears on the  ID card.
Note:  In selecting a sample of transactions, WUCO should target transactions which require IDs, such as those above a relevant threshold. </t>
  </si>
  <si>
    <t>This question should be answered "NO" if:
•The agent is unable to describe the requirements.</t>
  </si>
  <si>
    <t>What information do you check on the ID once you have it in your hands? </t>
  </si>
  <si>
    <t>FLA INTERVIEW: Do FLAs sufficiently understand the Enhanced Customer Due Diligence (ECDD) including:
•   Established transaction thresholds that trigger ECDD;
•   All applicable ECDD procedures
•   Documentation requirements, if any?</t>
  </si>
  <si>
    <t>Yes, No, No_AML, N/A</t>
  </si>
  <si>
    <t xml:space="preserve">This question should be answered "Yes" if:
•  WUCO interviews at least two FLAs (if possible) and confirms that the FLAs are able to describe the stated requirements. </t>
  </si>
  <si>
    <t xml:space="preserve">This question should be answered "NO" if:
•  In an interview, the FLAs are unable to describe the stated requirements. (first finding)  </t>
  </si>
  <si>
    <t>This question should be answered "NO" if:
•In an interview, the FLAs are able to describe the requirements but admit to not following the requirements (second finding)</t>
  </si>
  <si>
    <t>This question should be answered "N/A" if:  
LMPT or ECDD thresholds  are not possible at this location due to geo-specific transaction limits.</t>
  </si>
  <si>
    <t>1) Is there any specific requirement for Money Order sales after certain amount?
2) Do you know what a Large Principal Money transfer (LPMT) is? / What process should I go through if I am sending $$ to XXX?
3) What happens if a client wants to send more than the amount allowed. Look out for splitting.</t>
  </si>
  <si>
    <t xml:space="preserve">Who conducted the interview (WUCO)?
</t>
  </si>
  <si>
    <t>This question should be answered "YES" if: 
WUCO confirms that the Agent is able to provide properly completed Money Order Logs for single sales of $3000 or more  identified by WUCO during transaction analysis.</t>
  </si>
  <si>
    <t>This question should be answered "NO" if:  
WUCO confirms that the Agent is NOT able to provide properly completed Money Order Logs for single sales of $3000 or more  identified by WUCO during transaction analysis.</t>
  </si>
  <si>
    <t>This question should be answered "NO" if:  
WUCO confirms that the Agent is NOT able to explain where to direct a customer who has privacy questions or inquiries.</t>
  </si>
  <si>
    <t xml:space="preserve">Attach Finding Letter when the overall level assigned to the case is "With Findings or higher".
</t>
  </si>
  <si>
    <t>​​​​​​​If the overall Level Assigned is "With Findings" or higher: 
     • Attach a copy of the Finding Letter
     • Add comment to Free Text box, i.e.,  "Attached" </t>
  </si>
  <si>
    <t xml:space="preserve">Attach Finding Letter email sent to the agent or proof of mailing  (i.e. photo of envelope) that was sent to the agent when the overall level assigned to the case is "With Findings or higher".
</t>
  </si>
  <si>
    <t>Has the Location cleared all findings and remediation action items related to the last program review or FIU/FRM Investigations, which were due on or before the date of the present review?</t>
  </si>
  <si>
    <t>This question should be answered "YES" if:
The WUCO reviews all findings and remediation action items related to the last program review or FIU/FRM Investigations, , which were due on or before the date of the present review, and determines that they have either been cleared or the due date has not yet arrived.
**Note: If this question is answered "YES", the questionnaire will display question GS2.GQ2.</t>
  </si>
  <si>
    <t>This question should be answered "NO" if: 
After reviewing all findings and remediation action items related to the last program review or FIU/FRM Investigations, the WUCO determines that not all of the program review findings and remediation actions have been cleared.
**Note: If this question is answered "NO", the questionnaire will display question GS2.GQ2.</t>
  </si>
  <si>
    <t>This question should be answered "N/A" if: 
• The WUCO determines that the Agent was not assigned any Findings or remediation actions during the last Program Review or FIU/FRM Investigations.
• The Agent has not had a previous Program Review or FIU/FRM Investigation case in iWatch.</t>
  </si>
  <si>
    <t xml:space="preserve">Are the location name, address, and telephone number stored in Western Union ("WU") systems accurate? </t>
  </si>
  <si>
    <t xml:space="preserve">This question should be answered "Yes" if:
• The name, address, and telephone number (all three) match to the same fields as listed in WU records.  
**Note: During  an onsite review, the name and address may be observed by the WUCO.  During an offsite  review, the name and address must be provided by the agent representative. </t>
  </si>
  <si>
    <t>This question should be answered "No" if:  
Any of the three (location name, address, and telephone number) do not match WU records.</t>
  </si>
  <si>
    <t>Does each Front Line Associate ("FLA") use only their own unique Operator ID to process Money Order transactions?</t>
  </si>
  <si>
    <t xml:space="preserve">This question should be answered "YES" if:
After reviewing a sample* of transactions  at this location, WUCO  confirms that the number of operator  IDs   processing sales is generally consistent with:
• The number of FLAs observed working at the location (in case of an onsite review), OR
• The number of FLAs working at the location as communicated by the agent representative (in case of a telephone review)
**Note: 
*Sample size should represent at least 2 weeks of sales activity and must be pulled no earlier than 30 days prior to the program review. 
• Having an outdated list of operator IDs is considered an administrative task that should be handled outside of iWatch. Also, if the Agent needs to update their operator list to remove FLA names, but FLAs are otherwise using their own IDs, a finding should NOT be assigned under the question. </t>
  </si>
  <si>
    <t xml:space="preserve">This question should be answered "NO" &amp; Finding #1 Selected if:
Agent explains that the number of FLA Operator IDs do not coincide with the transactional review because FLAs are sharing Operator IDs and passwords to speed up processing.
This question should be answered "NO"  &amp; Finding #2 Selected if:
The agent indicates during the review that Operators use shared users codes due to unwillingness to register with Western Union.
</t>
  </si>
  <si>
    <t xml:space="preserve">Do FLAs have access to the Agent's complete AML/CFT Compliance policies and procedures? 
</t>
  </si>
  <si>
    <t>The question should be answered YES if:
WUCO can confirm that the Agent's complete AML/CFT Compliance Policies &amp; Procedures document is accessible to all FLAs. Access can include (but is not limited to):
     • Hard copy of P&amp;Ps
     • Electronic copy of P&amp;Ps</t>
  </si>
  <si>
    <t xml:space="preserve">The question should be answered NO if: 
FLAs do not have access to the Agent's complete AML/CFT Compliance Policies and Procedures document. </t>
  </si>
  <si>
    <t xml:space="preserve">This question should be answered "YES" if:
• WUCO confirms FLAs demonstrates they have been properly trained in AML/CFT compliance.
• FLAs were able to answer all selected questions correctly. </t>
  </si>
  <si>
    <t>This question should be answered "Yes" if: 
• FLAs were able to demonstrate good analytical skills to detect suspicious activity.
• FLAs were able to answer all selected questions correctly. 
• FLAs were able to identify three (3) red flags correctly.</t>
  </si>
  <si>
    <t>This question should be answered "NO" if:   
• FLAs were unable to identify three (3) red flags correctly. 
• FLAs answered one or more questions incorrectly. 
• FLAs were unable to demonstrate good analytical skills to detect suspicious activity.</t>
  </si>
  <si>
    <t>This question should be answered "Yes" if:  
WUCO confirms FLAs know the steps to report suspicious activity. These actions could include but are not limited to: 
     o Refusing the transaction.
     o Reporting the situation to the Compliance Officer/Delegate.
     o Completing the Referral for Unusual Activity Form, as applicable.</t>
  </si>
  <si>
    <t>FLA INTERVIEW: Is the FLA(s) able to identify Agent Fraud related activity?</t>
  </si>
  <si>
    <t>This question should be answered "Yes" If:  
• WUCO confirms FLAs demonstrated knowledge of methods to identify Agent fraud-related activity. 
• FLAs were able to answer all selected questions correctly. 
**Note: A sample of Agent Fraud indicators are listed in the Agent Anti-Fraud Manual, the FLA should be able to describe one of these indicators.</t>
  </si>
  <si>
    <t>This question should be answered "No" if:  
• FLAs answered one or more questions incorrectly. 
• WUCO cannot confirm that FLAs demonstrate knowledge of methods to identify Agent fraud-related activity.  
**Note: A sample of agent Fraud indicators are listed in the Agent Anti-Fraud Manual, the FLA should be able to describe one of these indicators.</t>
  </si>
  <si>
    <t>FLA INTERVIEW: Is the FLA(s) able to explain the actions that should be taken with regard to Agent Fraud related activity?</t>
  </si>
  <si>
    <t>This question should be answered "Yes" If:  
• FLAs were able to answer all selected questions correctly. 
• WUCO confirms that the employee(s) was able to  explain the actions that should be taken with regard to  agent fraud related activity. 
These actions could include but are not limited to:      
    o Not proceeding with the caller request. 
    o Hanging up the phone. 
    o Stopping the transaction if recorded.
    o Reporting the situation to your supervisor, your Compliance Officer/Delegate and call your dedicated Agent Support number immediately.</t>
  </si>
  <si>
    <t xml:space="preserve">This question should be answered "No" if:  
• FLAs were unable to answer all selected questions correctly. 
• WUCO could not confirm that employee(s) are able to explain the actions that should be taken with regard to Agent fraud related activity. </t>
  </si>
  <si>
    <t>FLA INTERVIEW: Do FLAs know the acceptable forms of identification for Western Union Money Order transactions?</t>
  </si>
  <si>
    <t>This question should be answered "YES" if:
WUCO confirms that the FLA is knowledgeable about the acceptable forms of identification for a Western Union transaction.
**Note: 
• WUCO may consult "Country Information" to review acceptable IDs; or
• Log into WU Agent Academy (WUAA) for required country and review the Acceptable forms of ID indicated in the Compliance Country Module. Not all Agents are in WUAA and not all countries have a Compliance Country Module</t>
  </si>
  <si>
    <t>This question should be answered "NO" if: 
WUCO cannot confirm that  the FLA is knowledgeable about the acceptable forms of identification for a Western Union transaction.
**Note:
• WUCO may consult "Country Information"  to review acceptable IDs.
• Log into WU Agent Academy (WUAA) for required country and review the Acceptable forms of ID indicated in the Compliance. Country Module. Not all Agents are in WUAA and not all countries have a Compliance Country Module.</t>
  </si>
  <si>
    <t>This question should be answered "YES" if:
When interviewed, the FLAs confirm that they only conduct transactions when: 
• A consumer is physically present, AND if applicable, 
• A consumer conducting transactions on behalf of other individuals provides third party information in accordance with local regulatory requirements.</t>
  </si>
  <si>
    <t xml:space="preserve">This question should be answered "NO" &amp; Finding #1 Selected if:
When interviewed, the FLAs are not aware that they may only conduct transactions when: 
• A consumer is physically present, AND if applicable, 
• A consumer conducting transactions on behalf of other individuals provides third party information in accordance with local regulatory requirements.
This question should be answered "NO" &amp; Finding #2 Selected if:
When interviewed, the FLAs indicate that they are aware of the requirement but conduct transactions when no consumers are physically present.         </t>
  </si>
  <si>
    <t>FLA INTERVIEW: Do FLAs sufficiently understand the Enhanced Customer Due Diligence (ECDD) including:
• Established transaction thresholds that trigger ECDD;
• All applicable ECDD procedures
• Documentation requirements, if any?</t>
  </si>
  <si>
    <t>This question should be answered "Yes" if:  
WUCO confirms that the FLA is able to describe the ECDD requirements.</t>
  </si>
  <si>
    <t>This question should be answered "NO" &amp; Finding #1 Selected if:
WUCO confirms that the FLA is unable to describe the stated requirements. 
This question should be answered "NO" &amp; Finding #2 Selected if:
WUCO confirms that the FLA is able to describe the requirements but admits to not following the requirements</t>
  </si>
  <si>
    <t xml:space="preserve">This question should be answered "N/A" if:  
ECDD thresholds are not possible at this location due to geo-specific transaction limits.
</t>
  </si>
  <si>
    <t>Does the Agent comply with retention period requirements for paper records (i.e., sales reports and other records) under local regulation or according to WU standards, whichever is more stringent?</t>
  </si>
  <si>
    <t xml:space="preserve">This question should be answered "YES" if:
• WUCO interviews the FLA and confirms they are able to describe the required retention period for all paper records as described in the “TWUC Information Governance Retention Schedule.” 
• All transaction forms, and compliance records related to WU products and services that are created or handled by the Agent must be retained for the longer of either:
     o (i) the legally required number of years from the date of the transaction in the jurisdiction where the Agent operates; or 
     o (ii) for ten (10) years 
• WUCO can confirm the applicable legal retention periods, or can advise Agent that they may contact WU Records Management department at wurecordsmanagement@westernunion.com to confirm. </t>
  </si>
  <si>
    <t xml:space="preserve">This question should be answered "NO" if:
WUCO finds that the FLA is unable to describe the required retention period for all records.
**Note: WUCO can confirm the applicable legal retention periods, or can advise Agent that they may contact WU Records Management department at wurecordsmanagement@westernunion.com to confirm.  </t>
  </si>
  <si>
    <t>This question should be answered "N/A" if:  
• All records for this location are maintained by the network headquarters; OR
• There are no record retention requirements for this location.</t>
  </si>
  <si>
    <t xml:space="preserve">This question should be answered "N/A" if:  
• All records for this location are maintained by the network headquarters; OR
• There are no record retention requirements for this location.
**Note: If "N/A" is selected, a case comment is required stating the reason for the selection. </t>
  </si>
  <si>
    <t xml:space="preserve">This question should be answered "YES" if:
 •WUCO examines a sample of 3 money order close out reports, and is satisfied that they fulfill the retention/recordkeeping requirements.
• All records and retention thereof, are fully maintained at the Master Agent or Network Headquarters, (e.g., paperless locations) AND this process is confirmed during the Location program review.
</t>
  </si>
  <si>
    <t>This question should be answered "NO" if: 
•The WUCO determines that money order close out reports are not held for the required retention period or are otherwise unsatisfactory.</t>
  </si>
  <si>
    <t>Does the location store all physical records (e.g. Money Order Logs, KYC Forms) in a safe and secured place?</t>
  </si>
  <si>
    <t xml:space="preserve">This question should be answered "YES" if:
WUCO has observed and can confirm that records are stored in a safe and secured place, and specifically that they are NOT on the service counter or accessible to consumers or unauthorized persons. 
**Note: If the review is conducted by telephone, inquiry reveals that the records are not stored on the service counter or accessible to consumers or unauthorized persons .  </t>
  </si>
  <si>
    <t>This question should be answered "NO" if:
WUCO has observed and can confirm that records are stored on the service counter or accessible to consumers or unauthorized persons . 
**Note: If the review is conducted by telephone, inquiry reveals that the agent is unable to confirm that the records are not stored on the service counter or accessible to consumers or unauthorized persons .</t>
  </si>
  <si>
    <t xml:space="preserve">This question should be answered "N/A" if:  
• All electronic records for this location are maintained by the network headquarters; OR
• There are no record retention requirements for this location; OR
• The Agent does not store records electronically. 
**Note: If "N/A" is selected, a case comment is required stating the reason for the selection. . </t>
  </si>
  <si>
    <t>NETWORK AGENT GLOBAL</t>
  </si>
  <si>
    <t>Master Agent HQsGlobal</t>
  </si>
  <si>
    <t>Independent  Global</t>
  </si>
  <si>
    <t>Independent MO Only Global</t>
  </si>
  <si>
    <t>Network_MO_Only</t>
  </si>
  <si>
    <t>HQ_MO_OnlyGlobal</t>
  </si>
  <si>
    <t>Finding English</t>
  </si>
  <si>
    <t>Finding English AML</t>
  </si>
  <si>
    <t>Finding English CFT</t>
  </si>
  <si>
    <t>Finding English AntiFraud</t>
  </si>
  <si>
    <t>Action Required English</t>
  </si>
  <si>
    <t>Finding Spanish</t>
  </si>
  <si>
    <t>Action Required Spanish</t>
  </si>
  <si>
    <t>Finding French</t>
  </si>
  <si>
    <t>Action Required French</t>
  </si>
  <si>
    <t>Finding Portuguese</t>
  </si>
  <si>
    <t>Action Required Portuguese</t>
  </si>
  <si>
    <t>Action Type</t>
  </si>
  <si>
    <t>Qnumber</t>
  </si>
  <si>
    <t>Minor address deviation with WU records / system.</t>
  </si>
  <si>
    <t>Minor address deviation will be corrected &amp; updated in our records internally. No action required from Agent &amp; Principal Agent</t>
  </si>
  <si>
    <t>Resolved_Onsite</t>
  </si>
  <si>
    <t>India_FTF</t>
  </si>
  <si>
    <t>The Agent Compliance Officer is not adequately experienced and knowledgeable about AML/CFT and Anti-Fraud compliance.</t>
  </si>
  <si>
    <t xml:space="preserve">No action required. Training has been delivered to the agent along with material. </t>
  </si>
  <si>
    <t>El Oficial de Cumplimiento no tiene la experiencia ni el conocimiento adecuado sobre el programa de AML/CFT y Anti-Fraude.</t>
  </si>
  <si>
    <t>No se requiere acción. Se le ha entrenado y brindado material de apoyo al agente.</t>
  </si>
  <si>
    <t>Le Responsible Conformité de l'Agent n'est pas suffisamment expérimenté et informé sur la conformité LAB/FT et Anti-Fraude.</t>
  </si>
  <si>
    <t>Aucune action n'est requise. La formation a été dispensée à l'agent avec le matériel.</t>
  </si>
  <si>
    <t>O Official de Compliance não possui experiência e conhecimento adequados do programa AML/CFT e Antifraude.</t>
  </si>
  <si>
    <t>Ação não é requerida. Treinamento e material de apoio foram fornecidos ao agente.</t>
  </si>
  <si>
    <t xml:space="preserve"> The Agent does not have a quality assurance program that performs regular and independent testing of the AML/CFT and fraud controls.</t>
  </si>
  <si>
    <t>No Action required. The agent has been trained on the topic. Updated independent testing of the AML/CFT and fraud controls guideline was received.</t>
  </si>
  <si>
    <t>El agente no tiene un programa de control de calidad que realice revisiones regulares e independientes para la evaluación y control del programa de AML/CFT y Anti-Fraude.</t>
  </si>
  <si>
    <t>No se requiere acción. El agente ha sido capacitado en el tema. Los lineamientos acerca del proceso de Revisiones Independientes del programa de AML/CFT y controles de fraude fueron recibidos.</t>
  </si>
  <si>
    <t>L'Agent ne possède un programme d'assurance de qualité que effectue des tests reguliers et indépendants des controles LBC / FT et anti-fraude.</t>
  </si>
  <si>
    <t>Aucune action n’est requise. L’Agent a été formé sur le sujet et la guide de Révision Indépendante des contrôles LAB/CFT et antifraude a été reçue.</t>
  </si>
  <si>
    <t>O agente não tem um programa de controle de qualidade que realize revisões independentes com regularidade para a avaliação e monitoramento do programa PLD (Prevenção à Lavagem de Dinheiro), CFT (Combate ao Financiamento do Terrorismo) e Anti-Fraude.</t>
  </si>
  <si>
    <t>Ação não é requerida. O agente foi treinado neste tópico. Os testes independentes atualizados da diretriz AML/CFT e controles de fraude tem sido recebido.</t>
  </si>
  <si>
    <t>Agent ownership details do not match the records/system.</t>
  </si>
  <si>
    <t>Provide evidence demonstrating the ownership change has properly been notified to ensure information is accurate and complete in the Western Union systems.</t>
  </si>
  <si>
    <t>Response_Required</t>
  </si>
  <si>
    <t>The Location's HQ has not cleared all the findings and remediation action items related to the last program review or FIU/FRM Investigations, which were due on or before the date of the present review.</t>
  </si>
  <si>
    <t xml:space="preserve">No action required. The agent has remediated all pending findings and action items from the last Program Review or FIU/FRM Investigations. </t>
  </si>
  <si>
    <t>The Agent has not taken action to address regulatory review findings or law enforcement requests on a timely basis.</t>
  </si>
  <si>
    <t>Provide Western Union with a written plan describing how findings related to WU products and services will be addressed along with expected completion date.</t>
  </si>
  <si>
    <t>Major Address deviation with WU records / system.</t>
  </si>
  <si>
    <t>The findings will lead to suspension</t>
  </si>
  <si>
    <t>Suspension</t>
  </si>
  <si>
    <t>The Agent is charging unauthorized fees for Money Transfers.</t>
  </si>
  <si>
    <t>No Action Required. The agent has been trained on the topic during the course of the compliance review.</t>
  </si>
  <si>
    <t>El agente está cobrando cargos no autorizados por las transferencias.</t>
  </si>
  <si>
    <t>No se require acción. El agente ha sido debidamente entrenado en este tema durante la revisión.</t>
  </si>
  <si>
    <t>L'Agent charge des frais non-autorisés pour les virements d'argent.</t>
  </si>
  <si>
    <t>Aucune action est requise. L'Agent a été formé sur ce sujet pendant la revue de conformité</t>
  </si>
  <si>
    <t>O Agente está cobrando taxas não autorizadas por transferências de dinheiro.</t>
  </si>
  <si>
    <t>Ação não é requerida. O agente foi treinado sobre o tema durante o curso da revisão de conformidade.</t>
  </si>
  <si>
    <t xml:space="preserve"> Provide Western Union with evidence that the AML/CFT and Anti-Fraud compliance Policies and Procedures has a quality assurance program that performs regular and independent testing of the AML/CFT and fraud controls.</t>
  </si>
  <si>
    <t>Brinde a Western Union evidencia que muestre que las Políticas y Procedimientos de AML/CFT y Anti-Fraude tienen un programa de Control de Calidad que realice revisiones regulares e independientes para la adecuada evaluación y control.</t>
  </si>
  <si>
    <t>L'Agent ne possède un programme d'assurance de qualité qui effectue des tests reguliers et indépendants des controles LBC / FT et anti-fraude.</t>
  </si>
  <si>
    <t>Fournir Western Union avec évidence que les Politiques et Procédures LBC/FT et anti-fraude dispose un programme d'assurance de qualité qui effectue des test reéguliers et indépendants des controles LBC/FT et anti-fraude</t>
  </si>
  <si>
    <t>Forneça à Western Union provas para demonstrar que as políticas e procedimentos AML/CFT e antifraude têm um programa de Garantia de Qualidade que realiza revisões independentes e regulares para uma avaliação e monitoramento adequados.</t>
  </si>
  <si>
    <t>The Agent does not have a quality assurance program that performs regular and independent testing of the AML/CFT controls.</t>
  </si>
  <si>
    <t>Provide Western Union with evidence that compliance policies and procedures reflect all appropriate independent review guidelines, including an implementation action plan.</t>
  </si>
  <si>
    <t>Provide Western Union with documentation proving that findings from the last Program Review or FIU/FRM Investigations are remediated.</t>
  </si>
  <si>
    <t>The Agent has not taken action to address WU internal referrals on a timely basis.</t>
  </si>
  <si>
    <t>Provide Western Union with a written plan describing how escalations will be addressed along with expected completion date.</t>
  </si>
  <si>
    <t>GS1.GQ8</t>
  </si>
  <si>
    <t>The agent phone number does not match WU records/system.</t>
  </si>
  <si>
    <t>Phone number will be corrected &amp; updated in our records internally. No action required from Agent &amp; Principal Agent</t>
  </si>
  <si>
    <t>The Agent does not pay out the exact principal amount listed in the Western Union system.</t>
  </si>
  <si>
    <t>El agente no paga el monto principal exacto indicado en el sistema de Western Union.</t>
  </si>
  <si>
    <t>L'Agent ne verse pas le montant principale indiqué dans le système de Western Union.</t>
  </si>
  <si>
    <t>O Agente não paga o valor principal exato listado no sistema Western Union.</t>
  </si>
  <si>
    <t>There is no documentation that the Independent Review has been properly performed.</t>
  </si>
  <si>
    <t>No hay documentación que compruebe que se ha realizado la Revisión Independiente.</t>
  </si>
  <si>
    <t>Il n'existe aucune documentation qui démontre qu'il s'est effectué la revue indépendante</t>
  </si>
  <si>
    <t>Aucune action n'est requise. L'Agent a été formé sur ce sujet pendant la revue de conformité</t>
  </si>
  <si>
    <t>Não há documentação de que a Revisão Independente tenha sido conduzida.</t>
  </si>
  <si>
    <t>Provide Western Union with a copy of the Independent Review (must be  current, complete and correct).</t>
  </si>
  <si>
    <t xml:space="preserve">Location name, address, and telephone number do not match WU records/system. </t>
  </si>
  <si>
    <t>No action required. A request to the respective team has been sent to update the agent's information.</t>
  </si>
  <si>
    <t>The Agent does not have a dedicated AML/CFT Compliance Officer.</t>
  </si>
  <si>
    <t>Ensure the Compliance Officer designation is documented in the AML and Anti-Fraud Policies &amp; Procedures. Provide Western Union a copy of the CO designation document. If there are two Compliance Officers, please provide both names, titles, along with the areas that their scope of responsibility covers (i.e. AML, CTF, or Fraud).</t>
  </si>
  <si>
    <t>The feedback was shared with WU Operations team for suitable actions. The Compliance officer of Principal Agent is recommended to get the same resolved by coordinating with WU Operations team.</t>
  </si>
  <si>
    <t>GS1.GQ7</t>
  </si>
  <si>
    <t>The Agent and it's Sub-Agent, if any, do not have a documented policy in place for collecting and maintaining records regarding the identities of Agent and any Sub-Agent FLAs.</t>
  </si>
  <si>
    <t>El agente no puede confirmar que tiene Políticas y Procedimientos ni puede proporcionar documentación de que está en cumplimiento.</t>
  </si>
  <si>
    <t>No se requiere acción. El agente ha sido debidamente entrenado en este tema durante la revisión.</t>
  </si>
  <si>
    <t>L'Agent n'est pas capable de confirmer soit qu'il possède des P&amp;Ps, soit de fournir la documentation nécessaire pour démontrer qu'il est en conformité.</t>
  </si>
  <si>
    <t>Pending</t>
  </si>
  <si>
    <t>Provide Western Union with evidence of valid Agent's independent review.</t>
  </si>
  <si>
    <t>Brinde a Western Union evidencia de la Revisión Independiente.</t>
  </si>
  <si>
    <t>Fournir Western Union avec évidence de la revue indépendante valide de l'Agent</t>
  </si>
  <si>
    <t>Forneça à Western Union provas da Revisão Independente.</t>
  </si>
  <si>
    <t>Deficiencies identified in the independent   testing have not been corrected.</t>
  </si>
  <si>
    <t>Provide Western Union with an action plan that will provide for remediation of deficiencies identified during the independent review, including an implementation action plan.</t>
  </si>
  <si>
    <t>The Agent AML/CFT Compliance Officer is not adequately experienced and knowledgeable about AML/CFT compliance.</t>
  </si>
  <si>
    <t>No action required. The agent was trained on AML/CFT compliance topics during the review.</t>
  </si>
  <si>
    <t>Agent is not advising WU of material changes to company or personal information related to the ownership, registration and/or management of the Agent.</t>
  </si>
  <si>
    <t xml:space="preserve">No action required. The agent has provided necessary documentation required. </t>
  </si>
  <si>
    <t>El Agente no informa a WU sobre cambios materiales en la información personal o de la empresa relacionados con la propiedad, el registro y/o la gestión del Agente.</t>
  </si>
  <si>
    <t>No se requiere accion. El agente ha proporcionado la documentación necesaria requerida.</t>
  </si>
  <si>
    <t>L'Agent n'informe pas WU des changements importants apportés à l'entreprise ou aux informations personnelles liées à la propriété, à l'enregistrement et/ou à la gestion de l'Agent.</t>
  </si>
  <si>
    <t>Aucune action nécessaire. L'agent a fourni la documentation nécessaire requise.</t>
  </si>
  <si>
    <t>O Agente não está informando a WU sobre alterações materiais nas informações pessoais ou da empresa relacionadas à propriedade, registro e/ou gerenciamento do Agente.</t>
  </si>
  <si>
    <t>Nenhuma ação é requerida. O agente forneceu a documentação necessária exigida.</t>
  </si>
  <si>
    <t>Canada</t>
  </si>
  <si>
    <t>The Agent has not cleared all the findings and remediation action items related to the last program review or FIU/FRM Investigations, which were due on or before the date of the present review.</t>
  </si>
  <si>
    <t>The agent has been instructed to remediate all pending findings and remediation action items from the last Program Review or FIU/FRM Investigations.</t>
  </si>
  <si>
    <t>El Agente no ha remediado todos los hallazgos o investigaciones de FIU o FRM relacionados con la última revisión del programa, que vencían en la fecha de la presente revisión o antes.</t>
  </si>
  <si>
    <t>Se le ha indicado al agente que corrija todos los hallazgos pendientes por resolver encontrados a partir de la última revisión del programa o investigaciones de FIU o FRM.</t>
  </si>
  <si>
    <t>L’Agent n’a pas complété les actions correctives liées a la dernière Révision du Programme ou aux enquêtes de la FIU ou FRM, lesquelles étaient en échéance avant ou pendant la Révision la plus récente.</t>
  </si>
  <si>
    <t>On a demandé à l’Agent de compléter toutes les actions de remédiation assignées lors de la dernière Révision du Programme ou des enquêtes de la FIU ou FRM.</t>
  </si>
  <si>
    <t>O Agente não esclareceu todos os itens das identificados e acções de remediação relacionados com a última revisão do programa ou às investigações da UIF/FRM, que deveriam ter sido efectuadas na data da presente revisão ou antes dela.</t>
  </si>
  <si>
    <t>O oficial foi instruído para corrigir todas as itens pendentes encontradas desde a última revisão do Programa ou Investigações da IUF/FRM.</t>
  </si>
  <si>
    <t>Deficiencies identified in the independent testing have not been corrected.</t>
  </si>
  <si>
    <t>No action required. The agent provided an action plan to correct deficiencies identified during the independent review.</t>
  </si>
  <si>
    <t>Las deficiencias encontradas en la Revisión Independiente, no han sido corregidas.</t>
  </si>
  <si>
    <t>No se require acción. El agente brindó un plan de acción para la corrección de las deficiencias encontradas en la Revisión Independiente.</t>
  </si>
  <si>
    <t>Les faiblesses identifiées lors des test indépendants n'ont pas étés corrigées</t>
  </si>
  <si>
    <t>Aucune action n'est requise. L'Agent a fourni un plan d'action pour corriger les faiblesses identifiées pendant la revue indépendante.</t>
  </si>
  <si>
    <t>Deficiências encontradas na Revisão Independente não foram corrigidas.</t>
  </si>
  <si>
    <t>Ação não é requerida. O agente forneceu um plano de ação para corrigir as deficiências identificadas durante a revisão independente.</t>
  </si>
  <si>
    <t>FLAs are sharing Operator IDs and passwords to speed up processing.</t>
  </si>
  <si>
    <t>Ensure FLAs use their personal and unique login credentials (IDs and passcodes) to all Western Union systems. Western Union will follow up on this item to confirm that credentials are properly utilized by each FLA.</t>
  </si>
  <si>
    <t xml:space="preserve">FLAs do not have access to the Agent's complete AML/CFT Compliance policies and procedures. </t>
  </si>
  <si>
    <t>Provide Western Union with documentation confirming that all FLAs have access to their complete AML/CFT Compliance Policies and Procedures</t>
  </si>
  <si>
    <t>The Agent's Compliance Officer's reporting line is not independent from the Sales or Business function.</t>
  </si>
  <si>
    <t>Provide Western Union with supporting evidence of Compliance Officer role in the organization. Evidence must consider size of the entity and could include updated organizational chart, CO job description or updated policies and procedures.</t>
  </si>
  <si>
    <t>Operating from a residence</t>
  </si>
  <si>
    <t>Feedback provided to FLA and the same has been escalated to WU Operations team for suitable actions.</t>
  </si>
  <si>
    <t xml:space="preserve">The name of the AML/CFT and/or Anti-Fraud Compliance Officer/Compliance Delegate has changed since the last Program Review but WU has not been notified of the change. </t>
  </si>
  <si>
    <t xml:space="preserve">No action required. A request to the respective team has been sent to update the agent's information. </t>
  </si>
  <si>
    <t>EL nombre del Oficial de Cumplimiento del programa de AML/CFT y/o Anti-Fraude, ha cambiado desde la última revisión; sin embargo, Western Union no ha sido notificado.</t>
  </si>
  <si>
    <t>No se requiere acción. Se ha solicitado al equipo correspondiente la actualización de la información.</t>
  </si>
  <si>
    <t>Le nom du Responsible Conformité et Lutte Anti-Fraude a changé depuis le dernier examen des programmes, mais WU n'a pas été notifié du changement.</t>
  </si>
  <si>
    <t>Aucune action n'est requise.  Une requête a été envoyée à l'équipe concernée pour mettre à jour les informations de l'agent.</t>
  </si>
  <si>
    <t>O nome do Official de compliance do programa de AML/CFT e Antifraude tem mudado desde a ultima revisão mais não foi notificado a WU.</t>
  </si>
  <si>
    <t>Ação não é requerida. Uma solicitação à equipe responsável foi enviada para atualizar as informações do agente.</t>
  </si>
  <si>
    <t>Provide Western Union with an action plan to correct the deficiencies identified during the independent review.</t>
  </si>
  <si>
    <t>Brinde a Western Union un plan de acción para corregir las deficiencias encontradas durante la Revisión Independiente.</t>
  </si>
  <si>
    <t>Fournir Wester Union avec un plan d'action pour corriger les les faiblesses identifiées pendant la revue indépendante</t>
  </si>
  <si>
    <t>Forneça à Western Union um plano de ação para corrigir as deficiências encontradas durante a Revisão Independente.</t>
  </si>
  <si>
    <t>The authorized operator list is not up to date.</t>
  </si>
  <si>
    <t>Provide Western Union with a copy of updated Operator list from WU systems with matching list of active FLAs from the agent.</t>
  </si>
  <si>
    <t>FLAs cannot demonstrate they have been properly trained by describing AML and CFT compliance characteristics.</t>
  </si>
  <si>
    <t>The Agent does not have clearly documented AML/CFT compliance policies and procedures.</t>
  </si>
  <si>
    <t xml:space="preserve">Provide Western Union with proof of documented AML/CTF Compliance policies and procedures.
</t>
  </si>
  <si>
    <t>Agent is not displaying a current Revenu Quebec permit in a conspicuous place.</t>
  </si>
  <si>
    <t>No action required. The agent has appropriate Revenu Quebec registration for services provided by Western union but is awaiting approval.</t>
  </si>
  <si>
    <t>El agente no muestra un permiso vigente de Revenu Quebec en un lugar visible.</t>
  </si>
  <si>
    <t>No se requiere accion. El agente tiene el registro correspondiente en Revenu Quebec para los servicios prestados por Western Union, pero está pendiente de aprobación.</t>
  </si>
  <si>
    <t>L'agent n'affiche pas un permis actuel de Revenu Québec dans un endroit bien en vue.</t>
  </si>
  <si>
    <t>Aucune action nécessaire. L'agent est inscrit à Revenu Québec pour les services fournis par Western Union, mais il attend l'approbation.</t>
  </si>
  <si>
    <t>O agente não está exibindo uma licença atual da Revenu Quebec em um local visível.</t>
  </si>
  <si>
    <t>Nenhuma ação é requerida. O agente possui registro apropriado na Revenu Quebec para serviços prestados pela Western Union, mas está aguardando aprovação.</t>
  </si>
  <si>
    <t>La línea de jerarquía del Oficial de Cumplimiento no es independiente de las funciones de ventas o negocios.</t>
  </si>
  <si>
    <t>La ligne hiérarchique du Chargé de conformité de l’Agence n’est pas indépendant de l’entreprise ou la fonction d’affaire.</t>
  </si>
  <si>
    <t>Aucune action n' est requise. L'Agent a été formé sur ce sujet pendant la revue de conformité</t>
  </si>
  <si>
    <t>A linha de reporte do Official de Compliance do Agente não é independente da função de vendas ou negócios.</t>
  </si>
  <si>
    <t>The Location has Data Integrity issues.</t>
  </si>
  <si>
    <t>La localidad tiene problemas de integridad de datos.</t>
  </si>
  <si>
    <t>L'emplacement présente des problèmes d'intégrité des données.</t>
  </si>
  <si>
    <t>A localidade tem problemas de integridade de dados.</t>
  </si>
  <si>
    <t>Não Ação Requerida. O agente foi treinado sobre o tema durante o curso da revisão de conformidade.</t>
  </si>
  <si>
    <t>Some or all FLAs do not know that consumers  must be physically present to transact.</t>
  </si>
  <si>
    <t>Provide Western Union with written confirmation of remediation from the HQ.</t>
  </si>
  <si>
    <t>Provide Western Union with Training Log that evidences all FLAs have been trained on AML and CFT compliance topics. Make sure the confirmation includes the topic covered, name of the attendees, dates of attendance and method of delivery.</t>
  </si>
  <si>
    <t>Provide Western Union with documentation proving that the permit is displayed at the agent location.</t>
  </si>
  <si>
    <t>Proporcione a Western Union documentación que demuestre que el permiso está exhibido en la ubicación del agente.</t>
  </si>
  <si>
    <t>Fournir à Western Union la documentation prouvant que le permis est affiché chez l’agent.</t>
  </si>
  <si>
    <t>Forneça à Western Union documentação que comprove que a licença está exibida no local do agente.</t>
  </si>
  <si>
    <t>The Agent Compliance Officer's compliance responsibilities are not clearly documented.</t>
  </si>
  <si>
    <t xml:space="preserve">No action required. Feedback/Training given and the respective document with the CO/CD's compliance responsibilities has been received. </t>
  </si>
  <si>
    <t>Las responsabilidades del Oficial de Cumplimiento en su rol como encargado del programa de cumplimiento no se encuentran debidamente documentadas.</t>
  </si>
  <si>
    <t>No se requiere acción. Se ha entrenado al agente y se ha obtenido el documento correspondiente con las responsibilidades del Oficial de Cumplimiento.</t>
  </si>
  <si>
    <t>Les responsabilités de l'Agent de Conformité ne sont pas clairement documentées</t>
  </si>
  <si>
    <t>Aucune action n'est requise. La rétroaction/la formation a été dispensée et le document correspondant avec les responsabilités de conformité du CO/DC a été reçu.</t>
  </si>
  <si>
    <t>As responsabilidades do Official de Compliance na sua função de responsável do programa de compliance não estão devidamente documentadas.</t>
  </si>
  <si>
    <t>Ação não é requerida. Feedback/treinamento foi fornecido e o documento requerido com as responsabilidades do CO/CD foi recebido.</t>
  </si>
  <si>
    <t xml:space="preserve">Provide Western Union documentation showing all employees have been trained on the topic. Make sure the confirmation includes the topic covered, name of the attendees and the date. Western Union will continue monitoring to assess if this action item is remediated on the agent's side. </t>
  </si>
  <si>
    <t>Proporcione documentación a Western Union que demuestre que todos los empleados han recibido capacitación sobre el tema. Asegúrese que la confirmación incluya el tema cubierto, el nombre de las personas que asistieron a la sesión y la fecha de la capacitación. Western Union monitoreará y evaluará si este ítem ha  sido debidamente remediado.</t>
  </si>
  <si>
    <t>Fournir documents à Western Union montrant que tous les opérateurs ont reçu formation sur le sujet. Assurez-vous que la confirmation inclut le sujet traité, le nom des participants et la date. Western Union va surveiller et évaluer si ce sujet a été correctement corrigé.</t>
  </si>
  <si>
    <t>Forneçã a Western Union com documentação mostrando que todos os funcionários foram treinados sobre o tópico. Certifique-se de que a confirmação inclua o tópico abordado, o nome dos participantes e a data do treinamento. A Western Union continuará monitorando para avaliar se este item foi remediado do lado do agente.</t>
  </si>
  <si>
    <t>Employees do not have access to compliance policies and procedures.</t>
  </si>
  <si>
    <t xml:space="preserve">Provide Western Union with written confirmation stating that the Agent has made the AML/CFT Compliance policies and procedures available to employees  at the Point of Sale (POS). </t>
  </si>
  <si>
    <t xml:space="preserve">FLA's do not know how to identify suspicious activity red flags or transactions. </t>
  </si>
  <si>
    <t>No action required. Specific training material to this topic has been sent to the Agent. All FLAs have received feedback/training on this topic during the course of the review.</t>
  </si>
  <si>
    <t>The Agent's AML policies and procedures are not complete.</t>
  </si>
  <si>
    <t>Provide Western Union with proof of updated AML/CTF Compliance policies and procedures.</t>
  </si>
  <si>
    <t>Agent is unable to describe the appropriate steps in LCTRs</t>
  </si>
  <si>
    <t>El agente no puede describir los pasos apropiados en los LCTR</t>
  </si>
  <si>
    <t>L'Agent n'est pas en mesure de décrire les étapes appropriées dans les LCTR</t>
  </si>
  <si>
    <t>O agente não consegue descrever as etapas apropriadas nas LCTRs</t>
  </si>
  <si>
    <t>The Agent does not have documented AML/CFT compliance policies and procedures.</t>
  </si>
  <si>
    <t xml:space="preserve">No action required. The respective document with the AML/CFT Policies and Procedures has been given. </t>
  </si>
  <si>
    <t>El agente no tiene políiticas de cumplimiento de AML/CFT debidamente documentadas.</t>
  </si>
  <si>
    <t xml:space="preserve">No se requiere acción. Se ha obtenido el documento correspondiente con las Políticas y Procedimientos del programa de AML/CFT. </t>
  </si>
  <si>
    <t>L'Agent n'a pas de politiques et procédures de conformité LAB/FT documentées.</t>
  </si>
  <si>
    <t>Aucune action n'est requise. Le document avec les Politiques et Procédures du programme LAB/FT a été reçu</t>
  </si>
  <si>
    <t>O agente não tem documentado as politicas e procedimentos de AML/CFT.</t>
  </si>
  <si>
    <t>Ação não é requerida. O documento correspondente com as politicas e procedimento de AML/CFT tem sido obtido.</t>
  </si>
  <si>
    <t>FLAs do not know the acceptable forms of identification for a Western Union transaction.</t>
  </si>
  <si>
    <t>No Action Required. All FLAs have been trained on the topic during the course of the compliance review.</t>
  </si>
  <si>
    <t>Los operadores desconocen los tipos de identificación aceptados para las transferencias de Western Union.</t>
  </si>
  <si>
    <t>No se require acción. Todos los operadores han sido debidamente entrenados en este tema durante la revisión.</t>
  </si>
  <si>
    <t>Les FLAs ne connaissent pas les formes d'identification acceptables pour une transaction Western Union.</t>
  </si>
  <si>
    <t>Aucune action n'est requise. Tous les FLA ont été formés sur ce sujet pendant la revue de conformité.</t>
  </si>
  <si>
    <t>Os operadores desconhecem os tipos de identificação aceitos para transferências Western Union.</t>
  </si>
  <si>
    <t>Não Ação Requerida. Todos os Agentes tem sido treinados no tema durante o curso da revisão de conformidade.</t>
  </si>
  <si>
    <t>The Agent does not have a dedicated Compliance Officer.</t>
  </si>
  <si>
    <t>Provide Western Union with documentation of CO/CD designation.</t>
  </si>
  <si>
    <t>Provide Western Union with training evidence or confirmation that all FLAs have completed training on the topic.  Make sure the confirmation includes the topic covered, name of the attendees, dates of attendance and method of delivery.</t>
  </si>
  <si>
    <t>Provide Western Union with training evidence or confirmation that all FLAs have completed training on the topic. Make sure the confirmation includes the topic covered, name of the attendees and the date.</t>
  </si>
  <si>
    <t>Brinde a Western Union evidencia o confirmación que todos los operadores han sido entrenados en el tema. Asegúrese que la confirmación incluya el tema cubierto, el nombre de las personas que asistieron a la sesión y la fecha de la capacitación.</t>
  </si>
  <si>
    <t>Fournir Western Union avec évidence de formation ou confirmation que tous les opérateurs ont complété la formation sur le sujet. Assurez-vous que la confirmation inclut le sujet indiqué, le nom des assistants et la date.</t>
  </si>
  <si>
    <t>Forneça à Western Union documentação escrita da sede principal confirmando que todos os FLAs têm sido treinados no topico requerido. Certifique-se de que a confirmação inclua o tópico abordado, o nome dos participantes e a data do treinamento.</t>
  </si>
  <si>
    <t>The Agent's AML/CFT policies and procedures are not complete.</t>
  </si>
  <si>
    <t xml:space="preserve">No action required. The complete document with the AML/CFT Policies and Procedures has been given. </t>
  </si>
  <si>
    <t>Las Políticas y Procedimientos de AML/CFT, estan incompletas.</t>
  </si>
  <si>
    <t xml:space="preserve">No se requiere acción. Se ha obtenido el documento completo con las Políticas y Procedimientos del programa de AML/CFT. </t>
  </si>
  <si>
    <t>Les politiques et procédures LAB de l'Agent sont incomplètes</t>
  </si>
  <si>
    <t>Aucune action n'est requise. Le document complet avec les Politiques et Procédures du programme LAB/FT a été reçu.</t>
  </si>
  <si>
    <t>As políticas e procedimentos de AML/CFT do agente não estão completos.</t>
  </si>
  <si>
    <t>Ação não é requerida. O documento correspondente com as politicas e procedimento do programa de AML/CFT tem sido obtido.</t>
  </si>
  <si>
    <t>Provide Western Union with training evidence confirming all FLAs have been trained on the topic. Make sure the confirmation includes the topic covered, name of the attendees and the date.</t>
  </si>
  <si>
    <t>Brinde a Western Union confirmación donde se evidencie que todos los empleados han sido entrenados en este tema. Asegúrese que la confirmación incluya el tema cubierto, el nombre de las personas que asistieron a la sesión y la fecha de la capacitación.</t>
  </si>
  <si>
    <t>Fournir à Western Union évidence de formation confirmant que tous les FLA ont été formés sur le sujet. Assurez-vous que la confirmation inclut le sujet traité, le nom des participants et la date.</t>
  </si>
  <si>
    <t>Forneça a Western Union provas de treinamento confirmando que todos os operadores foram treinados sobre o tema. Certifique-se de que a confirmação inclua o tópico abordado, o nome dos participantes e a data do treinamento.</t>
  </si>
  <si>
    <t>The Agent Compliance Officer's AML compliance responsibilities are not clearly documented.</t>
  </si>
  <si>
    <t xml:space="preserve">Provide Western Union with clearly documented proof of Agent CO/CD's AML compliance  responsibilities. </t>
  </si>
  <si>
    <t>FLAs do not know the steps to take (including reporting) when faced with suspicious activity or transactions.</t>
  </si>
  <si>
    <t>The Agent's AML/CFT Compliance policies and procedures have not been reviewed and approved by senior management in the last 12 months, or according to the prescribed time frame specified by the governing Act/Legislation or regulation.</t>
  </si>
  <si>
    <t>Provide evidence proving review and approval of the AML/CFT Compliance  policies and procedures by senior management.</t>
  </si>
  <si>
    <t>El Agente no ha remediado todos los hallazgos relacionados con la última revisión del programa o investigaciones de FIU/FRM, que vencían en la fecha de la presente revisión o antes.</t>
  </si>
  <si>
    <t>No se require acción. El agente ha corregido todos los hallazgos pendientes de la última revisión del programa y/o investigaciones de FIU/FRM.</t>
  </si>
  <si>
    <t>L'agent n'a pas corrigé toutes les constatations et prise les mesures correctives liées à la dernière revue du programme ou aux enquêtes de la CRF/FRM, qui étaient dues au plus tard à la date de la présente revue.</t>
  </si>
  <si>
    <t>Aucune action est nécessaire. L’agent a corrigé tous les soucis ainsi que les mesures en attente issues de la dernière revue du programme et des enquêtes de la CRF/FRM.</t>
  </si>
  <si>
    <t>O Agente não corrigiu todos os itens de ação de correção relacionados à última revisão do programa ou investigações de FIU/FRM, que deviam ser fornecidoa durante o antes da presente revisão.</t>
  </si>
  <si>
    <t>Ação não é requerida.O agente corrigiu todas os itens pendentes da última revisão e as investigações de FIU/FRM.</t>
  </si>
  <si>
    <t xml:space="preserve">The Agent does not have documented Anti-Fraud compliance policies and procedures.  </t>
  </si>
  <si>
    <t xml:space="preserve">No action required. The respective document with the Anti-Fraud Policies and Procedures has been given. </t>
  </si>
  <si>
    <t>El agente no tiene políiticas de cumplimiento de Anti-Fraude debidamente documentadas.</t>
  </si>
  <si>
    <t xml:space="preserve">No se requiere acción. Se ha obtenido el documento correspondiente con las Políticas y Procedimientos del programa de Anti-Fraude. </t>
  </si>
  <si>
    <t>L'Agent n'a pas des politiques et procédures de conformité anti-fraude documentées</t>
  </si>
  <si>
    <t>Aucune action n'est requise. Le document complet avec les Politiques et Procédures du programme Anti Fraude a été reçu.</t>
  </si>
  <si>
    <t>O agente não tem documentado as politicas e procedimentos de Anti-Fraude.</t>
  </si>
  <si>
    <t>Ação não é requerida. O documento correspondente com as politicas e procedimento de Anti-Fraude tem sido obtido.</t>
  </si>
  <si>
    <t>FLAs do not check to ensure that consumers ID meet minimum requirements.</t>
  </si>
  <si>
    <t>Los operadores no se aseguran que las identificaciones de los clientes cumplan con los requerimientos mínimos.</t>
  </si>
  <si>
    <t>Les FLAs ne vérifient pas que l'identification des consommateurs réponde aux exigences minimales</t>
  </si>
  <si>
    <t>Os operadores não certificam que as IDs dos clientes cumpram com os requisitos mínimos.</t>
  </si>
  <si>
    <t>The Agent does not have documented AML compliance policies and procedures.</t>
  </si>
  <si>
    <t>Provide Western Union with documentation of  AML/CTF Compliance policies and procedures.</t>
  </si>
  <si>
    <t>Provide Western Union with written confirmation that all FLAs have been trained regarding the appropriate steps to take when faced with a suspicious activity or transaction (including reporting). Make sure the confirmation includes the topic covered, name of the attendees, dates of attendance and method of delivery.</t>
  </si>
  <si>
    <t>The Agent's AML/CFT Compliance policies and procedures have not been communicated to employees at least annually.</t>
  </si>
  <si>
    <t xml:space="preserve">Provide Western union with confirmation of distribution of AML/CTF policies and procedures to all employees. </t>
  </si>
  <si>
    <t>FLA is unable to describe AML/CFT risks most relevant to their geography and business.</t>
  </si>
  <si>
    <t>Refresher training was provided on  AML/CFT topics</t>
  </si>
  <si>
    <t>The Agent's Anti-Fraud policies and procedures are not complete.</t>
  </si>
  <si>
    <t xml:space="preserve">No action required. The complete document with the Anti-Fraude Policies and Procedures has been given. </t>
  </si>
  <si>
    <t>Las Políticas y Procedimientos de Anti-Fraude, estan incompletas.</t>
  </si>
  <si>
    <t xml:space="preserve">No se requiere acción. Se ha obtenido el documento completo con las Políticas y Procedimientos del programa de Anti-Fraude. </t>
  </si>
  <si>
    <t>Les Politiques et Procédures Anti-Frude sont incomplètes</t>
  </si>
  <si>
    <t>As políticas e procedimentos de Anti-fraude do agente não estão completos.</t>
  </si>
  <si>
    <t>Ação não é requerida. O documento correspondente com as politicas e procedimento do programa de Anti-Fraude tem sido obtido.</t>
  </si>
  <si>
    <t>Provide Western Union with documentation of updated AML/CTF Compliance policies and procedures.</t>
  </si>
  <si>
    <t>The FLA(s) is unable to identify Agent Fraud related activity.</t>
  </si>
  <si>
    <t>Employees who are responsible for Western Union products and services have not acknowledged that they have read and understood the AML/CFT Compliance policy.</t>
  </si>
  <si>
    <t>Provide Western Union with confirmation that all employees have read and understood the AML/CTF Compliance policies and procedures that have been distributed.</t>
  </si>
  <si>
    <t>GS3.GQ7</t>
  </si>
  <si>
    <t>Brinde a Western Union documentación que demuestre que se remediaron los hallazgos de la última revisión del programa o de las investigaciones de FIU/FRM según sea el caso.</t>
  </si>
  <si>
    <t>Fournissez Western Union avec les documents prouvant que les soucis de la dernière revue de programme ou des enquêtes de la CRF/FRM ont été corrigées.</t>
  </si>
  <si>
    <t>Forneça à Western Union documentação que comprove que os itens identificados da última revisão ou as investigações de FIU/FRM foram corrigidos.</t>
  </si>
  <si>
    <t>The Agent's AML/CFT &amp; Anti-Fraud Policies and Procedures are not updated periodically.</t>
  </si>
  <si>
    <t>No action required. The agent provided confirmation of their AML/CFT &amp; Anti-Fraud Policies and Procedures being updated periodically and/or written statement describing their process for updating their procedures periodically.</t>
  </si>
  <si>
    <t>Las Políticas y Procedimientos AML/CFTy Anti-fraude no se actualizan periódicamente.</t>
  </si>
  <si>
    <t>No se requiere acción. El agente proporcionó confirmación que demuestra que sus Políticas y Procedimientos de AML/CFT y Anti-fraude se actualizan periódicamente y/o una declaración escrita indicando el proceso para actualizar sus procedimientos periódicamente.</t>
  </si>
  <si>
    <t>Les politiques LAB/CFT et anti-fraude ne sont pas mis à jour périodiquement.</t>
  </si>
  <si>
    <t>L'Agent a fourni la preuve confirmant que les Politiques et procédures AML/CFT et anti-fraude sont mises a jour périodiquement et/ou une confirmation écrite faisant preuve du processus suivi pour mettre a jour les dites politiques.</t>
  </si>
  <si>
    <t>As Políticas e Procedimentos de Antifraude e AML/CFT do Agente não são atualizados periodicamente.</t>
  </si>
  <si>
    <t>Ação não é requerida. O agente forneceu confirmação que suas Políticas e Procedimentos de AML/CFT e Antifraude são atualizados periodicamente e/ou declaração escrita descrevendo seu processo para atualização periódica de seus procedimentos.</t>
  </si>
  <si>
    <t>FLAs do not know that third party transactions are not permitted.</t>
  </si>
  <si>
    <t>Los operadores no saben que las transferencias a terceros son prohibidas.</t>
  </si>
  <si>
    <t>Les FLAs ne savent pas que les transactions avec des tiers ne sont pas autorisées.</t>
  </si>
  <si>
    <t>Os operadores desconhecem que as transferências para terceiras pessoas são proibidas.</t>
  </si>
  <si>
    <t>The Agent's AML/CFT policies and procedures have not been communicated to employees at least annually.</t>
  </si>
  <si>
    <t xml:space="preserve">Provide Western Union with confirmation that AML/CTF policies and procedures have been distributed to all employees. </t>
  </si>
  <si>
    <t>Provide Western Union with training evidence or confirmation that all FLAs have completed training on the topic. Make sure the confirmation includes the topic covered, name of the attendees, dates of attendance and method of delivery.</t>
  </si>
  <si>
    <t>The Agent's AML policies and procedures do not contain the necessary minimum content regarding training requirements.</t>
  </si>
  <si>
    <t xml:space="preserve">Provide Western Union with evidence that AML/CTF Compliance policies and procedures states the following:
• Front Line Associates ("FLA") are required to complete compliance training before they provide Western Union products and services.
• AML/CFT compliance training must be completed annually.
• FLAs must demonstrate understanding of training content by achieving an acceptable score on their  AML/CFT compliance training examination.
</t>
  </si>
  <si>
    <t>GS3.GQ8</t>
  </si>
  <si>
    <t>Some or all FLAs do not know that consumers must be physically present to transact.</t>
  </si>
  <si>
    <t>Refresher training was provided on the importance of the customer being pysically present to transact</t>
  </si>
  <si>
    <t>The Agent's AML/CFT and Anti-Fraud Policies and Procedures have not been communicated to employees at least annually.</t>
  </si>
  <si>
    <t xml:space="preserve">No action required. AML/CFT and Anti-Fraud Training has been delivered to all employees involved with Western Union services. The agent has also been instructed to continue to communicate the program to the staff at least on a yearly basis. </t>
  </si>
  <si>
    <t>Las Políticas y Procedimientos de AML/CFT y Anti-Fraude, no han sido debidamente comunicadas a los empleados anualmente.</t>
  </si>
  <si>
    <t>No se requiere acción. Se ha brindado capacitación de AML/CFT y Anti-Fraude a todos los empleados con acceso a los sistemas de Western Union. Se le ha indicado al agente que continue comunicando el programa a todos los operadores de forma annual.</t>
  </si>
  <si>
    <t>Les Politiques et Procédures LAB/FT et Anti-Fraude n'ont pas été communiquées aux employés au moins une fois par an.</t>
  </si>
  <si>
    <t>Aucune action n'est requise. La formation LAB/ FTa été dispensée à tous les employés avec l'accès aux systèmes de Western Union. L'agent a été instruit de continuer à communiquer le programme au personnel au moins une fois par an.</t>
  </si>
  <si>
    <t>As políticas e procedimentos AML/CFT e Antifraude não foram comunicados aos funcionários pelo menos uma vez por ano.</t>
  </si>
  <si>
    <t>Ação não é requerida. Treinamento de AML/CFT e Anti-Fraude foi fornecido a todos os funcionários relacionados aos serviços da Western Union. O agente também foi instruído para manter a comunicação com los funcionários sobre o programa pelo menos uma vez por ano.</t>
  </si>
  <si>
    <t>Employees who are responsible for Western Union products and services are not required to  acknowledge that they have read and understood the AML policy.</t>
  </si>
  <si>
    <t xml:space="preserve">Provide Western Union with confirmation that all employees have acknowledged that they have read and understood the AML/CTF policies and procedures. </t>
  </si>
  <si>
    <t>The FLA(s) is unable to describe the actions that should be taken when faced with Agent fraud related activity.</t>
  </si>
  <si>
    <t>Agent AML training content does not meet WU standards.</t>
  </si>
  <si>
    <t>Provide updated training evidence to ensure missing items have been remediated.</t>
  </si>
  <si>
    <t>The compliance officer of Principal Agent is requested to provide training to FLA and confirm in writing to us</t>
  </si>
  <si>
    <t>The Agent does not have a clearly communicated process for its FLAs, Sub-Agents, or Agent management to report suspicious activity concerns to the Agent's Compliance Officer.</t>
  </si>
  <si>
    <t>El Agente no tiene un proceso claramente comunicado para que sus operadores, Sub-agentes o la administración de Agentes informen inquietudes sobre actividades sospechosas al Oficial de Cumplimiento.</t>
  </si>
  <si>
    <t>L’Agent n’a normalisé, ni communiqué un processus pour ses employés, sous-agents ou gestionnaires visant le rapport des activités suspectes auprès du Chargé de conformité.</t>
  </si>
  <si>
    <t>O Agente não tem um processo claramente comunicado para seus funcionários, Subagentes ou gerenciamento do Agente para relatar atividades suspeitas ao Official de Conformidade.</t>
  </si>
  <si>
    <t>Some or all FLAs do not know that consumers (or their representatives for countries where third party transactions are allowed) must be physically present to transact.</t>
  </si>
  <si>
    <t>Algunos operadores no saben que los consumidores (o sus representantes) deben estar físicamente presentes.</t>
  </si>
  <si>
    <t>Certains ou quelques FLAs ne savent pas que les consommateurs (ou leurs représentants dans les pays où les transactions avec des tiers sont autorisées) doivent être physiquement présents pour effectuer des transactions.</t>
  </si>
  <si>
    <t>Alguns ou todos os funcionarios não sabem que os consumidores (ou seus representantes para países onde as transações de terceiros são permitidas) devem estar fisicamente presentes para realizar a transação.</t>
  </si>
  <si>
    <t>Provide Western Union with evidence that AML/CTF Compliance policies and procedures contain requirements for intial and ongoing training as well as numerical score that demonstrates understanding of training content.</t>
  </si>
  <si>
    <t>The Agent's Compliance Officer is not able to provide documented proof that all FLAs have received initial AML/CFT training.</t>
  </si>
  <si>
    <t xml:space="preserve">Provide Western Union with evidence proving initial AML/CFT Compliance training was provided to all employees. </t>
  </si>
  <si>
    <t xml:space="preserve">FLAs are deliberately processing transactions without the consumer being present in order to avoid compliance controls </t>
  </si>
  <si>
    <t>No Action Required. Training given to the agent during the course of the review. Training material has been also sent to the agent.</t>
  </si>
  <si>
    <t>No se requiere acción. Se capacitó al agente durante la revisión. Se brindó también material de capacitación.</t>
  </si>
  <si>
    <t>Aucune action n'est requise. L'agent a été formé au cours de la revue. Document de formation a également été envoyé à l'agent.</t>
  </si>
  <si>
    <t>Ação não é requerida. Treinamento dado ao agente durante a revisão. O material de treinamento, também foi enviado ao agente.</t>
  </si>
  <si>
    <t>Not all FLAs have been adequately trained.</t>
  </si>
  <si>
    <t>Provide Western Union with proof that training on the topic has been provided and documented. Make sure the confirmation includes the topic covered, name of the attendees and the date.</t>
  </si>
  <si>
    <t>The Agent's Compliance Officer is not able to provide documented proof that all FLAs have received ongoing AML/CFT training.</t>
  </si>
  <si>
    <t xml:space="preserve">Provide Western Union with evidence proving ongoing AML/CFT Compliance training was provided to all employees. </t>
  </si>
  <si>
    <t>FLAs have not been adequately trained on Anti-fraud measures</t>
  </si>
  <si>
    <t>Refresher training was provided on Fraud topics</t>
  </si>
  <si>
    <t>The Agent does not have a documented Training Program.</t>
  </si>
  <si>
    <t>No action required. The agent has been provided with training material during the course of the review.</t>
  </si>
  <si>
    <t>El agente no tiene un programa de capacitación debidamente documentado.</t>
  </si>
  <si>
    <t>No se requiere acción. Se le ha brindado material de capacitación al agente durante la revisión.</t>
  </si>
  <si>
    <t>L'Agent ne possède pas un programme de formation documenté</t>
  </si>
  <si>
    <t>Aucune action n’est requise. L’Agent a été fourni avec le matériel de formation pendant la révision.</t>
  </si>
  <si>
    <t xml:space="preserve"> O Agente não tem um Programa de Treinamento documentado</t>
  </si>
  <si>
    <t>Ação não é requerida. O material de treinamento foi fornecido ao agente durante a revisão.</t>
  </si>
  <si>
    <t>Some or all FLAs are deliberately processing transactions without the consumer being present in order to avoid compliance controls.</t>
  </si>
  <si>
    <t>Provide Western Union with training evidence confirming all FLAs have been trained on the topic (Suspension). Make sure the confirmation includes the topic covered, name of the attendees and the date.</t>
  </si>
  <si>
    <t>Algunos operadores procesan deliberadamente transacciones sabiendo que los consumidores deben estar físicamente presentes para evadir controles de cumplimiento.</t>
  </si>
  <si>
    <t>Brinde a Western Union confirmación donde se evidencie que todos los empleados han sido entrenados en este tema (Suspensión). Asegúrese que la confirmación incluya el tema cubierto, el nombre de las personas que asistieron a la sesión y la fecha de la capacitación.</t>
  </si>
  <si>
    <t>Certains ou tous les FLAs traitent délibérément des transactions sans la présence du consommateur afin d'éviter les contrôles de conformité (Suspension).</t>
  </si>
  <si>
    <t>Fournir à Western Union évidence de formation confirmant que tous les FLA ont été formés sur le sujet (Suspension). Assurez-vous que la confirmation inclut le sujet traité, le nom des participants et la date.</t>
  </si>
  <si>
    <t>lguns ou todos os FLAs estão processando deliberadamente transações sem a presença do consumidor para evitar controles de compliance.</t>
  </si>
  <si>
    <t>Forneça a Western Union provas de treinamento confirmando que todos os operadores foram treinados sobre o tema (Suspensão). Certifique-se de que a confirmação inclua o tópico abordado, o nome dos participantes e a data do treinamento.</t>
  </si>
  <si>
    <t>The FLAs were not able to describe any types of suspicious activity or transactions.</t>
  </si>
  <si>
    <t>Provide Western Union with proof/written confirmation that the FLA's have received the appropriate training. Make sure the confirmation includes the topic covered, name of the attendees and the date.</t>
  </si>
  <si>
    <t>No action required. The agent provided the respective evidence during the course of the review.</t>
  </si>
  <si>
    <t>No se requiere acción. El Agente brindó la evidencia correspondiente durante la revisión.</t>
  </si>
  <si>
    <t>Aucune action n’est requise. L’Agent a fait parvenir la preuve nécessaire pendant la révision.</t>
  </si>
  <si>
    <t>Ação não é requerida. O agente forneceu as respectivas evidências durante a revisão.</t>
  </si>
  <si>
    <t>The FLAs do not ensure that all applicable forms/receipts need to be completed and/or signed.</t>
  </si>
  <si>
    <t>No Action Required. All FLAs have been trained on the topic during the course of the compliance review. The Agent has provided a written statement detailing the procedure that has been implemented to ensure that all applicable forms/receipts will be fully completed and signed by both FLA and consumers.</t>
  </si>
  <si>
    <t>Los operadores no se aseguran que todos los recibos/formularios estén debidamente completados y firmados.</t>
  </si>
  <si>
    <t>No se require acción. Todos los operadores han sido debidamente entrenados en este tema durante la revisión. El agente ha brindado por escrito un compromiso detallando el proceso implementado para asegurarse que todos los formularios/recibos estén debidamente completados y firmados por los operadores y el cliente.</t>
  </si>
  <si>
    <t>Les FLA ne garantissent pas que tous les formulaires/reçus applicables doivent être remplis et/ou signés.</t>
  </si>
  <si>
    <t>Tous les FLA ont été formés sur le sujet au cours de la revue de conformité. L'Agent a fourni une déclaration écrite détaillant la procédure qui a été mise en œuvre pour s'assurer que tous les formulaires/reçus applicables seront entièrement remplis et signés par les FLAs et les consommateurs. Un échantillon de 03 récépissés signés a également été remis par l'agent.</t>
  </si>
  <si>
    <t>Os Agentes não garantem que todos os formulários/recibos aplicáveis tenham que ser preenchidos e/ou assinados.</t>
  </si>
  <si>
    <t>Não ação requerida. Todos os operadores foram devidamente treinados sobre o tema durante a revisão. O agente forneceu um compromisso escrito detalhando o processo implementado para garantir que todos os formulários/recibos sejam devidamente preenchidos e assinados pelos operadores e pelo cliente. O agente também forneceu 03 cópias de recibos devidamente assinados.</t>
  </si>
  <si>
    <t>The FLAs do not know what to do when faced with a suspicious activity or transaction.</t>
  </si>
  <si>
    <t>Provide Western Union with written confirmation that all FLAs have been trained regarding the appropriate steps to take when faced with a suspicious activity or transaction. Make sure the confirmation includes the topic covered, name of the attendees and the date.</t>
  </si>
  <si>
    <t>Evidence of paper-based training records are not available for Western Union to review.</t>
  </si>
  <si>
    <t xml:space="preserve">Provide Western Union with evidence proving AML/CFT Compliance training was provided to all employees. </t>
  </si>
  <si>
    <t>Employees do not have access to AML/CFT and Anti-fraud P&amp;Ps</t>
  </si>
  <si>
    <t>The compliance officer of Principal Agent is requested to provide access to AML/CFT and Anti-fraud P&amp;Ps and confirm in writing to us</t>
  </si>
  <si>
    <t xml:space="preserve">The Agent's CO/CD is unable to demonstrate that they have implemented a working oversight process to ensure all Agent and Sub-Agent FLA’s receive Initial and Ongoing AML/CFT and Fraud Awareness training. </t>
  </si>
  <si>
    <t>El Oficial o Delegado de Cumplimiento no puede demostrar que se ha implementado un proceso funcional para garantizar que todos los agentes y operadores de subagentes reciban capacitación inicial y continua acerca de AML/CFT y concienciación sobre fraude.</t>
  </si>
  <si>
    <t>No se requiere acción. Todos los operadores han sido debidamente entrenados en este tema durante la revisión.</t>
  </si>
  <si>
    <t>Le Chargé de conformité/Délégué de conformité n’est pas capable de démontrer qu’il existe un processus visé à assurer que tous les employés et sous-agents de l’agence ont complété la formation initial LAB/CFT et anti-fraude.</t>
  </si>
  <si>
    <t>O CO/CD do agente não consegue demonstrar que implementou um processo de supervisão de trabalho para garantir que todos os funcionários do Agente e Subagente recebam treinamento inicial e contínuo de AML/CFT e conscientização sobre Golpes de Fraude.</t>
  </si>
  <si>
    <t>Ação não é requerida. Todos os Agentes tem sido treinados no tema durante o curso da revisão de conformidade.</t>
  </si>
  <si>
    <t>Provide Western Union with a written statement detailing the procedure that has been implemented to ensure that all applicable forms/receipts will be fully completed and signed by both FLA and consumers. Provide 03 signed receipts as well.</t>
  </si>
  <si>
    <t>Brinde a Western Union un compromiso escrito detallando el proceso implementado para asegurarse que todos los formularios/recibos estén debidamente completados y firmados por los operadores y el cliente. Brinde además 03 copias de recibos correctamente firmados.</t>
  </si>
  <si>
    <t>Les FLAs ne garantissent pas que tous les formulaires/reçus applicables doivent être remplis et/ou signés.</t>
  </si>
  <si>
    <t>Fournir Western Union une déclaration écrite détaillant la procédure qui a été mise en œuvre pour garantir que tous les formulaires/reçus applicables seront entièrement remplis et signés à la fois par la FLA et les consommateurs. Fournir également 03 reçus signés.</t>
  </si>
  <si>
    <t>Forneça à Western Union um compromisso escrito detalhando o processo em vigor para garantir que todos os formulários/recibos sejam devidamente preenchidos e assinados pelos operadores e pelo cliente. Forneça também 03 cópias de recibos devidamente assinados.</t>
  </si>
  <si>
    <t>The Agent's Compliance Officer has not provided initial AML/CFT Compliance training to all employees.</t>
  </si>
  <si>
    <t>Provide Western Union with evidence that  that initial AML/CFT Compliance training has been provided.  Documentation should include the employee name, training content (AML/CFT), type (initial or ongoing), and date of training.</t>
  </si>
  <si>
    <t>The Agent does not maintain a complete and updated list of FLAs with training information.</t>
  </si>
  <si>
    <t>Provide Western Union with training evidence or an action plan to properly track/manage training records for FLA's.</t>
  </si>
  <si>
    <t>FLAs have not been trained on the prohibition of telemarketing transactions</t>
  </si>
  <si>
    <t>El Agente no mantiene una lista completa y actualizada con la información de capacitación de los operadores.</t>
  </si>
  <si>
    <t>L’Agent ne possède pas une liste mise a jour avec les données de formation des opérateurs.</t>
  </si>
  <si>
    <t>O Agente não mantém uma lista completa e atualizada dos funcionários com informações de treinamento.</t>
  </si>
  <si>
    <t>The FLAs have deliberately processed transactions without requiring completed forms/receipts to avoid compliance controls.</t>
  </si>
  <si>
    <t>Provide Western Union with a written statement detailing the procedure that has been implemented to ensure that all applicable forms/receipts will be fully completed and signed by both FLA and consumers. Provide 03 signed receipts as well (Suspension).</t>
  </si>
  <si>
    <t>Los operadores procesan deliberadamente transacciones sin asegurarse que los formularios/recibos estén debidamente completos para evadir los controles de cumplimiento.</t>
  </si>
  <si>
    <t>Brinde a Western Union un compromiso escrito detallando el proceso implementado para asegurarse que todos los formularios/recibos estén debidamente completados y firmamados por los operadores y el cliente. Brinde además 03 copias de recibos correctamente firmados (Suspensión).</t>
  </si>
  <si>
    <t>Les FLAs ont délibérément traité des transactions sans exiger de formulaires/reçus remplis pour éviter les contrôles de conformité.</t>
  </si>
  <si>
    <t>Fournir à Western Union une déclaration écrite détaillant la procédure qui a été mise en œuvre pour garantir que tous les formulaires/reçus applicables seront entièrement remplis et signés à la fois par la FLA et les consommateurs. Fournir également 03 reçus signés (Suspension).</t>
  </si>
  <si>
    <t>Os Agentes têm processado transações deliberadamente sem exigir formulários/recibos preenchidos para evitar controles de Compliance.</t>
  </si>
  <si>
    <t>Forneça à Western Union uma carta de compromisso detalhando o processo implementado para garantir que todos os formulários/recibos sejam devidamente preenchidos e assinados pelos operadores e o cliente. Forneça também 03 recibos devidamente assinados (Suspensão).</t>
  </si>
  <si>
    <t>The Agent has not provided ongoing  AML/CFT training to all employees.</t>
  </si>
  <si>
    <t>Provide Western Union with evidence that ongoing AML/CFT Compliance training has been provided.  Documentation should include the employee name, training content (AML/CFT), type (initial or ongoing), and date of training.</t>
  </si>
  <si>
    <t>No action required. Agent trained on this topic during the review.</t>
  </si>
  <si>
    <t>The Agent is not performing effective transaction monitoring on a regular basis.</t>
  </si>
  <si>
    <t>Provide Western Union with written confirmation that transaction monitoring guidelines are included in the AML/CTF policies and procedures, or monitoring agreement with Western Union, confirming that the agent's  monitoring program is both effective and occurring on a regular basis.</t>
  </si>
  <si>
    <t>FLAs have not been trained on the prohibition of telemarketing transactions.</t>
  </si>
  <si>
    <t>No action required. Agent trained on this topic during the review. HQ notified through Agent Finding/Violation letter.</t>
  </si>
  <si>
    <t>Los operadores no han sido entrenados en la prohibición acerca de transacciones relacionadas a telemercadeo.</t>
  </si>
  <si>
    <t>No se requiere acción. El agente ha sido entrenado en este tema durante la revisión. Se le notifica a las Oficinas Centrales a través de la carta de hallazgo.</t>
  </si>
  <si>
    <t>Les opérateurs n’ont pas été formés sur l'interdiction des transactions liées au Télémarketing.</t>
  </si>
  <si>
    <t>Aucune action n'est requise. L’opérateur a été formé pendant l’entretien téléphonique. Le Siège Central est notifié à travers cette lettre de résultats.</t>
  </si>
  <si>
    <t>Os funcionários não têm sido treinados sobre as restrições de envios relacionados a telemarketing.</t>
  </si>
  <si>
    <t>Ação não é requerida. O funcionário recebeu treinamento nessa regra durante a revisão. A Central é notificada por meio da carta dos itens identificados.</t>
  </si>
  <si>
    <t>United_States</t>
  </si>
  <si>
    <t>The Agent has not provided initial AML/CFT and Fraud Awareness training to all employees before allowing them to conduct transactions.</t>
  </si>
  <si>
    <t>No Action Required. All operators have been trained on the topic during the course of the compliance review.</t>
  </si>
  <si>
    <t>El agente no ha impartido entrenamiento inicial de AML/CFT y Anti-Fraude a los empleados previo a permitirles interactuar con el sistema de transferencias.</t>
  </si>
  <si>
    <t>No se requiere acción. Todos los operadores han sido entrenados en el tema durante la revisión.</t>
  </si>
  <si>
    <t>L'Agent n'a pas fourni évidence de formation initiale sur les Normes LAB/CFT et la Lutte contre la Fraude pour tous les employés avant de leur permettre d'effectuer des transactions.</t>
  </si>
  <si>
    <t xml:space="preserve"> Aucune action n'est requise. Tous les opérateurs ont été formés sur ce sujet pendant la revue de conformité.</t>
  </si>
  <si>
    <t>O Agente não forneceu treinamento inicial PDL (Prevenção à Lavagem de Dinheiro), CFT (Combate ao Financiamento do Terrorismo) e conscientização sobre Fraudes a todos os funcionários antes de permitir que eles realizassem transações.</t>
  </si>
  <si>
    <t>Ação não é requerida. Todos os operadores foram treinados sobre o tema durante o curso da compliance.</t>
  </si>
  <si>
    <t>FLAs are not familiar with the ECDD and/or LPMT procedures.</t>
  </si>
  <si>
    <t>Los operadores no están familiarizados con el ECDD y/o los procedimientos de LPMT.</t>
  </si>
  <si>
    <t>Les FLAs ne connaissent pas les procédures ECDD et/ou LPMT.</t>
  </si>
  <si>
    <t>Os operadores não estão familiarizados com os procedimentos de ECDD e/ou LPMT.</t>
  </si>
  <si>
    <t>The agent has not provided documentation to establish that all FLAs are current on all trainings.</t>
  </si>
  <si>
    <t>Provide Western Union with properly documented training records.</t>
  </si>
  <si>
    <t>The Agent Compliance Officer is not performing or reviewing the monitoring.</t>
  </si>
  <si>
    <t>Provide Western Union with evidence of monitoring and communication of its results to the Agent's Compliance Officer for review.</t>
  </si>
  <si>
    <t>The FLAs were not aware that all forms need to be completed and signed</t>
  </si>
  <si>
    <t>The Agent has not provided ongoing AML/CFT and Fraud Awareness training to all employees to continue to conduct transactions.</t>
  </si>
  <si>
    <t>El agente no ha impartido entrenamiento anual de AML/CFT y Anti-Fraude a los empleados.</t>
  </si>
  <si>
    <t>L’Agent n’a pas fourni évidence de formation en cours sur les normes LAB/ CFT et la Lutte contre la Fraude pour tous les employés pour continuer à effectuer des transactions.</t>
  </si>
  <si>
    <t>O Agente não forneceu treinamento contínuo de PDL/CFT e Conscientização sobre Fraudes a todos os funcionários para continuar a conduzir transações.</t>
  </si>
  <si>
    <t>Agent is not registered with FinCEN's E-Filing system.</t>
  </si>
  <si>
    <t>Provide Western Union with E-filing registration confirmation.</t>
  </si>
  <si>
    <t>FLAs are not familiar with the ECDD procedures.</t>
  </si>
  <si>
    <t>Monitoring results at the store, branch, or Subagent level are not reported to Agent's Compliance Officer.</t>
  </si>
  <si>
    <t xml:space="preserve">Provide Western Union with evidence of effective transaction monitoring including evidence that monitoring results are reported to the Agent's Compliance Officer.  </t>
  </si>
  <si>
    <t>The FLAs have deliberately processed transactions without requiring completed forms to avoid compliance controls.</t>
  </si>
  <si>
    <t>The Agent is not performing transaction monitoring on transactions associated with the Agent location for all WU products on a regular basis.</t>
  </si>
  <si>
    <t>El agente no está monitoreando las transacciones para todos los productos de Western Union de manera regular.</t>
  </si>
  <si>
    <t>L'Agent ne surveille régulièrement les transactions associées à l'emplacement de l'Agent pour tous les produits WU.</t>
  </si>
  <si>
    <t>O agente não está monitorando regularmente as transações de todos os produtos da Western Union.</t>
  </si>
  <si>
    <t>FLAs know the ECDD and LPMT procedures but failed to follow them.</t>
  </si>
  <si>
    <t>Los operadores conocen los procedimientos de ECDD y LPMT pero no los siguen.</t>
  </si>
  <si>
    <t>Les FLAs connaissent les procédures ECDD et LPMT mais ils ne les suivent pas.</t>
  </si>
  <si>
    <t>Os operadores conhecem os procedimentos de ECDD e LPMT, mas não os seguem.</t>
  </si>
  <si>
    <t>The Agent does not have a clearly communicated process for its FLAs, or Agent management to report suspicious activity concerns to the Agent's Compliance Officer.</t>
  </si>
  <si>
    <t>Provide Western Union with written confirmation that all FLAs have been properly trained on the topic. Make sure the confirmation includes the topic covered, name of the attendees and the date.</t>
  </si>
  <si>
    <t>The Agent's transaction monitoring process is not sufficiently documented.</t>
  </si>
  <si>
    <t>Provide Western Union with evidence that the transaction monitoring results are sufficiently documented to create a comprehensive audit trail of the investigation.</t>
  </si>
  <si>
    <t>Location name, address, and telephone number do not match WU records/system.</t>
  </si>
  <si>
    <t>El nombre, dirección y número telefónico de la localidad no coinciden con los sistemas de Western Union.</t>
  </si>
  <si>
    <t>Le nom, adresse et numéro de téléphone ne correspondent pas aux enregistrements Western Union.Le nom, adresse et numéro de téléphone ne correspondent pas aux enregistrements Western Union.</t>
  </si>
  <si>
    <t>Nome da loja, endereço e numero de telephone não corresponde aos nossos registros.</t>
  </si>
  <si>
    <t>Transaction monitoring is not being conducted effectively.</t>
  </si>
  <si>
    <t>No se están monitoreando las transferencias de forma efectiva.</t>
  </si>
  <si>
    <t>La surveillance des transactions n'est pas effectué de manière efficace.</t>
  </si>
  <si>
    <t xml:space="preserve"> As transferências não estão sendo monitoradas de forma efetiva.</t>
  </si>
  <si>
    <t>Agent was not able to demonstrate or provide evidence of required customer name scrubbing against appropriate sanctions lists.</t>
  </si>
  <si>
    <t>Immediate escalation to WU Compliance Manager for suspension approval of Money Orders (Suspension).</t>
  </si>
  <si>
    <t>El agente no pudo demostrar ni proporcionar evidencia de la depuración requerida del nombre del cliente en las listas de sanciones apropiadas.</t>
  </si>
  <si>
    <t>Se aplica suspensión inmediata a los servicios de Money Order a través del Gerente de Cumplimiento de Western Union (Suspensión).</t>
  </si>
  <si>
    <t>L'agent n'a pas été en mesure de démontrer ou de fournir la preuve du nettoyage requis du nom du client par rapport aux listes de sanctions appropriées.</t>
  </si>
  <si>
    <t>Escalade immédiate au responsable de la conformité de WU pour l'approbation de la suspension des mandats d'envoi (Suspension).</t>
  </si>
  <si>
    <t>O agente não foi capaz de demonstrar ou fornecer evidências de que o nome do cliente foi depurado nas listas de sanções apropriadas.</t>
  </si>
  <si>
    <t>Se aplica suspensão imediata dos serviços de Money Order a través do Gerente de Cumplimiento da Western Union (Suspensão).</t>
  </si>
  <si>
    <t>The Agent is not complying with all applicable regulatory reporting requirements.</t>
  </si>
  <si>
    <t>Provide Western Union with applicable evidence of regulatory reporting.</t>
  </si>
  <si>
    <t>FLAs know the ECDD procedures but failed to follow them.</t>
  </si>
  <si>
    <t>Provide Western Union confirmation that FLAs know the ECDD procedures (Suspension). Remediation should follow the timeline and requirements as dictated by the reactivation plan.</t>
  </si>
  <si>
    <t>FLAs do not confirm the ID is current, the ID is valid, or the ID photograph resembles the consumer presenting the ID.</t>
  </si>
  <si>
    <t>FLA was provided training on the acceptable OVD's and advised on requirements of KYC documentation in line with RBI MTSS and WU requirements.</t>
  </si>
  <si>
    <t>El proceso de monitoreo no está debidamente documentado.</t>
  </si>
  <si>
    <t>Le processus de surveillance des transactions n'est pas clairement documenté</t>
  </si>
  <si>
    <t>O processo de monitoramento não está devidamente documentado.</t>
  </si>
  <si>
    <t>Agent does not collect sufficient customer identification to perform name scanning.</t>
  </si>
  <si>
    <t>El agente no recopila la identificación suficiente del cliente para realizar el escaneo de nombres.</t>
  </si>
  <si>
    <t>L'agent ne collecte pas suffisamment d'informations d'identification du client pour effectuer l'analyse du nom.</t>
  </si>
  <si>
    <t>O agente não coleta identificação suficiente do cliente para realizar a verificação de nome.</t>
  </si>
  <si>
    <t>GS11.RQ2</t>
  </si>
  <si>
    <t>Provide Western Union with a screen shot showing you have logged in to the BSA E-Filing site or the E-filing registration confirmation email.</t>
  </si>
  <si>
    <t xml:space="preserve">The Agent does not comply with retention period requirements for paper records (i.e., sales reports and other records) under local regulation or according to WU standards, whichever is more stringent. </t>
  </si>
  <si>
    <t>The Agent does not have a clearly communicated process for its FLAs, Subagents, or Agent management to report suspicious activity concerns to the Agent's Compliance Officer.</t>
  </si>
  <si>
    <t xml:space="preserve">Provide Western Union with confirmation regarding communication to the employees of the process to follow when suspicious activity or transaction is faced. </t>
  </si>
  <si>
    <t>No Action Required. The agent has been trained on the topic during the course of the compliance review. The AML/CFT and Anti-Fraud compliance Policies and Procedures demonstrating there is a quality assurance program that performs regular and independent testing of the AML/CFT and fraud controls has been received along with a recent copy of the agent's Independent Review.</t>
  </si>
  <si>
    <t>No se requiere acción. Al término de la revisión, recibimos las Políticas y Procedimientos de cumplimiento AML/CFT y Anti-fraude las cuales cuentan con un programa de control de calidad con pruebas periódicas e independientes que evaluan los controles AML/CFT y de anti-fraude. Asimismo, al término de la revisión, recibimos evidencia de una revisión independiente válida, completa y actual.</t>
  </si>
  <si>
    <t>Auncune action n'est requise. A la fin de la revue, les Politiques et Procédures de Conformité AML/CFT et Anti-Fraude ont étés reçues. Celles-ci y comprennent un programme de contrôle de qualité avec des examens réguliers et indépendants pour l'évaluation des contrôles AML/CFT et Anti-Fraude. En outre, à la fin de la revue, évidence d'une revue indépendante valide, complète et courante, a été reçue.</t>
  </si>
  <si>
    <t>Ação não é requerida. Ao terminar a revisão, recebemos as Políticas e Procedimentos de Compliance de AML/CFT e Antifraude as quais tem um programa de controle de qualidade com testes periódicos e independentes que avaliam os controles de AML/CFT e antifraude. Asimismo, ao final da revisão, recebemos evidência de uma revisão independiente válida, completa e atual.</t>
  </si>
  <si>
    <t>FLAs are not aware that Third Party Transactions are prohibited by Western Union Policy in Quebec.</t>
  </si>
  <si>
    <t>Los operadores no saben que las transacciones de terceros están prohibidas por la política de Western Union en Quebec.</t>
  </si>
  <si>
    <t>Les FLAs ne savent pas que les transactions avec des tiers sont interdites par la politique de Western Union au Québec.</t>
  </si>
  <si>
    <t>Os operadores não sabem que as transações de terceiras pessoas são proibidas de acordo com a política da Western Union em Quebec.</t>
  </si>
  <si>
    <t>GS11.RQ3</t>
  </si>
  <si>
    <t xml:space="preserve">The Agent is not performing effective transaction monitoring on a regular basis. </t>
  </si>
  <si>
    <t>Provide Western Union with evidence that all transaction monitoring guidelines are included in the AML/CTF policies and procedures, or monitoring agreement with Western Union along with soft copy of monitoring report(s) or equivalent.</t>
  </si>
  <si>
    <t>The Agent, or its Subagents, do not have evidence to demonstrate compliance with recordkeeping requirements.</t>
  </si>
  <si>
    <t>No action required. The agent was trained on the topic during the review.</t>
  </si>
  <si>
    <t>Los operadores comparten su información de usuario y contraseña para agilizar el proceso.</t>
  </si>
  <si>
    <t>Asegúrese que los operadores utilicen sus propias credenciales para ingresar al sistema de Western Union (nombres de usuario y contraseñas). Western Union dará seguimiento a este ítem para garantizar que cada operador de Western Union utilice las credenciales de forma correcta.</t>
  </si>
  <si>
    <t>Les opérateurs partagent leurs codes d'utilisateur et mot de passe pour accélérer le processus.</t>
  </si>
  <si>
    <t>Assurer que chaque opérateur possède et utilise son propre code d'utilisateur et mot de passe pour accéder aux systèmes de WU. Western Union vérifiera le système pour assurer que chaque opérateur utilise ses propres codes d'accès.</t>
  </si>
  <si>
    <t>Os funcionários compartilham suas informações de usuário e senha para apressar o processo.</t>
  </si>
  <si>
    <t>Certifique-se que os funcionários usem suas proprias credenciais para acessar o sistema da Western Union (usuário e senhas). Western Union fará seguimento neste ponto para garantir que todos os funcionários usem as credenciais adequadamente.</t>
  </si>
  <si>
    <t>No se requiere acción. El agente brindó un plan de acción para la corrección de las deficiencias encontradas en la Revisión Independiente.</t>
  </si>
  <si>
    <t>Ação não é necessária nenhuma ação. O agente forneceu um plano de ação para corrigir as deficiências identificadas durante a revisão independente.</t>
  </si>
  <si>
    <t>Finding FrenchL'Agent charge des frais non-autorisés pour les virements d'argent.</t>
  </si>
  <si>
    <t>O agente está cobrando taxas não autorizadas pelas transferências.</t>
  </si>
  <si>
    <t>The Agent does not securely dispose of all paper records after the retention period is reached.</t>
  </si>
  <si>
    <t>Provide Western Union with training evidence or confirmation that all FLAs have completed training on the topic. Make sure the confirmation includes the topic covered, name of the attendees and the date. Provide written confirmation describing the actions taken to securely destroy the paper records that were held beyond the retention period.</t>
  </si>
  <si>
    <t xml:space="preserve">Agent cannot  confirm that he has policies and procedures for collecting, and maintaining records regarding the identities of Agent and any Sub- Agent FLAs,  </t>
  </si>
  <si>
    <t>Provide Western Union with confirmation that the Agent has policies and procedures for collecting, and maintaining records regarding the identities of Agent and any Sub- Agent FLAs.</t>
  </si>
  <si>
    <t>FLAs are sharing Operator IDs and passwords to avoid compliance controls.</t>
  </si>
  <si>
    <t>Ensure FLAs use their personal and unique login credentials (IDs and passcodes) to all Western Union systems. Western Union will follow up on this item to confirm that credentials are properly utilized by each FLA. Account suspension in progress.</t>
  </si>
  <si>
    <t>Los operadores comparten su información de usuario y contraseña para evadir los controles y parámetros de cumplimiento.</t>
  </si>
  <si>
    <t>Asegúrese que los operadores utilicen sus propias credenciales para ingresar al sistema de Western Union (nombres de usuario y contraseñas). Western Union dará seguimiento a este ítem para garantizar que cada operador de Western Union utilice las credenciales de forma correcta. Su cuenta será suspendida.</t>
  </si>
  <si>
    <t>Les opérateurs partagent leurs codes d'utilisateur et mot de passe pour éviter les contrôles de conformité.</t>
  </si>
  <si>
    <t>Assurer que chaque opérateur possède et utilise son propre code d'utilisateur et mot de passe pour accéder aux systèmes de WU. Western Union vérifiera le système pour assurer que chaque opérateur utilise ses propres codes d'accès. Votre compte sera suspendue.</t>
  </si>
  <si>
    <t>Os funcionários compartilham suas informações de usuário e senha para evadir controles e parâmetros de compliance.</t>
  </si>
  <si>
    <t>Certifique-se que os funcionários usem suas proprias credenciais para acessar o sistema da Western Union (usuário e senhas). Western Union fará seguimento neste ponto para garantir que todos os funcionários usem as credenciais adequadamente. Suspensão de conta em processo.</t>
  </si>
  <si>
    <t>Los operadores no conocen los tipos de identificación aceptables para una transacción de Western Union.</t>
  </si>
  <si>
    <t>Les opérateurs ne savent pas quels sont les types de pièces d’identité valides pour placer un transfert d'argent avec Western Union.</t>
  </si>
  <si>
    <t>Os funcionários não conhecem as formas aceitáveis de identificação para uma transação da Western Union</t>
  </si>
  <si>
    <t>O agente não paga o valor principal exato indicado no sistema Western Union.</t>
  </si>
  <si>
    <t xml:space="preserve">Provide Western Union with evidence that the transaction monitoring results are sufficiently documented to create a comprehensive audit trail of the investigation. </t>
  </si>
  <si>
    <t xml:space="preserve">The Location is unable to produce clear copies of transaction documents. 
</t>
  </si>
  <si>
    <t>No action required. Specific training material to this topic has been sent to the Agent. All FLAs have received feedback/training on this topic during the course of the review. Written confirmation of remediation about the cause for lack of document retention and intended action plan to resolve the issue has been received.</t>
  </si>
  <si>
    <t>The Agent is not performing regular and independent testing of AML/CFT Compliance controls as required by their quality assurance program.</t>
  </si>
  <si>
    <t>Provide Western Union with most recent
version of the Independent Review evidence conducted in less than 1 year period. Make the it includes the name of the party
performing the review, the date and
locations it covers.</t>
  </si>
  <si>
    <t>FLAs are not familiar with all types of acceptable IDs.</t>
  </si>
  <si>
    <t>The Agent has not distributed the latest Global Agent Compliance Manual to its Sub-Agents.</t>
  </si>
  <si>
    <t xml:space="preserve"> No action required. Agent Compliance manual has been delivered to all subagents involved with Western Union services.</t>
  </si>
  <si>
    <t>El Agente no ha distribuido el Manual Global de Cumplimiento más reciente a sus Subagentes .</t>
  </si>
  <si>
    <t>No se requiere accion. El manual de Cumplimiento del agente se entregó a todos los subagentes involucrados con los servicios de Western Union.</t>
  </si>
  <si>
    <t>L’Agent n’a pas distribué le manuel global de conformité le plus récent à ses sous-agents.</t>
  </si>
  <si>
    <t>Aucune action n’est requise. Le Manuel de conformité a été délivré à tous les sous-agents liés à Western Union.</t>
  </si>
  <si>
    <t>O Agente não distribuiu o Manual de Compliance do Agente Global mais recente para seus Subagentes.</t>
  </si>
  <si>
    <t>Ação não é requerida. O manual de compliance do agente foi fornecido a todos os subagentes envolvidos com os serviços da Western Union.</t>
  </si>
  <si>
    <t>The Agent does not have an effective Consumer Protection program.</t>
  </si>
  <si>
    <t>No Action Required. The agent has been referred to the appropriate team for further handling.</t>
  </si>
  <si>
    <t>El agente no tiene protección al consumidor debidamente documentadas.</t>
  </si>
  <si>
    <t>No se require acción. El agente ha sido referido al departamento correspondiente para seguimiento.</t>
  </si>
  <si>
    <t>L'agent n'a pas un programme efficace de Protection des Consommateurs.</t>
  </si>
  <si>
    <t>Aucune action n'est requise. L'agent a été référé à l'équipe appropriée pour un traitement ultérieur.</t>
  </si>
  <si>
    <t>O Agente não possui um programa eficaz de Defesa do Consumidor.</t>
  </si>
  <si>
    <t>Nenhuma ação é requerida. O agente foi encaminhado à equipe apropriada para tratamento posterior.</t>
  </si>
  <si>
    <t>Agent has adopted and/or implemented policies and procedures for collecting, and maintaining records regarding the identities of Agent FLAs.</t>
  </si>
  <si>
    <t xml:space="preserve">Provide Western Union with written documentation confirming that the agent has implemented policies and procedures that include the collection, and maintenance of Agent FLA identities.  </t>
  </si>
  <si>
    <t>Provide Western Union with training evidence or confirmation that all FLAs have completed training on the topic. Make sure the confirmation includes the topic covered, name of the attendees and the date. Provide written confirmation of remediation with explanation of the cause for lack of document retention and intended action plan to resolve the issue.</t>
  </si>
  <si>
    <t>Provide Western Union with an action plan over deficiencies identified during the independent review, including an implementation action plan.</t>
  </si>
  <si>
    <t xml:space="preserve">The FLAs have keyed consumer information incorrectly in the POS system </t>
  </si>
  <si>
    <t>FLA was provided training on the importance of  updating correct customer information in the POS system</t>
  </si>
  <si>
    <t>The Agent is unable to demonstrate that its Sub-Agents have adopted or incorporated and implemented the latest Global Agent Compliance Manual into their Policies and Procedures.</t>
  </si>
  <si>
    <t>El Agente no pudo demostrar que sus Sub-agentes han adoptado e implementado en sus Políticas y Procedimientos el Manual más reciente de Cumplimiento Global.</t>
  </si>
  <si>
    <t xml:space="preserve">L’Agent n’est pas capable de démontrer que ses Sous-agents ont adopté, ou bien incorporé ou déployé, la version la plus récente du « Manuel global de conformité des agents » dans ses Politiques et Procédures. </t>
  </si>
  <si>
    <t>O Agente não pode demonstrar que seus Subagentes adotaram ou incorporaram e implementaram o mais recente Manual Global de Compliance do Agente em suas Políticas e Procedimentos.</t>
  </si>
  <si>
    <t>Provide Western Union with a copy or evidence of the Agent's AML/CFT Anti-fraud Compliance Program along with the Compliance Officer Acknowledgement.</t>
  </si>
  <si>
    <t>Brindar a Western Union copia o evidencia de las Políticas y Procedimientos del programa de Anti-Fraude junto con el reconocimiento del responsable de cumplimiento.</t>
  </si>
  <si>
    <t xml:space="preserve">Fournir a Western Union une copie/évidence des Politiques et procédures de conformité LAB/CFT avec l'attestation du responsable de conformité. </t>
  </si>
  <si>
    <t>Fornecer à Western Union uma cópia ou prova do Programa de Conformidade Antifraude AML/CFT do Agente, juntamente com o Reconhecimento do Diretor de Conformidade.</t>
  </si>
  <si>
    <t xml:space="preserve">The FLAs did not know how long physical records must be kept.
</t>
  </si>
  <si>
    <t>Provide Western Union with documentation confirming that all appropriate FLAs have been trained on this topic. Make sure the confirmation includes the topic covered, name of the attendees and the date.</t>
  </si>
  <si>
    <t>The location is not keeping the records in a safe or secured place.</t>
  </si>
  <si>
    <t>The scope of the independent review is not adequate to address key AML/CFT and Fraud risks in the Agent's compliance program.</t>
  </si>
  <si>
    <t xml:space="preserve">FLAs do not have access to the Agent's complete AML/CFT and Anti-Fraud Compliance policies and procedures. 
</t>
  </si>
  <si>
    <t>Provide Western Union with written documentation from the HQ confirming that all FLAs have access to the complete AML/CFT and Anti-Fraud Compliance Policies and Procedures.</t>
  </si>
  <si>
    <t>Los "FLAs" no tienen acceso a las políticas y procedimientos completos de AML/CFT y cumplimiento Anti-fraude del agente.</t>
  </si>
  <si>
    <t>Brinde a Western Union documentación escrita por parte de su Oficina Corporativa que confirme que todos los "FLAs" tienen acceso a las Políticas y procedimientos completos de cumplimiento AML/CFT y Antifraude.</t>
  </si>
  <si>
    <t>Les opérateurs n’ont pas accès aux Politiques et Procédures complètes de Conformité LCB/FT et Anti-Fraude des Agents.</t>
  </si>
  <si>
    <t>Fournissez Western Union avec la documentation écrite du siège social en confirmant que tous les opérateurs ont accès aux Politiques et Procédures de Conformité LCB/FT et Anti-Fraude.</t>
  </si>
  <si>
    <t>Os FLAs não têm acesso às políticas e procedimentos completos de Conformidade em AML/CFT e Antifraude do Agente</t>
  </si>
  <si>
    <t>Forneça à Western Union documentação escrita da sede principal confirmando que todos os FLAs têm acesso às políticas e procedimentos completos de conformidade em AML/CFT e antifraude.
Certifique-se de que a confirmação inclua o tópico abordado, o nome dos participantes da sessão e a data.</t>
  </si>
  <si>
    <t>The AML/CFT &amp; Anti-Fraud Policies and Procedures used by Sub-Agents does not meet minimum standards.</t>
  </si>
  <si>
    <t>Las políticas y procedimientos AML/CFT y anti-fraude utilizados por los sub-agentes no cumplen con los estándares mínimos.</t>
  </si>
  <si>
    <t>Les « Politiques et procédures LAB/CFT et anti-fraude » utilisés par les Sous-agents ne répondent pas aux normes minimales exigées.</t>
  </si>
  <si>
    <t>As Políticas e Procedimentos AML/CFT e Antifraude usados pelos Subagentes não atendem aos padrões mínimos.</t>
  </si>
  <si>
    <t>The Agent is not providing the Pre-Transaction Disclosure Statement for Dodd-Frank related transactions prior to collecting remittance funds.</t>
  </si>
  <si>
    <t>El agente no está brindando el Pre-Recibo de verificación a los clientes para las transferencias de Dodd Frank antes de realizar el cobro de la transferencia.</t>
  </si>
  <si>
    <t>L'agent ne fournit pas la Déclaration de Divulgation Préalable à la transaction pour les transactions liées à Dodd-Frank avant de collecter les fonds de remise.</t>
  </si>
  <si>
    <t>Aucune action n'est requise. L'Agent a été formé sur ce sujet pendant la revue de conformité.</t>
  </si>
  <si>
    <t>O agente não está fornecendo o recibo de verificação aos clientes para as transferências de Dodd Frank antes de realizar o cobro da transferência.</t>
  </si>
  <si>
    <t xml:space="preserve">Physical transaction records/documents are not held for the required retention period.
</t>
  </si>
  <si>
    <t xml:space="preserve">Provide Western Union with clear explanation of the cause for the deficiency in document retention and the intended action plan to resolve the issue  (i.e. training, enhanced controls). </t>
  </si>
  <si>
    <t>The Agent does not have a documented KYC/CIP Program aligned with local regulation.</t>
  </si>
  <si>
    <t xml:space="preserve">Provide Western Union with confirmation of updated and approved AML Policies and Procedures that include updated KYC/CIP information. Confirmation must be documented and dated and may be obtained through an email statement from the Agent or through receipt and review of updated P&amp;Ps.   </t>
  </si>
  <si>
    <t>The Agent cannot demonstrate that its AML/CFT &amp; Anti-Fraud Policies and Procedures for Sub-Agent Oversight include WU minimum standards and sections addressing all topics required in their jurisdiction.</t>
  </si>
  <si>
    <t>El Agente no puede demostrar que las Políticas y Procedimientos de AML/CFT y Anti-fraude del Sub-Agente incluyen los estándares mínimos aceptados por Western Union y las secciones que abordan todos los temas requeridos en su jurisdicción.</t>
  </si>
  <si>
    <t>L’Agent ne peut pas démontrer que « Les Politiques et procédures LAB/CFT et anti-fraude » utilisés pour la surveillance des sous-agents répondent aux normes minimales imposées par WU et qu’elles incluent tous les sujets requis dans sa juridiction.</t>
  </si>
  <si>
    <t>O Agente não pode demonstrar que suas Políticas e Procedimentos de AML/CFT e Antifraude para Supervisão de Subagentes incluem os padrões mínimos da WU e seções que abordam todos os tópicos exigidos em sua jurisdição.</t>
  </si>
  <si>
    <t>The Agent does not understand how to handle a consumer cancellation.</t>
  </si>
  <si>
    <t>El agente no sabe como procesar las cancelaciones.</t>
  </si>
  <si>
    <t>L'agent ne comprend pas comment gérer une annulation pour un consommateur.</t>
  </si>
  <si>
    <t>Aucune action est rn'equise. L'Agent a été formé sur ce sujet pendant la revue de conformité.</t>
  </si>
  <si>
    <t>O agente não sabe como processar cancelamentos.</t>
  </si>
  <si>
    <t>Provide Western Union with written confirmation that all remaining FLAs have received training on the topic. Make sure the confirmation includes the topic covered, name of the attendees and the date.</t>
  </si>
  <si>
    <t>The Agent does not delete electronic records after the retention period is reached.</t>
  </si>
  <si>
    <t>Provide Western Union with training evidence or confirmation that all FLAs have completed training on the topic. Make sure the confirmation includes the topic covered, name of the attendees and the date. Provide written confirmation describing the actions taken to delete electronic records that were held beyond the retention period.</t>
  </si>
  <si>
    <t>Agent is not advising WU of material changes to company or personal information related to the ownership, registration and/or management of the Agent</t>
  </si>
  <si>
    <t>No action required. All necessary documentation required for update(s) was collected</t>
  </si>
  <si>
    <t>The FLAs have falsified consumer information in order to complete transactions.</t>
  </si>
  <si>
    <t>The Agent cannot demonstrate that it is performing program reviews of Sub-Agents to validate compliance with program requirements.</t>
  </si>
  <si>
    <t>El Agente no puede demostrar que está realizando revisiones a sus Sub-agentes para validar el cumplimiento de los requerimientos del programa.</t>
  </si>
  <si>
    <t>L’Agent ne peut pas démontrer qu’il mène des révisions du programme avec ses sous-agents afin de valider qu’ils sont en conformité avec les besoins dudit programme.</t>
  </si>
  <si>
    <t>O Agente não pode demonstrar que está realizando revisões do programa de Subagentes para validar a conformidade com os requisitos do programa.</t>
  </si>
  <si>
    <t>The Agent does not understand the Dodd-Frank requirements concerning how to handle consumer complaints.</t>
  </si>
  <si>
    <t>El Agente no conoce los requerimientos de Dodd-Frank relacionados al manejo de las quejas de los clientes.</t>
  </si>
  <si>
    <t>L'Agent ne comprend pas les exigences Dodd-Frank concernant la façon de traiter les plaintes des consommateurs.</t>
  </si>
  <si>
    <t>O Agente não reconhece os requisitos de Dodd-Frank relacionados ao manejo das reclamações dos clientes.</t>
  </si>
  <si>
    <t>The Agent is not following state specific requirements.</t>
  </si>
  <si>
    <t>Agent could not explain appropriate vetting of new employees (Submission of employee information to the AMF for security clearance)</t>
  </si>
  <si>
    <t>Escalate</t>
  </si>
  <si>
    <t>GS1.RQ2</t>
  </si>
  <si>
    <t>The Agent does not suspend or terminate Sub-Agents for non-compliance identified through oversight activities.</t>
  </si>
  <si>
    <t>El Agente no suspende ni termina a los Sub-agentes por incumplimientos identificados a través de actividades de supervisión.</t>
  </si>
  <si>
    <t>L’Agent ne suspend/résilie pas les Sous-agents non-conformes une fois ils ont été identifiés pendant des activités de surveillance.</t>
  </si>
  <si>
    <t>O Agente não suspende ou rescinde Subagentes que não cumprem o programa de conformidade que eles identificaram durante as atividades de supervisão.</t>
  </si>
  <si>
    <t>The Agent does not know how to provide and explain the Error Resolution and Cancellation Rights statement.</t>
  </si>
  <si>
    <t>El agente no sabe como imprimir y explicar el documento de "Error Resolution and Cancellation Rights statement".</t>
  </si>
  <si>
    <t>L'agent ne sait pas comment imprimer et expliquer la déclaration de l'erreur de résolution et les droits d'annulation.</t>
  </si>
  <si>
    <t>O agente não sabe como imprimir e explicar o documento "Error Resolution and Cancellation Rights statement/Declaração de direitos de resolução e cancelamento de erros".</t>
  </si>
  <si>
    <t>FLAs are not familiar with the ECDD.</t>
  </si>
  <si>
    <t>The Agent is not properly completing Money Order Records.</t>
  </si>
  <si>
    <t>Agent is not registered with FinCEN's E-Filing system</t>
  </si>
  <si>
    <t>Provide Western Union with a screenshot showing the Agent has logged in to the BSA E-Filing site. If unable to provide a screenshot, the E-filing registration confirmation email will suffice, but a screenshot is preferred.</t>
  </si>
  <si>
    <t>Some copies of the KYC documents are not obtained or self attested in original by the customer</t>
  </si>
  <si>
    <t>FLA was provided training on the importance of customer self-attestation in the KYC proofs and advised on the requirements of KYC documentation in line with RBI MTSS and WU requirements.</t>
  </si>
  <si>
    <t>The Agent cannot demonstrate that it confirms their Sub-Agents are licensed or registered, as required before it enters into a Sub-Agent agreement.</t>
  </si>
  <si>
    <t>El Agente no puede demostrar que sus Sub-agentes tienen licencia o están registrados como se requiere antes de concretar un acuerdo de Sub-agente.</t>
  </si>
  <si>
    <t>L’Agent ne peut pas démontrer qu’il vérifie si ses Sous-agents sont registrés, ou bien possèdent un permis valide comme requis, avant qu’ils ne puissent s’intégrer dans la chaine des sous-agents.</t>
  </si>
  <si>
    <t>O Agente não pode demonstrar que seus Subagentes estão registrados, conforme exigido antes de firmar um contrato de Subagente.</t>
  </si>
  <si>
    <t>Agent displays marketing materials related to WU services in unapproved language.</t>
  </si>
  <si>
    <t>El agente muestra los materiales de mercadeo de Western Union en idiomas no aprobados.</t>
  </si>
  <si>
    <t>L'agent affiche des documents marketing liés aux services Western Union dans un langage non approuvé.</t>
  </si>
  <si>
    <t>O agente mostra materiais de marketing da Western Union em idiomas não aprovados.</t>
  </si>
  <si>
    <t>Provide Western Union with evidence of paper-based training records.</t>
  </si>
  <si>
    <t>No Action Required. The agent has been assisted in completing their E-Filing registration during the course of the review.</t>
  </si>
  <si>
    <t>Agent is not following state specific requirements.</t>
  </si>
  <si>
    <t>The Agent cannot demonstrate that it performs due diligence on its Sub-Agents.</t>
  </si>
  <si>
    <t>El Agente no puede demostrar que ejerce la debida diligencia con sus Sub-agentes.</t>
  </si>
  <si>
    <t>L'Agent ne peut pas démontrer qu'il fait la vérification nécessaire avec ses Sous-agents.</t>
  </si>
  <si>
    <t>O Agente não pode demonstrar que realiza a devida diligência em seus Subagentes.</t>
  </si>
  <si>
    <t xml:space="preserve">The Agent has not provided the required Dodd-Frank training to all FLAs/ employees before allowing them to conduct Western Union transactions. </t>
  </si>
  <si>
    <t>No Action Required. All operators have been trained on the Dodd-Frank training requirements during the course of the compliance review.</t>
  </si>
  <si>
    <t>El agente no ha brindado el entrenamiento respectivo de Dodd-Frank a todos los operadores/empleados antes de permitirles realizar transferencias de Western Union.</t>
  </si>
  <si>
    <t>No se require acción. Todos los operadores han sido entrenados durante la revisión en cuanto a los requerimientos de Dodd-Frank.</t>
  </si>
  <si>
    <t>L'Agent n'a pas fourni la formation Dodd-Frank requise à tous les FLAs/employés avant de leur permettre d'effectuer des transactions Western Union.</t>
  </si>
  <si>
    <t>Toues les opérateurs ont été formés sur les exigences de formation Dodd-Frank au cours de la revue de conformité.</t>
  </si>
  <si>
    <t>O agente não forneceu treinamento de Dodd-Frank a todos os operadores/funcionários antes de permitir eles fizerem transferências da Western Union.</t>
  </si>
  <si>
    <t>Ação não é requerida. Todos os operadores foram treinados sobre os requisitos de treinamento Dodd-Frank durante a revisão de compliance.</t>
  </si>
  <si>
    <t>The Agent has not taken action to address regulatory review findings or law enforcement referrals on a timely basis.</t>
  </si>
  <si>
    <t>The Agent does not know who to contact in the event of lost or stolen documentation, unauthorized access, or if a system breach occurs.</t>
  </si>
  <si>
    <t>Proofs of address are not obtained or maintained as per the permissible norms and guidelines of the RBI Master circular</t>
  </si>
  <si>
    <t xml:space="preserve">The Agent and it's Sub-Agents, if any, do not comply with retention period requirements for paper records (i.e., receipts) under local regulation or according to WU standards, whichever is more stringent. </t>
  </si>
  <si>
    <t>El Agente no cumple con los requisitos del período de retención para los registros en papel (ej: recibos) bajo la regulación local o de acuerdo con los estándares de WU, lo que sea más estricto.</t>
  </si>
  <si>
    <t>No se requiere acción. Se ha enviado al Agente material de capacitación específico sobre este tema. Todos los "FLAs" han recibido realimentación/capacitación sobre este tema en el transcurso de la revisión.</t>
  </si>
  <si>
    <t>L’Agent ne se conforme pas aux exigences de période de conservation pour les dossiers papier (c’est-à-dire les reçus) basé sur les réglementations locales ou d'après les normes WU, selon la période la plus stricte.</t>
  </si>
  <si>
    <t>Aucune action n'est requise. Le matériel de formation a été envoyé à l'Agent. Tous les opérateurs ont reçu une formation sur ce sujet au cours de la revue.</t>
  </si>
  <si>
    <t>Provide Western Union with a Training Log that evidences all employees/FLAs have been training on the Dodd Frank requirements. Make sure the confirmation includes the topic covered, name of the attendees and the date.</t>
  </si>
  <si>
    <t>Brinde a Western Union confirmación de entrenamiento que evidencie que todos los operadores han sido entrenados en cuanto a los requerimientos de Dodd-Frank. Asegúrese que la confirmación incluya el tema cubierto, el nombre de las personas que asistieron a la sesión y la fecha de la capacitación.</t>
  </si>
  <si>
    <t>Fournir à Western Union un journal de formation attestant que tous les employés/FLA ont suivi une formation sur les exigences de Dodd Frank. Assurez-vous que la confirmation inclut le sujet traité, le nom des participants et la date.</t>
  </si>
  <si>
    <t>Forneça à Western Union um registro de treinamento que comprove que todos os funcionários/FLAs foram treinados nos requisitos de Dodd Frank. Certifique-se de que a confirmação inclua o tópico abordado, o nome dos participantes e a data do treinamento.</t>
  </si>
  <si>
    <t>The agent has not taken action to address WU internal referrals on a timely basis.</t>
  </si>
  <si>
    <t>The Agent does not know where to direct a customer for privacy questions and inquiries.</t>
  </si>
  <si>
    <t>Some of the transactions above 50000 INR do not have a proof of payment.</t>
  </si>
  <si>
    <t>FLA was provided training on the importance of maintaining a copy of proof of payment</t>
  </si>
  <si>
    <t>Provide Western Union with documentation proving that findings or FIU/FRM Investigations from the last Program Review are remediated.</t>
  </si>
  <si>
    <t>Brinde a Western Union documentación que demuestre que se corrigieron los hallazgos de la última revisión del programa o investigaciones de FIU o FRM.</t>
  </si>
  <si>
    <t>Faites parvenir à Western Union toute la documentation démontrant que les conclusions ou les enquêtes de la FIU ou FRM ou que les actions de remédiation en attente assignées lors de la dernière Révision du Programme ont été bien complétées.</t>
  </si>
  <si>
    <t>Forneça à Western Union a documentação que prove que as conclusões ou investigações da IUF/FRM os resultados da última Revisão foram remediados.</t>
  </si>
  <si>
    <t>The Agent does not have a documented policy in place for collecting and maintaining records regarding the identities of FLAs.</t>
  </si>
  <si>
    <t>No Action Required. The agent has been trained on the topic during the course of the compliance review. The ID Policy document was signed and dated at the moment of the review.</t>
  </si>
  <si>
    <t>El agente no tiene una política documentada para la recolección y conservación de los documentos de identificación de los operadores.</t>
  </si>
  <si>
    <t xml:space="preserve">No se require acción. El agente ha sido debidamente entrenado en este tema durante la revisión.  La Política de la identificación de los empleados ha sido firmada y fechada durante la revisión. </t>
  </si>
  <si>
    <t>L'Agent n'a pas mis en place une politique documentée pour la collecte et la conservation des enregistrements concernant l'identité des FLAs.</t>
  </si>
  <si>
    <t>L'Agent a été formé sur ce sujet pendant la revue de conformité. La Politique d'identification des employés a été signée et datée pendant la revue.</t>
  </si>
  <si>
    <t>O agente não tem uma política documentada de manutenção e conservação de documentos de identificação do operador.</t>
  </si>
  <si>
    <t>Ação não é requerida. O agente foi treinado sobre o assunto durante a análise de compliance. O documento de Política de Identidade foi assinado e datado no momento da revisão.</t>
  </si>
  <si>
    <t>The agent has not taken action to address findings from the prior program review on a timely basis.</t>
  </si>
  <si>
    <t>Most of the transactions above 50000 INR do not have a proof of payment.</t>
  </si>
  <si>
    <t>Brinde a Western Union evidencia acerca de la asignación del Oficial de Cumplmiento/Delagado de Cumplimiento.</t>
  </si>
  <si>
    <t>Fournir à Western Union l'évidence avec la documentation de la désignation du CO/CD.</t>
  </si>
  <si>
    <t>Forneça a WU com evidencia sobre a designacão do Official de compliance / Delegado de compliance.</t>
  </si>
  <si>
    <t>Provide Western Union with written evidence confirming that FLA identities are being collected and maintained.</t>
  </si>
  <si>
    <t>Brinde a Western Union evidencia escrita confirmando que las identificaciones de los operadores están siendo recolectadas y conservadas.</t>
  </si>
  <si>
    <t>Fournir Western Union une évidence écrite confirmant que les identités des FLAs ont été collectées et entretenues.</t>
  </si>
  <si>
    <t>Forneça à Western Union evidência por escrito confirmando que as identidades dos funcionarios estão sendo coletadas e mantidas.</t>
  </si>
  <si>
    <t>Location name, address, or telephone number does not match WU records/system.</t>
  </si>
  <si>
    <t>No action required. The correction has been requested to the appropriate departments.</t>
  </si>
  <si>
    <t>Payments made to foreign tourist do not have a copy of the visa.</t>
  </si>
  <si>
    <t>Ensure the agent's Compliance Officer's reporting line is independent from the Sales or Business function. Provide Western Union with supporting evidence of Compliance Officer role in the organization. Evidence must consider size of the entity and could include updated organizational chart, CO job description or updated policies and procedures.</t>
  </si>
  <si>
    <t xml:space="preserve">Asegúrese de que la línea de jerarquía del Oficial de Cumplimiento sea independiente de la función de Ventas o Negocios. Brinde a Western Union evidencia de respaldo del rol de Oficial de Cumplimiento en la organización. La evidencia debe considerar el tamaño de la entidad y podría incluir un organigrama actualizado, una descripción del puesto del Oficial de Cumplimiento o políticas y procedimientos debidamente actualizados.
</t>
  </si>
  <si>
    <t>S’assurer que la ligne hiérarchique du Chargé de conformité est indépendante de celle de l’entreprise ou la fonction d’affaire. Faire parvenir à Western Union les informations sur le rôle du chargé de Conformité dans l’entreprise. Lesdites informations doivent contenir la taille de l’entreprise et l’organigramme mis a jour, la description du rôle de Chargé de conformité ou les politiques et procédures mis à jour.</t>
  </si>
  <si>
    <t>Certifique-se de que a linha de reporte do Official de Compliance do agente seja independente da função de Vendas ou Negócios. Forneça à Western Union evidência da função do Official de Compliance na organização. A evidência deve considerar o tamanho da entidade e pode incluir a estrutura organizacional atualizada, descrição do cargo do CO ou políticas e procedimentos atualizados.</t>
  </si>
  <si>
    <t>The Agent does not comply with retention period requirements for paper records (i.e., receipts) under local regulation or according to WU standards, whichever is more stringent.</t>
  </si>
  <si>
    <t>El agente no cumple o no tiene evidencia para demostrar que cumple con la política de conservación de documentos (recibos/formularios y otros registros).</t>
  </si>
  <si>
    <t>L'Agent n'est pas en conformité ou n'est pas en capacité de démontrer qu'il se conforme avec la période d'archivage des formulaires des transactions et autres documents.</t>
  </si>
  <si>
    <t>O Agente não cumpre ou não tem evidências para demonstrar o cumprimento do período de retenção exigido para formulários de transações e outros registros.</t>
  </si>
  <si>
    <t>The signatures on the TRM/ACR forms &amp; KYC documents do NOT match with one another</t>
  </si>
  <si>
    <t>FLA was provided training on the importance of customer self-attestation in the KYC proofs and Customer signature in the TRM/ACR forms. FLA was also advised on the requirements of KYC documentation in line with RBI MTSS and WU requirements.</t>
  </si>
  <si>
    <t>GS3.RQ5</t>
  </si>
  <si>
    <t>Provide Western Union with documentation that evidence the CO/CD's responsibilities.</t>
  </si>
  <si>
    <t>Brindar evidencia a Western Union sobre las responsabilidades documentadas del Oficial de Cumplimiento</t>
  </si>
  <si>
    <t>Founir évidence à Western Union sur les résponsabilités documentées du Responsible Conformité</t>
  </si>
  <si>
    <t>Forneça Western Union com o documento das responsabilidades do CO/CD.</t>
  </si>
  <si>
    <t>COT does not match internal WU records</t>
  </si>
  <si>
    <t>There are transactions where sender and receiver is not an individual</t>
  </si>
  <si>
    <t>GS3.RQ6</t>
  </si>
  <si>
    <t>Provide Western Union with a copy or evidence of the Agent's AML/CFT Compliance Program along with the Compliance Officer Acknowledgement.</t>
  </si>
  <si>
    <t>Brindar a Western Union copia o evidencia de las Políticas y Procedimientos del programa de AML/CFT junto con el reconocimiento del responsable de cumplimiento.</t>
  </si>
  <si>
    <t>Fournir a Western Union une copie/évidence des Politiques et procédures de conformité LAB/CFT avec l'attestation du responsable de conformité. </t>
  </si>
  <si>
    <t>Forneça à Western Union uma cópia ou evidência das Políticas e Procedimentos do Programa AML/CFT junto com a declaração do diretor de conformidade.</t>
  </si>
  <si>
    <t>The Agent does not dispose of all documents appropriately.</t>
  </si>
  <si>
    <t>El agente no desecha los documentos del programa de cumplimiento de forma adecuada.</t>
  </si>
  <si>
    <t>L'Agent n'élimine pas tous les documents de manière appropriée.</t>
  </si>
  <si>
    <t>O Agente não descarta todos os documentos de forma adequada.</t>
  </si>
  <si>
    <t>Nenhuma ação é requerida. O agente foi treinado sobre o tema durante a análise de conformidade.</t>
  </si>
  <si>
    <t>Agent is not following state specific requirements</t>
  </si>
  <si>
    <t>No action required. Agent trained on this topic during the review as well as necessary supplies ordered for the location.</t>
  </si>
  <si>
    <t>There are payments made to minors</t>
  </si>
  <si>
    <t>GS3.RQ7</t>
  </si>
  <si>
    <t>Fournir à Western Union une copie ou évidence des Politiques et Procédures du programme LAB/FT y compris toute section manquante.Fournir a Western Union une copie/évidence des Politiques et procédures de conformité LAB/CFT avec l'attestation du responsable de conformité. </t>
  </si>
  <si>
    <t>Fornecer à Western Union evidências de treinamento confirmando que todos os operadores foram treinados no assunto. Certifique-se de que a confirmação inclua o tema abordado, nome dos participantes e a data.</t>
  </si>
  <si>
    <t xml:space="preserve">FLAs cannot demonstrate they have been properly trained by describing AML and CFT compliance characteristics.
</t>
  </si>
  <si>
    <t>Los "FLAs" no pueden demostrar que han sido debidamente capacitados en cuanto a las características de cumplimiento de AML y CFT.</t>
  </si>
  <si>
    <t>French pending</t>
  </si>
  <si>
    <t>Os FLAs não podem demonstrar que foram treinados adequadamente ao descrever as características de conformidade com AML e CFT.</t>
  </si>
  <si>
    <t>Ação não é requerida. Material de treinamento específico deste tópico foi enviado ao Agente. Todos os FLAs receberam feedback/treinamento sobre este tópico durante a revisão.</t>
  </si>
  <si>
    <t>Fournir à Western Union une copie ou évidence des Politiques et Procédures du programme Anti-Fraude avec l'attestation du responsable de conformité. </t>
  </si>
  <si>
    <t>Forneça à Western Union uma cópia ou evidência das Políticas e Procedimentos do Programa de Anti-Fraude junto com a declaração do diretor de conformidade.</t>
  </si>
  <si>
    <t>The Agent location is unable to produce clear copies of transaction documents.</t>
  </si>
  <si>
    <t>No action required. The agent has been trained on the topic during the course of the compliance review. The agent provided a written confirmation of remediation, including clear explanation of the cause for lack of document retention and intended action plan to resolve the issue.</t>
  </si>
  <si>
    <t>El agente no puede brindar copias claras de las transferencias.</t>
  </si>
  <si>
    <t>No se require acción. El agente ha sido debidamente entrenado en este tema durante la revisión. El agente ha brindado confirmación escrita de la remediación. El documento incluye una clara explicación acerca de la falta de conservación de los registros. El agente también ha brindado un plan de acción para solucionar la falta en el futuro.</t>
  </si>
  <si>
    <t>L'Agent n'est pas en mesure de produire des copies claires des documents des transactions.</t>
  </si>
  <si>
    <t>Acune action n'est requise. L'Agent a été formé sur ce sujet pendant la revue de conformité. L'Agent a fourni confirmation écrite de remédiation, y compris une explication claire de l'absence de conservation des documents. L'Agent a également fourni un plan d'action pré pour résoudre le souci.</t>
  </si>
  <si>
    <t>O agente não consegue produzir cópias claras dos documentos das transações</t>
  </si>
  <si>
    <t>Ação não é requerida. O agente foi treinado sobre o assunto durante a análise de compliance. O agente forneceu uma confirmação por escrito da correção, incluindo uma explicação clara da causa da falta de retenção de documentos e um plano de ação pretendido para resolver o problema.</t>
  </si>
  <si>
    <t>Los "FLAs" no pueden demostrar que han sido debidamente capacitados en cuanto a las características de cumplimiento de AML y CFT.</t>
  </si>
  <si>
    <t>Les opérateurs ne sont pas en mesure de démontrer qu’ils ont été formés en décrivant les caractéristiques de conformité LCB/FT.</t>
  </si>
  <si>
    <t>Provide Western Union with training evidence confirming all FLAs have been trained on the topic. Make sure the confirmation includes the topic covered, name of the attendees and the date. Also, provide written confirmation of remediation including clear explanation of the cause for lack of document retention and intended action plan to resolve the issue.</t>
  </si>
  <si>
    <t>Brinde a Western Union confirmación donde se evidencie que todos los empleados han sido entrenados en este tema. Asegúrese que la confirmación incluya el tema cubierto, el nombre de las personas que asistieron a la sesión y la fecha de la capacitación. Además, brinde confirmación escrita de la remediación incluyendo una explicación clara de la causa de esta falta y un plan de acción para evitar que suceda en el futuro.</t>
  </si>
  <si>
    <t>Fournir à Western Union évidence de formation confirmant que tous les FLA ont été formés sur le sujet. Assurez-vous que la confirmation inclut le sujet traité, le nom des participants et la date. Fournir également une confirmation écrite de la résolution, y compris une explication claire de la cause de l'absence de conservation des documents et du plan d'action prévu pour résoudre le problème.</t>
  </si>
  <si>
    <t>Forneça à Western Union evidências de treinamento confirmando que todos os Funcionarios foram treinados sobre o assunto. Certifique-se de que a confirmação inclua o tópico abordado, o nome dos participantes e a data do treinamento. Além disso, forneça confirmação por escrito da correção, incluindo explicação clara da causa da falta de retenção de documentos e plano de ação pretendido para resolver o problema.</t>
  </si>
  <si>
    <t>The Agent Compliance Officer is not adequately experienced and knowledgeable about AML compliance.</t>
  </si>
  <si>
    <t>Provide Western Union with evidence proving review and approval of the AML/CTF and Anti-Fraud policies and procedures.</t>
  </si>
  <si>
    <t>Brinde a Western Union evidencia que demuestre la revisión y aprobación de las políticas y procedimientos AML/CFT y Anti-fraude.</t>
  </si>
  <si>
    <t>Faire parvenir a Western Union la constatation démontrant que les Politiques et procédures LAB/CFT et anti-fraude ont été mises à jour.</t>
  </si>
  <si>
    <t>Forneça à Western Union evidência que comprovem a revisão e aprovação das políticas e procedimentos AML/CTF e Antifraude.</t>
  </si>
  <si>
    <t>The Agent does not store records in a safe or secured place.</t>
  </si>
  <si>
    <t>El agente no almacena los registros/documentos en un lugar seguro.</t>
  </si>
  <si>
    <t>L'Agent n'enregistre pas les documents dans un endroit sûr ou sécurisé.</t>
  </si>
  <si>
    <t>O agente não armazena registros/documentos em um lugar seguro.</t>
  </si>
  <si>
    <t>No action required. AML P&amp;Ps were provided to the Agent during the review.</t>
  </si>
  <si>
    <t>The FLA(s)  is unaware that they should not refer consumers to another location when presented with transactions involving potential consumer fraud.</t>
  </si>
  <si>
    <t>Los operadores no saben que no deben remitir a los consumidores a otros lugares cuando se les presenten transacciones que involucren un posible fraude al consumidor.</t>
  </si>
  <si>
    <t>Os operadores não sabem que não devem encaminhar os consumidores para outro local quando se apresentam potenciais transações de fraude ao consumidor.</t>
  </si>
  <si>
    <t xml:space="preserve">Provide Western Union with evidence that shows the AML/CFT program has been communicated to all employees. </t>
  </si>
  <si>
    <t>Brinde a Western Union evidencia que indique que el programa de AML/CFT y Anti-Fraude ha sido comunicado a todos los empleados con acceso al sistema de Western Union.</t>
  </si>
  <si>
    <t>Fournir à Western Union avec évidence qui  indique que le programme LAB/FT a été communiqué à tous les employés.</t>
  </si>
  <si>
    <t>Forneça à Western Unios com evidência do programa de AML/CFT e Anti-fraude comunicado a todos os funcionários.</t>
  </si>
  <si>
    <t>Les opérateurs ne savent pas qu’ils ne doivent pas renvoyer les consommateurs vers un autre emplacement lorsqu'ils sont confrontés à des transactions liées à la fraude aux consommateurs.</t>
  </si>
  <si>
    <t>Provide Western Union with confirmation that there is a clearly documented and communicated process for its FLAs, Sub-Agents, Agent management to report suspicious activity concerns to the Compliance Officer.</t>
  </si>
  <si>
    <t>Brinde a Western Union confirmación que demuestre que existe un proceso claramente documentado y comunicado para que sus operadores, subagentes y administración de agentes informen inquietudes sobre actividades sospechosas al Oficial de cumplimiento.</t>
  </si>
  <si>
    <t>Faire parvenir à Western Union la confirmation écrite qu’il existe un processus normalisé et communiqué aux employés, sous-agents et gestionnaires de l’Agent visant le rapport des activités suspectes auprès du Chargé de conformité.</t>
  </si>
  <si>
    <t>Forneça à Western Union a confirmação de que existe um processo claramente documentado e comunicado para seus funcionários, Subagentes, gerenciamento de Agentes para relatar atividades suspeitas ao Official de Compliance.</t>
  </si>
  <si>
    <t>El Agente no elimina los registros electrónicos después de alcanzar el período de retención.</t>
  </si>
  <si>
    <t>L'Agent n'efface pas les dossiers électroniques  une fois la période de conservation est atteinte</t>
  </si>
  <si>
    <t>O Agente não exclui registros eletrônicos após atingir o período de retenção.</t>
  </si>
  <si>
    <t>Nenhuma ação é requerida. Material de treinamento específico para este tema foi enviado ao Agente. Todos os operadores receberam feedback/treinamento sobre este tópico durante o curso da revisão.</t>
  </si>
  <si>
    <t>Agent does not have the most recent version of the Agent AML Manual available at the location.</t>
  </si>
  <si>
    <t>No action required. Global Compliance Manual was provided to the Agent during the review.</t>
  </si>
  <si>
    <t>Provide Western Union with evidence of meeting the regulatory reporting requirements.</t>
  </si>
  <si>
    <t>Brinde a Western Union evidencia que muestre que están cumpliendo con los requerimientos regulatorios de reporte.</t>
  </si>
  <si>
    <t>Founir Western Union avec évidence  de la conformité avec les exigences réglementaires en matière de rapport</t>
  </si>
  <si>
    <t>Forneça à Western Union provas para demonstrar que estão em conformidade com as exigências de relatórios regulamentares.</t>
  </si>
  <si>
    <t>Forneça à Western Union evidências de treinamento ou confirmação de que todos os operadores concluíram o treinamento sobre o tema. Certifique-se de que a confirmação inclua o tema abordado, nome dos participantes e a data.</t>
  </si>
  <si>
    <t xml:space="preserve">FLA's do not know how to identify suspicious activity red flags or transactions. 
</t>
  </si>
  <si>
    <t>Los FLAs no saben cómo identificar transacciones o indicadores de actividades sospechosas.</t>
  </si>
  <si>
    <t>Os FLAs não sabem como identificar sinais de alerta ou transações de atividades suspeitas.</t>
  </si>
  <si>
    <t>Provide Western Union with proof of the agent's Training Program document.</t>
  </si>
  <si>
    <t>Brinde a Western Union evidencia del programa de capacitación del agente.</t>
  </si>
  <si>
    <t>Fournir Western Union une preuve du document du programme de formation de l'agent.</t>
  </si>
  <si>
    <t>Fornecer à Western Union uma prova do documento do Programa de Treinamento do agente.</t>
  </si>
  <si>
    <t>El agente no está documentando los registros de Money Order de forma adecuada.</t>
  </si>
  <si>
    <t>L'agent ne remplit pas correctement les enregistrements de mandats d'envoi.</t>
  </si>
  <si>
    <t>O agente não está documentando os registros de Money Orders corretamente.</t>
  </si>
  <si>
    <t>The Agent's AML policies and procedures have not been reviewed and approved by senior management in the last 12 months.</t>
  </si>
  <si>
    <t>Les opérateurs ne sont pas en mesure d’identifier les signaux d’alerte des activités ou transactions suspectes.</t>
  </si>
  <si>
    <t>No_AML/CFT: Provide Western Union with AML/CFT training materials.
No_AntiFraud:Provide Western Union with training material that includes guidance on detecting fraud and handling of fraud-induced money transfers.
No_AML/CFT/AntiFraud: Provide Western Union with AML/CFT training materials and also guidance on detecting fraud and handling of fraud-induced money transfers.</t>
  </si>
  <si>
    <t>No_AML/CFT: Brinde a Western Union material de entrenamiento de AML/CFT.
No_AntiFraud: Brinde a Western Union material de entrenamiento de Anti-Fraude que incluya guías para la detección de fraude y el manejo de transferencias fraudulentas.
No_AML/CFT/AntiFraud: Brinde a Western Union material de entrenamiento de AML/CFT y Anti-Fraude. El documento además debe incluir guías para la detección de fraude y el manejo de transferencias fraudulentas.</t>
  </si>
  <si>
    <t>No_AML/CFT: Fournir Western Union avec matériel de formation sur les sujets LAB/CFT.
No_AntiFraud: Fournir Western Union avec matériel de formation incluant une guide pour la détection de la fraude et le traitement des transferts d'argent frauduleux.
No_AML/CFT/AntiFraud: Fournir Western Union avec matériel de formation sur les sujets LAB/CFT et une guide pour la détection de la fraude et le traitement des transferts d'argent frauduleux.</t>
  </si>
  <si>
    <t>No_AML/CFT: Fornecer à Western Union material de treinamento sobre PLD (Prevenção à Lavagem de Dinheiro), CFT (Combate ao Financiamento do Terrorismo) e Prevenção à Fraude.
No_AntiFraud: Fornecer à Western Union material de treinamento que inclua orientação sobre detecção de fraude e gestão de transferências de dinheiro induzidas por fraude.
No_AML/CFT/AntiFraud: Fornecer à WU materiais de treinamento PLD (Prevenção à Lavagem de Dinheiro), CFT (Combate ao Financiamento do Terrorismo) e Prevenção à Fraude além de orientação sobre detecção de fraudes e gestão de transferências de dinheiro induzidas por fraudes.</t>
  </si>
  <si>
    <t>Agent is not completing and retaining MO logs to identify sales of $3,000 or more.
Finding Spanish: El agente no está completando y conservando los registros de Money Order para identificar ventas de $3.000 o más.</t>
  </si>
  <si>
    <t>El agente no está completando y conservando los registros de Money Order para identificar ventas de $3.000 o más.</t>
  </si>
  <si>
    <t>L"Agent ne complète ni conserve les journaux des mandats d'argent pour identifier les ventes de 3.000 CAD ou plus.</t>
  </si>
  <si>
    <t>O agente não está completando e retendo os registros de Money Order para identificar vendas de 3.000 CAD ou mais.</t>
  </si>
  <si>
    <t>Employees is unable to identify consumer fraud related activity.</t>
  </si>
  <si>
    <t>Provide Western Union with evidence showing there has been implemented a working oversight process for Initial and Ongoing AML/CFT and Fraud Awareness training for all it's Agents and Sub-Agent FLAs.</t>
  </si>
  <si>
    <t>Brinde a Western Union evidencia que demuestre que se ha implementado un proceso funcional para la capacitación inicial y continua de AML/CFT y Concientización sobre fraude para todos sus agentes y operadores de subagentes.</t>
  </si>
  <si>
    <t>Faire parvenir à Western Union la preuve qu’il existe un processus visé à assurer que tous les employés et sous-agents de l’agence ont complété la formation initial LAB/CFT et anti-fraude.</t>
  </si>
  <si>
    <t>Forneça à Western Union evidências que demonstrem que foi implementado um processo de supervisão de trabalho para o treinamento inicial e contínuo de AML/CFT e conscientização sobre Golpes de Fraude para todos os Agentes e Subagentes.</t>
  </si>
  <si>
    <t>The Agent is not complying with OFAC recordkeeping regulations.</t>
  </si>
  <si>
    <t>Provide Western Union with both, a record of training and a description of the measures taken to ensure compliance. Both pieces of information can be provided in a single communication (such as a letter or email), or two separate documents, whichever is preferred.</t>
  </si>
  <si>
    <t>El agente no está cumpliendo con los requerimientos de conservación/retención de OFAC.</t>
  </si>
  <si>
    <t>Brinde a Western Union evidencia de capacitación y una descripción de las medidas tomadas para asegurar el cumplimiento de este tema. Ambas medidas pueden ser brindadas en una misma comunicación (carta o correo electrónico) o en documentos separados.</t>
  </si>
  <si>
    <t>L'Agent ne se conforme pas aux réglementations OFAC de tenue de registres</t>
  </si>
  <si>
    <t>Fournir à Western Union à la fois un dossier de formation et une description des mesures prises pour assurer la conformité. Les deux informations peuvent être fournies dans une seule communication (comme une lettre ou un e-mail) ou dans deux documents distincts, selon ce qui est préféré.</t>
  </si>
  <si>
    <t>O agente não está em conformidade com os requisitos de manutenção de registro do OFAC</t>
  </si>
  <si>
    <t>Forneça à Western Union um registro de treinamento e uma descrição das medidas tomadas para garantir a conformidade. Ambas informações podem ser fornecidas em uma única comunicação (como uma carta ou e-mail) ou dois documentos separados, o que for preferido.</t>
  </si>
  <si>
    <t xml:space="preserve">FLA's do not know the steps to take (including reporting) when faced with suspicious activity or transactions.
</t>
  </si>
  <si>
    <t>Los operadores no saben qué acciones tomar (incluyendo la acción de reportar) ante una transferencia o actividad sospechosa.</t>
  </si>
  <si>
    <t>Os FLAs não conhecem as medidas a tomar (incluindo relatórios) quando se encaram com atividades ou transações suspeitas.</t>
  </si>
  <si>
    <t>Provide Western Union with training evidence or action plan to properly track/manage training records for FLA's.</t>
  </si>
  <si>
    <t>Brinde a Western Union evidencia de capacitación o un plan de acción para registrar/administrar adecuadamente los registros de capacitación de los operadores.</t>
  </si>
  <si>
    <t>Faire parvenir à Western Union avec la preuve ou plan d’action a suivre pour enregistrer/gérer les données de formation des opérateurs.</t>
  </si>
  <si>
    <t>Forneça à Western Union evidências de treinamento ou plano de ação para monitorar/administrar adequadamente os registros de treinamento para os funcionários.</t>
  </si>
  <si>
    <t>El agente no sabe a quien contactar en caso de pérdida o robo de documentación, accesos no autorizados o en caso de alguna violación al sistema.</t>
  </si>
  <si>
    <t>L'Agent ne sait pas qui contacter en cas de perte ou de vol de documents, d'accès non autorisé ou en cas de violation du système.</t>
  </si>
  <si>
    <t>O agente não sabe quem contatar em caso de perda ou roubo de documentação, acessos não autorizados ou em caso de qualquer violação do sistema.</t>
  </si>
  <si>
    <t>Les opérateurs ne connaissent pas les étapes à suivre (y compris les rapports) face à des activités ou transactions suspectes.</t>
  </si>
  <si>
    <t>Provide documentation proving that the required AML/CFT and/or Fraud Awareness training has been provided to all employees. Make sure the confirmation includes the topic covered, name of the attendees and the date.</t>
  </si>
  <si>
    <t>Brinde a Western Union evidencia donde se indique que todos los empleados han recibido la capacitación adecuada de AML/CFT y Anti-Fraude. Asegúrese que la confirmación contenga el tema impartido, el nombre de las personas entrenadas y la fecha correspondiente.</t>
  </si>
  <si>
    <t>Fournir évidence pour démontrer que la formation requise sur les normes ABC/CFT et la Lutte contre la Fraude a été fournie pour tous les employés. Assurez-vous que la confirmation inclut le sujet traité, le nom des participants et la date.</t>
  </si>
  <si>
    <t>Forneça documentação comprovando que o treinamento exigido inicial PDL (Prevenção à Lavagem de Dinheiro), CFT (Combate ao Financiamento do Terrorismo) e/ou de conscientização sobre fraudes foi fornecido a todos os funcionários. Certifique-se de que a confirmação inclua o tópico abordado, o nome dos participantes e a data do treinamento.</t>
  </si>
  <si>
    <t>El agente no sabe dónde dirigir a un cliente que tenga preguntas relacionadas a las Políticas de Privacidad de Western Union.</t>
  </si>
  <si>
    <t>L'agent ne sait pas où adresser un client pour des questions et des demandes de confidentialité.</t>
  </si>
  <si>
    <t>O agente não sabe que deve fazer se um cliente tem perguntas relacionadas às Políticas de Privacidade da Western Union.</t>
  </si>
  <si>
    <t>Employee is unable to take appropriate action related to consumer fraud activity.</t>
  </si>
  <si>
    <t>The Agent is unable to confirm that OFAC listing checks and collection and review of Criminal Record Certificates occur at hire and every 3 years thereafter.</t>
  </si>
  <si>
    <t>El Agente no puede confirmar que las verificaciones de listado de la OFAC y la recopilación y revisión de Certificados de antecedentes penales se realicen en el momento de la contratación y cada 3 años a partir de entonces.</t>
  </si>
  <si>
    <t>L'agent n'est pas en mesure de confirmer que les vérifications des listes de l'OFAC ainsi que la collecte et l'examen des certificats de casier judiciaire ont lieu au moment de l'embauche et tous les 3 ans par la suite.</t>
  </si>
  <si>
    <t>O Agente não pode confirmar que as verificações da listagem do OFAC e a coleta e revisão dos Certificados de Registro Criminal ocorrem no momento da contratação e a cada 3 anos a partir de então.</t>
  </si>
  <si>
    <t>Agent is unaware that they should not refer consumers to another location when presented with transactions involving potential consumer fraud.</t>
  </si>
  <si>
    <t>FLA was provided training that they should not refer consumers to another location when presented with transactions involving potential consumer fraud.</t>
  </si>
  <si>
    <t>Provide Western Union with monitoring evidence and communication of its results to the Agent's Compliance Officer for review.</t>
  </si>
  <si>
    <t>Brinde a Western Union evidencia de monitoreo y la  comunicación de sus resultados al Oficial de Cumplimiento para su revisión.</t>
  </si>
  <si>
    <t>Faire parvenir a Western Union avec la preuve de surveillance et la remise des résultats auprès du Chargé de conformité pour sa révision.</t>
  </si>
  <si>
    <t>Forneça à Western Union evidências de monitoramento e comunicação de seus resultados ao Official de Compliance para revisão.</t>
  </si>
  <si>
    <t>Provide Western Union with documentation proving that OFAC listing checks and collection and review of Criminal Record Certificates for all employees have occurred and they are documented in the respective Employee Registries.</t>
  </si>
  <si>
    <t>Proporcionar a Western Union documentación que demuestre que se han realizado verificaciones de listado de la OFAC y la recopilación y revisión de certificados de antecedentes penales para todos los empleados y que están documentados en los respectivos Registros de Empleados.</t>
  </si>
  <si>
    <t>Fournir à Western Union la documentation prouvant que les vérifications des listes de l'OFAC ainsi que la collecte et l'examen des certificats de casier judiciaire de tous les employés ont eu lieu et qu'ils sont documentés dans les registres des employés respectifs.</t>
  </si>
  <si>
    <t>Fornecer à Western Union documentação que comprove que ocorreram verificações de listagem do OFAC e coleta e revisão de Certificados de Registro Criminal de todos os funcionários e que estão documentados nos respectivos Registros de Funcionários.</t>
  </si>
  <si>
    <t>No action required. Agent has been guided with the FinCEN's E-Filling registration process during the review.</t>
  </si>
  <si>
    <t>Provide evidence demonstrating that your AML/CFT program (P&amp;Ps) includes enhanced transaction monitoring guidelines (including a list of criteria/alerts for the monitoring process). If you have already given us such evidence of complete P&amp;Ps, provide enhanced transaction monitoring evidence instead.</t>
  </si>
  <si>
    <t>Brinde a Western Union evidencia que indique que las pautas de monitoreo de transacciones (incluída una lista de criterios/alertas para el proceso de monitoreo) están incluidas en su programa AML/CFT (P&amp;Ps). Si ya nos ha proporcionado evidencia de P&amp;Ps completos, brinde pruebas de monitoreo.</t>
  </si>
  <si>
    <t>Faire parvenir à Western Union une preuve démontrant que les guides de surveillance des transactions (en incluant une liste de critères/alertes pour le processus de surveillance) sont incluses dans le « Programme LAB/CFT » (P&amp;P’s). Si vous nous avez déjà fait parvenir le document des P&amp;Ps au complète, veuillez fournir un échantillon des formulaires de surveillance.</t>
  </si>
  <si>
    <t>Forneça à Western Union evidências de que as diretrizes de monitoramento de transações (incluindo uma lista de critérios/alertas para o processo de monitoramento) estão incluídas em seu programa AML/CFT (P&amp;Ps). Se você já nos forneceu evidências de P&amp;Ps concluídas, forneça evidências de monitoramento.</t>
  </si>
  <si>
    <t>The Agent was unable to confirm that the camera and/or alarm system is verified every 48 hours.</t>
  </si>
  <si>
    <t>El agent no pudo confirmar que la camara y/o el sistema de alarma se verifiquen cada 48 horas.</t>
  </si>
  <si>
    <t xml:space="preserve"> L'agent n'a pas été en mesure de confirmer que la caméra et/ou le système d'alarme sont vérifiés toutes les 48 heures.</t>
  </si>
  <si>
    <t xml:space="preserve"> O Agente não conseguiu confirmar se o sistema de câmeras e/ou alarme é verificado a cada 48 horas.</t>
  </si>
  <si>
    <t>The Agent, do not have evidence to demonstrate compliance with recordkeeping requirements.</t>
  </si>
  <si>
    <t>The FLA(s)  is unable to identify Agent Fraud related activity.</t>
  </si>
  <si>
    <t>Los operadores no saben identificar actividad relacionada a fraude al agente.</t>
  </si>
  <si>
    <t>Les Opérateurs ne sont pas capables d’identifier les activités liées à la Fraude aux Agents.</t>
  </si>
  <si>
    <t>Os operadores não sabem identificar atividades relacionadas à fraude contra o Correspondente.</t>
  </si>
  <si>
    <t>Provide Western Union with effective transaction Monitoring evidence.</t>
  </si>
  <si>
    <t>Brinde a Western Union con la documentación respectiva donde se evidencie un proceso adecuado de monitoreo.</t>
  </si>
  <si>
    <t>Fournir Western Union avec évidence effective de surveillance des transactions</t>
  </si>
  <si>
    <t>Forneça à Western Union a respectiva documentação que comprove um processo de monitoramento adequado.</t>
  </si>
  <si>
    <t>Provide Western Union with documentation proving that the camera and/or alarm system is verified every 48 hours.</t>
  </si>
  <si>
    <t>El Agente no pudo confirmar que la cámara y/o el sistema de alarma se verifiquen cada 48 horas.</t>
  </si>
  <si>
    <t>Proporcionar a Western Union documentación que demuestre que la cámara y/o el sistema de alarma se verifican cada 48 horas.</t>
  </si>
  <si>
    <t>L'agent n'a pas été en mesure de confirmer que la caméra et/ou le système d'alarme sont vérifiés toutes les 48 heures.</t>
  </si>
  <si>
    <t>Fournissez à Western Union la documentation prouvant que la caméra et/ou le système d'alarme est vérifié toutes les 48 heures.</t>
  </si>
  <si>
    <t>O Agente não conseguiu confirmar se o sistema de câmeras e/ou alarme é verificado a cada 48 horas.</t>
  </si>
  <si>
    <t>Forneça à Western Union documentação que comprove que a câmera e/ou o sistema de alarme são verificados a cada 48 horas.</t>
  </si>
  <si>
    <t>Provide Western Union with evidence that the AML/CFT and Anti-Fraud compliance Policies and Procedures has a quality assurance program that performs regular and independent testing of the AML/CFT and fraud controls. In addition, provide to Western Union with evidence of valid, complete, and current Agent's independent review.</t>
  </si>
  <si>
    <t>Brinde a Western Union pruebas de que las Políticas y Procedimientos de cumplimiento AML/CFT y Anti-fraude tienen un programa de control de calidad que realiza pruebas periódicas e independientes de los controles AML/CFT y de anti-fraude. Además, proporcione a Western Union evidencia de una revisión independiente válida, completa y actual.</t>
  </si>
  <si>
    <t>Fournir Western Union avec évidence que Les Politiques et Procédures AML/CFT et Anti-Fraude, possèdent un programme d'assurance de qualité que effectue un examen indépendant régulier des contrôles AML/CFT et fraude. En outre, fournir Western Union avec évidence d'une revue indépendante valide, complète et courante.</t>
  </si>
  <si>
    <t>Forneça à Western Union evidências de que as Políticas e Procedimentos de Compliance de AML/CFT e Antifraude possuem um programa de garantia de qualidade que realiza testes regulares e independentes de AML/CFT e controles de fraude. Além disso, forneça à Western Union evidência de revisão independente válida, completa e atual do Agente.</t>
  </si>
  <si>
    <t>The Agent has not cleared all the findings and remediation action items related to the last program review, which were due on or before the date of the present review.</t>
  </si>
  <si>
    <t xml:space="preserve">No action required. The agent has remediated all pending findings and action items from the last Program Review. </t>
  </si>
  <si>
    <t>El Agente no ha remediado todos los hallazgos relacionados con la última revisión del programa, que vencían en la fecha de la presente revisión o antes.</t>
  </si>
  <si>
    <t>No se require acción. El agente ha corregido todos los hallazgos pendientes de la última revisión del programa.</t>
  </si>
  <si>
    <t>L’Agent n’a pas complété toutes les actions de remédiation liées à la dernière Révision du Programme, celles qui ont été ou sont en échéance avant la date de cette Révision.</t>
  </si>
  <si>
    <t>Aucune action n’est requise. L’Agent a complété toutes les actions correctives assignées lors de la dernière Révision du Programme.</t>
  </si>
  <si>
    <t>O Agente não corrigiu todos os itens de ação de correção relacionados à última revisão do programa, que deviam ser fornecidoa durante o antes da presente revisão.</t>
  </si>
  <si>
    <t>Ação não é requerida.O agente corrigiu todas os itens pendentes da última revisão.</t>
  </si>
  <si>
    <t>Employees is unable to identify agent fraud related activity.</t>
  </si>
  <si>
    <t>Provide Western Union with documentation proving that findings from the last Program Review are remediated.</t>
  </si>
  <si>
    <t>Brinde a Western Union documentación que demuestre que se corrigieron los hallazgos de la última revisión del programa.</t>
  </si>
  <si>
    <t>Faites parvenir à Western Union les documents nécessaires pour constater que toutes les actions correctives assignées lors de la dernière Révision du Programme ont été bien complétées.</t>
  </si>
  <si>
    <t>Forneça à Western Union documentação que comprove que os itens identificados da última revisão foram corrigidos.</t>
  </si>
  <si>
    <t>The Agent does not dispose of all documents appropriately (e.g. by shredding).</t>
  </si>
  <si>
    <t xml:space="preserve">The FLA(s) is unable to describe the actions that should be taken when faced with Agent fraud related activity.
</t>
  </si>
  <si>
    <t>Los operadores no sabe explicar las acciones que deben tomarse ante una situación de fraude contra el agente.</t>
  </si>
  <si>
    <t>Les opérateurs n'ont pas été capables d’expliquer quelles mesures doivent être prises face aux activités liées à la Fraude aux Agents.</t>
  </si>
  <si>
    <t>Os operadores não sabem as medidas adequadas que devem tomar no caso de identificação de atividades ou situações da fraude contra o Correspondente.</t>
  </si>
  <si>
    <t>Provide Western Union with confirmation of updated and approved AML Policies and Procedures that include updated KYC/CIP information. Confirmation must be documented and dated and may be obtained through an email statement from the Agent or through receipt and review of updated P&amp;Ps.</t>
  </si>
  <si>
    <t>Brinde a Western Union confirmación que las Políticas y Procedimientos de AML/CFT han sido actualizados y aprobados. Deben incluir información actualizada de KYC/CIP. La confirmación debe estar documentada y fechada y puede obtenerse a través de un documento escrito o por correo electrónico. También se aceptan las Políticas y Procedimientos actualizadas.</t>
  </si>
  <si>
    <t>Faire parvenir a Western Union la confirmation démontrant que les « Politiques et procédures LAB/CFT et anti-fraude » ont été mises a jour et approuvées et qu'elles répondent aux besoins KYC/CIP. La dite confirmation devra être documentée et obtenue a travers un courriel électronique de la part de l'Agent ou bien, suite a une mise a jour des politiques.</t>
  </si>
  <si>
    <t>Forneça à Western Union a confirmação de Políticas e Procedimentos de AML atualizados e aprovados que incluam informações atualizadas sobre KYC/CIP. A confirmação deve ser documentada e datada e pode ser obtida por meio de uma declaração por e-mail do Agente ou pela revisão dos P&amp;Ps atualizados.</t>
  </si>
  <si>
    <t xml:space="preserve">No action required. A request to the respective team has been sent to to update the agent's information. </t>
  </si>
  <si>
    <t>Le nom, adresse et numéro de téléphone ne correspondent pas aux enregistrements Western Union.</t>
  </si>
  <si>
    <t>The Agent is not properly completing Money Order Records</t>
  </si>
  <si>
    <t>Provide Western Union with evidence that the Agent has distributed the Compliance Manual to its Sub-Agents.</t>
  </si>
  <si>
    <t>Brinde a Western Union evidencia de que el Agente ha distribuido el Manual de Cumplimiento a sus Subagentes.</t>
  </si>
  <si>
    <t>Faites parvenir à Western Union la preuve démontrant que le manuel de conformité a été délivré à tous les sous-agents.</t>
  </si>
  <si>
    <t>Forneça à Western Union evidência de que o Agente distribuiu o Manual de Compliance aos seus Subagentes.</t>
  </si>
  <si>
    <t xml:space="preserve"> COT does not match internal WU records.</t>
  </si>
  <si>
    <t>El COT no coincide con nuestros registros internos.</t>
  </si>
  <si>
    <t>Le COT ne correspond pas aux enregistrements internes Western Union</t>
  </si>
  <si>
    <t>O tipo de negocio não  corresponde aos registros da WU.</t>
  </si>
  <si>
    <t>Employee is unable to explain the appropriate action related to agent fraud activity.</t>
  </si>
  <si>
    <t>The compliance officer of Principal Agent is requested to provide training to FLA and confirm in writing to us.</t>
  </si>
  <si>
    <t>Provide Western Union with evidence showing that Sub-Agents’ have adopted or incorporated the Global Agent Compliance Manual into their Policies and Procedures.</t>
  </si>
  <si>
    <t>Brinde a Western Union evidencia que demuestre que los Sub-agentes han adoptado o incorporado el Manual de Cumplimiento Global en sus Políticas y Procedimientos.</t>
  </si>
  <si>
    <t>Faire parvenir à Western Union la preuve démontrant que les Sous-agents ont adopté, ou bien incorporé ou déployé, la version la plus récente du « Manuel global de conformité des agents » dans ses Politiques et Procédures.</t>
  </si>
  <si>
    <t>Forneça à Western Union evidência que demonstrem que os Subagentes adotaram ou incorporaram o Manual Global de Compliance do Agente em suas Políticas e Procedimentos.</t>
  </si>
  <si>
    <t xml:space="preserve">COT does not match internal WU records and is prohibited. </t>
  </si>
  <si>
    <t>The Agent's true Class of Trade (COT) is prohibited under WU or regional policy. Escalating to suspension.</t>
  </si>
  <si>
    <t>El COT no coincide con nuestros registros internos y es prohibido.</t>
  </si>
  <si>
    <t>El verdadero tipo de comercio (COT) del agente está prohibido por WU o la política regional. Se escala el agente a suspensión.</t>
  </si>
  <si>
    <t>La classe de commerce de l’Agent n’est pas la même que celle sauvegardée dans les registres de Western Union et en plus, c’est interdite.</t>
  </si>
  <si>
    <t>La classe de commerce de l’Agent est interdite d’après les politiques régionales et/ou de Western Union. Suspension requise.</t>
  </si>
  <si>
    <t>O tipo de negocio não  corresponde aos registros da WU, e tambem é proibido.</t>
  </si>
  <si>
    <t>A verdadeira Classe de Comércio (COT) do Agente é proibida pela WU ou pela política regional. Escalar para suspensão.</t>
  </si>
  <si>
    <t>The FLA(s)  is unable to identify consumer fraud related activity.</t>
  </si>
  <si>
    <t>Los operadores no saben identificar actividades relacionadas con fraude al consumidor.</t>
  </si>
  <si>
    <t>Les opérateurs ne sont pas capables d'identifier une situation liée à la fraude au Client.</t>
  </si>
  <si>
    <t>Os operadores não sabem identificar atividades e situações relacionadas com a fraude ao consumidor.</t>
  </si>
  <si>
    <t>Provide Western Union with evidence showing that the AML/CFT &amp; Anti-Fraud Policies and Procedures used by Sub-Agents meet minimum standards.</t>
  </si>
  <si>
    <t>Brinde a Western Union evidencia que demuestre que las políticas y procedimientos de AML/CFT y antifraude utilizados por los sub-agentes cumplen con los estándares mínimos.</t>
  </si>
  <si>
    <t>Faire parvenir à Western Union la preuve démontrant que les « Politiques et procédures LAB/CFT et anti-fraude » utilisés par les Sous-agents répondent aux normes minimales exigées.</t>
  </si>
  <si>
    <t>Forneça à Western Union evidências que demonstrem que as Políticas e Procedimentos AML/CFT e Antifraude usados pelos Subagentes atendem aos padrões mínimos.</t>
  </si>
  <si>
    <t>Agent ownership details do not match WU records/systems.</t>
  </si>
  <si>
    <t>La información acerca de los propietarios de la localidad no coinciden con los registros de Western Union.</t>
  </si>
  <si>
    <t>Les détails de propriétaire de l'agent ne correspondent pas aux enregistrements/systèmes WU.</t>
  </si>
  <si>
    <t>Os detalhes sobre a propriedade da loja não  corresponde aos registros da WU.</t>
  </si>
  <si>
    <t>Provide Western Union with the AML/CFT and Anti-Fraud policies and procedures or a written statement confirming that the policy for Sub-Agent Oversight includes all requirements.</t>
  </si>
  <si>
    <t>Brinde a Western Union las Políticas y Procedimientos de AML/CFT y antifraude o una confirmación escrita que indique la política para los sub-agentes incluye todos los requerimientos.</t>
  </si>
  <si>
    <t>Faire parvenir à Western Union soit les « Politiques et procédures LAB/CFT et anti-fraude », soit une confirmation par écrit constatant que les politiques pour la surveillance des sous-agents incluent tous les sujets requis dans sa juridiction.</t>
  </si>
  <si>
    <t>Forneça à Western Union as políticas e procedimentos de AML/CFT e Antifraude ou uma declaração por escrito confirmando que a política de Supervisão de Subagentes inclui todos os requisitos.</t>
  </si>
  <si>
    <t>Ensure any ownership change has properly been notified to Western Union to ensure information is accurate and up to date in the Western Union Systems. Provide confirmation evidence.</t>
  </si>
  <si>
    <t>Asegúrese de mantener la información debidamente actualizada en los sistemas de Western Union y  reportar cualquier cambio en la información de los propietarios de la localidad. Brindar la respectiva evidencia.</t>
  </si>
  <si>
    <t>Assurez-vous que tout changement de propriétaire a été correctement notifié à Western Union afin de garantir que les informations sont exactes et à jour dans les systèmes Western Union. Fournir des preuves de confirmation.</t>
  </si>
  <si>
    <t>Certifique-se de cualquer cambio na propriedade seja notificado a WU para asegurar que a informação é correta y atualizada nos registros da WU. Forneça evidencia.</t>
  </si>
  <si>
    <t xml:space="preserve"> Provide training on how and when to file LCTRs for cash transactions and/or money order transactions totaling $10,000 or more done by the same customer in a single day </t>
  </si>
  <si>
    <t>The FLA(s)  is unable to take appropriate action related to consumer fraud activity.</t>
  </si>
  <si>
    <t>Los operadores no saben qué acciones tomar ante una situación que involucre fraude al consumidor.</t>
  </si>
  <si>
    <t>Les opérateurs ne savent pas quoi faire face à une situation liée à la fraude au Client.</t>
  </si>
  <si>
    <t>Os operadores não sabem as medidas adequadas que devem tomar no caso de identificação de situações da fraude ao consumidor.</t>
  </si>
  <si>
    <t>Provide Western Union with confirmation that indicates the Sub-Agent review plan is adhered to and evidence of completed action plan.</t>
  </si>
  <si>
    <t>Brinde a Western Union una confirmación que indique que se cumple el plan de revisión del Sub-agente y evidencia del plan de acción completado.</t>
  </si>
  <si>
    <t>Faire parvenir à Western Union la confirmation indiquant que le « Plan de révision des sous-agents » est en conformité et fournissez la preuve du plan d’action complété.</t>
  </si>
  <si>
    <t>Forneçã à Western Union confirmação de que o plano para revisão do Subagente foi cumprido e evidência do plano de ação concluído.</t>
  </si>
  <si>
    <t>Agent ownership details do not match WU records/systems and there was a significant ownership change.</t>
  </si>
  <si>
    <t>Ensure any ownership change has properly been notified to Western Union to ensure information is accurate and up to date in the Western Union Systems. Provide confirmation evidence (Suspension).</t>
  </si>
  <si>
    <t>Asegúrese de mantener la información debidamente actualizada en los sistemas de Western Union y  reportar cualquier cambio en la información de los propietarios de la localidad. Brindar la respectiva evidencia (Suspensión).</t>
  </si>
  <si>
    <t>Les informations concernant les noms des propriétaires de l’entreprise ne sont pas les mêmes que celles sauvegardées dans les registres de Western Union.</t>
  </si>
  <si>
    <t>Assurez-vous de garder vos informations à jour dans les systèmes de Western Union et de signaler tout changement dans les informations du propriétaire de l'emplacement. Fournir les preuves respectives (Suspension).</t>
  </si>
  <si>
    <t>Certifique-se de cualquer cambio na propriedade seja notificado a WU para asegurar que a informação é correta y atualizada nos registros da WU. Forneça evidencia (Suspensão).</t>
  </si>
  <si>
    <t>Provide Western Union with evidence that shows that the AML/CTF policies and procedures include suspension and termination guidelines for non-compliant Sub-Agents.</t>
  </si>
  <si>
    <t>Brinde a Western Union evidencia que demuestre que las políticas y los procedimientos de AML/CFT incluyen pautas de suspensión y terminación para los sub-agentes que no cumplen con los requerimientos.</t>
  </si>
  <si>
    <t>Faire parvenir à Western Union la preuve démontrant que les « Politiques et procédures LAB/CFT et anti-fraude » incluent les instructions pour suspendre/résilier les Sous-agents identifiés comme « non-conformes ».</t>
  </si>
  <si>
    <t>Forneça à Western Union evidências que demonstrem que as políticas e procedimentos AML/CTF incluem diretrizes de suspensão e rescisão para Subagentes não cumprem com o programa de compliance.</t>
  </si>
  <si>
    <t>Los operadores comparten sus credenciales para apresurar el proceso.</t>
  </si>
  <si>
    <t>Asegúrese que para ingresar al sistema de Western Union cada operador utilice su usuario y contraseña propio. Western Union dará seguimiento a este ítem para garantizar que cada operador utilice accesos propios.</t>
  </si>
  <si>
    <t>Les opérateurs partagent le code utilisateur et mot de passe pour accélerer le processus</t>
  </si>
  <si>
    <t>Assurez-vous que les FLA utilisent leurs identifiants de connexion personnels et uniques (identifiants et codes d'accès) sur tous les systèmes Western Union. Western Union assurera le suivi de cet élément pour confirmer que les informations d'identification sont correctement utilisées par chaque FLA.</t>
  </si>
  <si>
    <t>Os empregados compartilhiam seus nomes de usuarios y senhas para acelerar o proceso.</t>
  </si>
  <si>
    <t>Certifique-seque todos os funcionários utilizem os propios nomes de usuários e senhas. Western Union dará seguimento neste para se-assegurar que os funcionários utilizem a informação propia.</t>
  </si>
  <si>
    <t>There are minimal number of transactions between senders and receivers that do not have an apparent family relationship.</t>
  </si>
  <si>
    <t>Feedback provided to FLA.</t>
  </si>
  <si>
    <t>Provide Western Union with evidence that AML/CTF policies and procedures include licensing and registration requirements for Sub-Agents, or a confirmation stating that this process is performed by Western Union, where applicable.</t>
  </si>
  <si>
    <t>Brinde a Western Union evidencia que demuestre que las políticas y procedimientos de AML/CFT incluyen requisitos de licencia y registro para sub-agentes o bien una confirmación que indique que este proceso lo realiza Western Union cuando así corresponda.</t>
  </si>
  <si>
    <t>Faire parvenir à Western Union la preuve démontrant que les « Politiques et procédures LAB/CFT et anti-fraude » incluent les besoins de registre et licence nécessaires pour les Sous-agents, ou bien une confirmation par écrit indiquant que ce processus est mené par Western Union (le cas échéant).</t>
  </si>
  <si>
    <t>Forneça à Western Union evidência de que as políticas e procedimentos AML/CTF incluem requisitos de licenciamento e registro para Subagentes, ou uma confirmação declarando que este processo é realizado pela Western Union, quando aplicável.</t>
  </si>
  <si>
    <t>Ensure FLAs use their personal and unique login credentials (IDs and passcodes) to all Western Union systems. Western Union will follow up on this item to confirm that credentials are properly utilized by each FLA (Suspension).</t>
  </si>
  <si>
    <t>Los operadores comparten sus credenciales para para evitar los controles de Cumplimiento.</t>
  </si>
  <si>
    <t>Asegúrese que para ingresar al sistema de Western Union cada operador utilice su usuario y contraseña propio. Western Union dará seguimiento a este ítem para garantizar que cada operador utilice accesos propios (Suspensión).</t>
  </si>
  <si>
    <t>Les operateurs partagent leurs usagers pour éviter les contrôles de conformité.</t>
  </si>
  <si>
    <t>Assurez-vous que les FLA utilisent leurs identifiants de connexion personnels et uniques (identifiants et codes d'accès) sur tous les systèmes Western Union. Western Union assurera le suivi de cet élément pour confirmer que les informations d'identification sont correctement utilisées par chaque FLA (Suspension).</t>
  </si>
  <si>
    <t>Os empregados compartilhiam seus nomes de usuarios y senhas para evitar controles de compliance.</t>
  </si>
  <si>
    <t>Certifique-seque todos os funcionários utilizem os propios nomes de usuários e senhas. Western Union dará seguimento neste para se-assegurar que os funcionários utilizem a informação propia (Suspensão).</t>
  </si>
  <si>
    <t>The FLAs are not following the Telemarketing Prompt as outlined on the Fraud Prompt.</t>
  </si>
  <si>
    <t>Provide the necessary training/reminder to FLAs that he/she must ask the consumer the verbiage as outlined on the WUPOS Fraud prompt on every transaction that it displays on, log the customer’s response in system and decline transaction if answer is in the affirmative. Provide reminder.</t>
  </si>
  <si>
    <t>Provide Western Union with documentation that evidences there is a process to perform due diligence on Sub-Agents.</t>
  </si>
  <si>
    <t>Brinde a Western Union documentación que demuestre que existe un proceso para realizar la debida diligencia con los sub-agentes.</t>
  </si>
  <si>
    <t>Faire parvenir a Western Union la preuve démontrant qu'il existe un processus pour faire la vérification nécessaire avec les Sous-agents.</t>
  </si>
  <si>
    <t>Forneça à Western Union documentação que comprove que existe um processo para realizar a devida diligência nos Subagentes.</t>
  </si>
  <si>
    <t>Agent is not following state-specific requirements.</t>
  </si>
  <si>
    <t>No Action Required. The agent has been trained on the topic during the course of the compliance review. State Requirements have been ordered.</t>
  </si>
  <si>
    <t>El agente no está siguiendo los requerimientos específicos del Estado.</t>
  </si>
  <si>
    <t>No se require acción. El agente ha sido debidamente entrenado en este tema durante la revisión. Los requerimientos especificos del estado han sido solicitados.</t>
  </si>
  <si>
    <t>L'agent ne respecte pas les exigences spécifiques à l'état.</t>
  </si>
  <si>
    <t>O agente não está seguindo os requisitos específicos do Estado.</t>
  </si>
  <si>
    <t>Ação não é requerida. Requisitos estaduais específicos foram ordenados. O agente foi treinado sobre o tema durante o curso da revisão de conformidade.</t>
  </si>
  <si>
    <t>No action required. Confirmation of FinCEN's E-Filling registration was verified during the review.</t>
  </si>
  <si>
    <t>There are a High number of transactions between senders and receivers that do not have an apparent family relationship</t>
  </si>
  <si>
    <t>Request the HQ to provide additional training and obtain written confirmation of remediation from the HQ.</t>
  </si>
  <si>
    <t>India</t>
  </si>
  <si>
    <t>Agent is not advising WU of material changes to the company or personal information related to the ownership, registration and/or management of the Agent.</t>
  </si>
  <si>
    <t>No action required. The necessary documentation required for update(s) has been collected during the review.</t>
  </si>
  <si>
    <t>El Agente no está informando a WU sobre cambios en la empresa o información relacionada a los propietarios, el registro y/o la administración del Agente.</t>
  </si>
  <si>
    <t>No se requiere acción. La documentación requerida para la actualización respectiva se recopiló durante la revisión.</t>
  </si>
  <si>
    <t>L'Agent n'informe pas WU des changements importants apportés à l'entreprise ou des informations personnelles liées à la propriété, à l'enregistrement et/ou à la gestion de l'Agent.</t>
  </si>
  <si>
    <t>Aucune action n'est requise. La documentation requise pour la mise à jour respective a été recueillie au cours de la revue.</t>
  </si>
  <si>
    <t>O Agente não está informando a WU sobre mudanças na empresa ou informações relacionadas aos donos o registros e/ou a administração do Agente.</t>
  </si>
  <si>
    <t>Açao não é requerida. A documentação necessária para atualização(ões) foi coletada durante a revisão.</t>
  </si>
  <si>
    <t>No action required. Agent trained on this topic during the review</t>
  </si>
  <si>
    <t>There are high number of transactions between senders and receivers that do not have an apparent family relationship.</t>
  </si>
  <si>
    <t>No action required. A permit has been applied but is awaiting Revenu Quebec approval.</t>
  </si>
  <si>
    <t>El agente no tiende visible el certificado de registro de AMF actual.</t>
  </si>
  <si>
    <t>No se requiere acción. El agente ha solicitado la licencia pero está esperando la aprobación de la AMF.</t>
  </si>
  <si>
    <t>L'agent n'affiche pas un certificat d'enregistrement AMF valide dans un endroit bien en vue.</t>
  </si>
  <si>
    <t>Aucune action n'est requise. L'agent a demandé l'agrément à l' attente de l'approbation de l'AMF.</t>
  </si>
  <si>
    <t>O agente não tem visível o certificado de registro do AMF atual.</t>
  </si>
  <si>
    <t>O agente solicitou a licença, mas está aguardando a aprovação da AMF.</t>
  </si>
  <si>
    <t>This finding will lead to suspension. FLA should provide a confirmation letter that going forward they will be more careful and adhere to all WU guidelines regarding non-familial transactions.</t>
  </si>
  <si>
    <t>Proporcione documentación a Western Union que demuestre que todos los empleados han recibido capacitación sobre el tema. Asegúrese que la confirmación contenga el tema impartido, el nombre de las personas entrenadas y la fecha correspondiente. Western Union monitoreará y evaluará si este ítem ha  sido debidamente remediado.</t>
  </si>
  <si>
    <t>Fournir Western Union avec évidence de formation ou confirmation que tous les opérateurs ont complété la formation sur le sujet. Assurez-vous que la confirmation inclut le sujet traité, le nom des participants et la date. Western Union continuera de surveiller pour évaluer si cet element d'action a été corrigé par l'Agent.</t>
  </si>
  <si>
    <t>Provide Western Union with evidence that the permit is displayed at the Agent location.</t>
  </si>
  <si>
    <t>Brinde a Western Union evidencia que la licencia se encuentra en una ubicación visible.</t>
  </si>
  <si>
    <t>Fournir Western Union avec évidence que la licence est affichée dans un endroit bien en vue.</t>
  </si>
  <si>
    <t>Forneça à Western Union evidência de que a licença é exibida no local do Agente.</t>
  </si>
  <si>
    <t>Provide evidence demonstrating the ownership change has properly been notified to ensure information is accurate and complete in the Western Union systems. The location will be suspended until the information is updated.</t>
  </si>
  <si>
    <t>The Agent is not storing transaction forms and regulatory reports in a secure location.</t>
  </si>
  <si>
    <t>El Agente no almacena los formularios/recibos de transacciones e informes/documentos regulatorios en un lugar seguro.</t>
  </si>
  <si>
    <t xml:space="preserve">L’Agent ne garde pas les reçus des transferts et les formulaires de conformité dans un endroit sécurise. </t>
  </si>
  <si>
    <t>O Agente não está armazenando formulários de transações e relatórios regulatórios em um local seguro.</t>
  </si>
  <si>
    <t>The Agent does not have either a designated AML/CFT or Anti-Fraud Compliance Officer/Compliance Delegate.</t>
  </si>
  <si>
    <t>El agente no tiene un Oficial de Cumplimiento designado para AML/CFT ni Anti-Fraud.</t>
  </si>
  <si>
    <t>L'Agent n'a pas de Responsable AML/CFT désigné ni Délégué à la Conformité Anti-Fraude</t>
  </si>
  <si>
    <t>O agente não tem designado Official de compliance no seu programa de AML/CFT e Anti-fraude.</t>
  </si>
  <si>
    <t>Ensure all FLAs have been trained on the prohibition of telemarketing transactions . Provide Western Union with evidence or written confirmation of FLA's training on this topic. Make sure the confirmation includes the topic covered, name of the attendees and the date.</t>
  </si>
  <si>
    <t>Asegúrese que todos los operadores han sido debidamente entrenados en la prohibición de realizar transferencias relacionadas a telemercadeo. Brinde a Western Union confirmación por escrito de los entrenamientos impartidos en cuanto a este tema. Asegúrese que la confirmación contenga el tema impartido, el nombre de las personas entrenadas y la fecha correspondiente.</t>
  </si>
  <si>
    <t>Assurer que tous les opérateurs soient correctement formés sur l'interdiction des transactions liées au Télémarketing. Fournir confirmation ou évidence de formation sur le sujet. Assurez-vous que la confirmation inclut le sujet traité, le nom des participants et la date.</t>
  </si>
  <si>
    <t>Certifique-se que todos os funcionários têm sido devidamente treinados sobre as restrições do processamento de transações relacionadas a telemarketing. Envie resposta com a confirmação que as informações desta regra foram repassadas, em qualidade de treinamento, com todos os funcionários. Certifique-se de que a confirmação inclua o tópico abordado, o nome dos participantes e a data do treinamento.</t>
  </si>
  <si>
    <t>Aucune action est requise. L'Agent a été formé sur ce sujet pendant la revue de conformité.</t>
  </si>
  <si>
    <t>Ensure FLAs use their personal and unique login credentials (IDs and passcodes) to all Western Union systems. Western Union will follow up on this item to confirm that credentials are properly utilized by each FLA. Escalating for suspension.</t>
  </si>
  <si>
    <t>The FLA(s) is unable to identify and respond to cases of elder financial abuse.</t>
  </si>
  <si>
    <t>No action required. Training was provided on how to identify and respond to potential instances of elder financial abuse.</t>
  </si>
  <si>
    <t>Los operadores no saben identificar ni responder a casos de abuso financiero a personas mayores.</t>
  </si>
  <si>
    <t>No se requiere acción. Se ha enviado al Agente material de capacitación específico sobre este tema. Todos los "FLAs" han recibido realimentación/capacitación sobre cómo identificar y responder a posibles casos de abuso financiero de personas mayores en el transcurso de la revisión.</t>
  </si>
  <si>
    <t>Les Opérateurs ne sont pas capables d'identifier et de répondre aux cas d'exploitation financière des personnes âgées.</t>
  </si>
  <si>
    <t>Aucune action n'est requise. Le matériel de formation a été envoyé à l'Agent. Tous les opérateurs ont reçu une formation sur la manière d'identifier et de répondre aux cas potentiels d'exploitation financière des personnes âgées au cours de la revue.</t>
  </si>
  <si>
    <t>Os operadores não sabem identificar e responder a casos de abuso financeiro de idosos.</t>
  </si>
  <si>
    <t>Ação não é requerida. Material de treinamento específico deste tópico foi enviado ao Agente. Todos os FLAs receberam feedback/treinamento sobre como identificar e responder a potenciais casos de abuso financeiro de idosos durante a revisão.</t>
  </si>
  <si>
    <t>The agent has been assisted in completing their E-Filing registration during the course of the review.</t>
  </si>
  <si>
    <t>El agente no está registrado en el sistema E-Filing de FinCEN.</t>
  </si>
  <si>
    <t>Se le ha asistido al agente completando su registro de BSA E-Filing durante el proceso de revisión.</t>
  </si>
  <si>
    <t>L'agent n'est pas enregistré auprès du système de dépôt électronique du FinCEN.</t>
  </si>
  <si>
    <t>L'agent a reçu de l'aide pour terminer son inscription au dépôt électronique au cours de la revue.</t>
  </si>
  <si>
    <t>O agente não está registrado no sistema E-Filing do FinCEN.</t>
  </si>
  <si>
    <t>O agente foi ajudado a completar seu registro no E-Filing durante a revisão.</t>
  </si>
  <si>
    <t xml:space="preserve">Some or all FLAs are deliberately processing transactions without the consumer being present in order to avoid compliance controls </t>
  </si>
  <si>
    <t>Enter comment mannually Max: 200 Characters ---&gt;</t>
  </si>
  <si>
    <t>Provide Western Union with training evidence or confirmation that all FLAs have completed training on the topic. Make sure the confirmation includes the topic of how to identify and respond to cases of elder financial abuse, name of the attendees and the date.</t>
  </si>
  <si>
    <t>Brinde a Western Union evidencia o confirmación que todos los operadores han sido entrenados en el tema. Asegúrese que la confirmación incluya el tema sobre cómo identificar y responder a casos de abuso financiero de personas mayores, el nombre de las personas que asistieron a la sesión y la fecha de la capacitación.</t>
  </si>
  <si>
    <t>Fournir Western Union avec évidence de formation ou confirmation que tous les opérateurs ont complété la formation sur le sujet de la façon d'identifier et de répondre aux cas d'exploitation financière des personnes âgées. Assurez-vous que la confirmation inclut le sujet indiqué, le nom des assistants et la date.</t>
  </si>
  <si>
    <t>Forneça à Western Union documentação escrita da sede principal confirmando que todos os FLAs têm sido treinados no topico requerido. Certifique-se de que a confirmação inclua o tópico abordado sobre como identificar e responder a casos de abuso financeiro de idosos, o nome dos participantes e a data do treinamento.</t>
  </si>
  <si>
    <t>Proporcione a Western Union una captura de pantalla que muestre que ha iniciado sesión en el sitio web del BSA E-Filing de forma exitosa. Si no puede brindar una captura de pantalla, el correo electrónico de confirmación del BSA será suficiente, pero se prefiere una captura de pantalla.</t>
  </si>
  <si>
    <t>Fournir Western Union une capture d'écran montrant que l'agent s'est connecté au site BSA E-Filing. Si vous ne pouvez pas fournir de capture d'écran, l'e-mail de confirmation d'inscription au dépôt électronique suffira, mais une capture d'écran est préférable.</t>
  </si>
  <si>
    <t>Forneça à Western Union uma captura de tela mostrando que o Agente fez login no site BSA E-Filing. Se não for possível fornecer uma captura de tela, o e-mail de confirmação de registro, um email com a confirmação do registro do BSA E-filing será suficiente, mas é preferível uma captura de tela.</t>
  </si>
  <si>
    <t>Provide Western Union with written confirmation that all remaining FLAs have received training on the topic. Make sure the confirmation includes the topic covered, name of the attendees and the date. Escalating for suspension.</t>
  </si>
  <si>
    <t>The FLAs did not know how long physical records must be kept.</t>
  </si>
  <si>
    <t>Training was provided on the importance of record keeping management as per RBI MTSS &amp; WU requirements.</t>
  </si>
  <si>
    <t>The Agent does not have a process to report suspected or known sellers and telemarketers to Western Union.</t>
  </si>
  <si>
    <t>Provide Western Union with confirmation that Agent has a clearly communicated process for its FLAs, Subagents, Agent management or the consumer to report suspected or known telemarketers to Western Union.</t>
  </si>
  <si>
    <t>El Agente no tiene un proceso para informarle a Western Union sobre vendedores sospechosos de telemercadeo.</t>
  </si>
  <si>
    <t>Brinde a Western Union confirmación que cuentan con un proceso claramente comunicado para sus operadores, sub-agentes, administración de agentes o consumidores para denunciar a Western Union los sospechosos de telemercadeo.</t>
  </si>
  <si>
    <t>L’Agent n’a pas de processus mis en place pour détecter et rapporter aupres de Western Union des activités liées au télémarketing.</t>
  </si>
  <si>
    <t>Faire parvenir à Western Union la confirmation par écrit que l’Agence possède un processus à suivre par ses operateurs, Sous-agents et gestionnaires visant la détection et le rapport des activités liées au télémarketing.</t>
  </si>
  <si>
    <t>O Agente não tem um processo para relatar vendedores e operadores de telemarketing suspeitos ou conhecidos à Western Union.</t>
  </si>
  <si>
    <t>Forneçã à Western Union a confirmação de que o Agente possui um processo claramente comunicado para seus funcionarios, Subagentes, gerenciamento do Agente ou o consumidor para relatar telemarketing suspeito à Western Union.</t>
  </si>
  <si>
    <t>IMMEDIATE SUSPENSION.</t>
  </si>
  <si>
    <t xml:space="preserve">The Location has Data Integrity issues. </t>
  </si>
  <si>
    <t>La localidad presenta inconsistencias en la integridad de sus datos.</t>
  </si>
  <si>
    <t>L’agence présente des discordances d’intégrité de données.</t>
  </si>
  <si>
    <t>O local tem problemas de integridade de dados.</t>
  </si>
  <si>
    <t>The agent is not providing training on how to identify potential Elder Financial Abuse and what actions to take when detected.</t>
  </si>
  <si>
    <t>Provide Western Union documentation showing all employees have been trained on how to identify and respond to potential instances of elder financial abuse. Make sure the confirmation includes the topic covered, name of the attendees and the date.</t>
  </si>
  <si>
    <t>El agente no está brindando capacitación sobre cómo identificar el posible abuso financiero hacia personas adultas mayores y qué medidas tomar cuando se detecta.</t>
  </si>
  <si>
    <t>Brinde a Western Union documentación que evidencie que todos los empleados han recibido capacitación sobre cómo identificar y responder a posibles casos de abuso financiero hacia personas adultas mayores. Asegúrese que la confirmación contenga el tema impartido, el nombre de las personas entrenadas y la fecha correspondiente.</t>
  </si>
  <si>
    <t>L’Agent n’a pas de processus de formation mis en place pour apprendre a détecter et rapporter auprès des autorités pertinentes les abus commis contre les personnes âgés.</t>
  </si>
  <si>
    <t>Faire parvenir à Western Union des preuves de formation indiquant que tous les employés ont été formés pour détecter et rapporter auprès des autorités pertinentes les abus commis contres les personnes âgés. Assurez-vous que la confirmation inclut le sujet traité, le nom des participants et la date.</t>
  </si>
  <si>
    <t>O agente não está fornecendo treinamento sobre como identificar um potencial abuso financeiro de idosos e quais ações devem ser tomadas quando detectadas.</t>
  </si>
  <si>
    <t>Forneça a Western Union documentação mostrando que todos os funcionários foram treinados sobre como identificar e responder a possíveis casos de abuso financeiro de idosos. Certifique-se de que a confirmação inclua o tópico abordado, o nome dos participantes e a data do treinamento.</t>
  </si>
  <si>
    <t>No Action required. The necessary documentation required for update(s) was collected during the review.</t>
  </si>
  <si>
    <t>Agent could not explain appropriate vetting of new employees (Submission of employee information to the AMF for security clearance).</t>
  </si>
  <si>
    <t>ESCALATE</t>
  </si>
  <si>
    <t>The Agent does not have a complete/effective Consumer Protection program.</t>
  </si>
  <si>
    <t>Provide Western Union updated Consumer Protection Program documentation.</t>
  </si>
  <si>
    <t>El Agente no cuenta con un programa completo/efectivo de Protección al Consumidor.</t>
  </si>
  <si>
    <t>Brinde a Western Union documentación actualizada del programa de Protección al Consumidor.</t>
  </si>
  <si>
    <t>Agent is not displaying a current AMF Certificate of Registration in a conspicuous place.</t>
  </si>
  <si>
    <t>No action required. WUCO confirmed that a license has been applied for but is awaiting AMF approval</t>
  </si>
  <si>
    <t xml:space="preserve">FLAs do not know the acceptable forms of identification for a Western Union transaction.
</t>
  </si>
  <si>
    <t>Provide Western Union with written evidence confirming that FLA and sub-agents identities are being collected and maintained.</t>
  </si>
  <si>
    <t>Brinde a Western Union evidencia escrita confirmando que las identificaciones de los operadores y de los operadores de los sub-agentes están siendo recolectadas y conservadas.</t>
  </si>
  <si>
    <t>Faire parvenir a Western Union une confirmation par écrit confirmant que les identités des opérateurs ont été collectées et sauvegardées.</t>
  </si>
  <si>
    <t>Provide Western Union evidence that the license is displayed at the Agent location.</t>
  </si>
  <si>
    <t>The Agent and it's Sub-Agents, if any, do not securely dispose of all paper records after the retention period is reached.</t>
  </si>
  <si>
    <t>El Agente no desecha de forma segura todos los registros en papel después de alcanzar el período de retención.</t>
  </si>
  <si>
    <t>L'Agent ne dispose pas en sécurité tous les dossiers une fois la période de conservation est atteinte</t>
  </si>
  <si>
    <t xml:space="preserve">Agent does not have the most recent version of the Agent AML Manual available at the location.
</t>
  </si>
  <si>
    <t>No Action required. The necessary training regarding how to order the Compliance material was provided during the review.</t>
  </si>
  <si>
    <t>Physical transaction records are not held for the required retention period.</t>
  </si>
  <si>
    <t>The compliance officer of Principal Agent is requested to provide training to FLA and share the remediation  including explanation or clarification on why documents were not able to be provided and the action that the HQ intends to take (i.e. training, enhanced controls).</t>
  </si>
  <si>
    <t>Provide Western Union with written confirmation describing the actions taken to securely destroy the paper records that were held beyond the retention period.</t>
  </si>
  <si>
    <t>Brinde a Western Union confirmación por escrito que describa las acciones tomadas para destruir de forma segura los registros en papel que se conservaron más allá del período de retención.</t>
  </si>
  <si>
    <t>L'agent doit fournir une confirmation écrite décrivant les mesures prises pour détruire en toute sécurité les dossiers papier détenus au-delà de la période de conservation.</t>
  </si>
  <si>
    <t>Agent is unable to describe the appropriate steps for LCTRs.</t>
  </si>
  <si>
    <t>No action required. Provide appropriate training (how and when to file LCTRs for cash transactions and/or money order transactions totaling $10,000 or more done by the same customer in a single day).</t>
  </si>
  <si>
    <t xml:space="preserve">FLAs do not check to ensure that consumers ID meet minimum requirements.
</t>
  </si>
  <si>
    <t>The Agent and it's Sub-Agents, if any, do not delete electronic records after the retention period is reached.</t>
  </si>
  <si>
    <t>El Agente no desecha de forma segura todos los registros electronicos después de alcanzar el período de retención.</t>
  </si>
  <si>
    <t>L'Agent ne dispose pas en sécurité tous les dossiers numériques une fois la période de conservation est atteinte</t>
  </si>
  <si>
    <t xml:space="preserve">No action required. The complete document with the Anti-Fraud Policies and Procedures has been given. </t>
  </si>
  <si>
    <t>Agent is not completing and retaining MO logs to identify sales of $3,000 or more</t>
  </si>
  <si>
    <t>No action required. Agent trained on when/how to document money order sales of $3000 or more made to the same individual in a single day during the review</t>
  </si>
  <si>
    <t>Provide Western Union with written confirmation describing the actions taken to securely destroy the electronic records that were held beyond the retention period.</t>
  </si>
  <si>
    <t>Brinde a Western Union confirmación por escrito que describa las acciones tomadas para destruir de forma segura los registros electronicos que se conservaron más allá del período de retención.</t>
  </si>
  <si>
    <t>L'agent doit fournir une confirmation écrite décrivant les mesures prises pour détruire en toute sécurité les dossiers numériques détenus au-delà de la période de conservation.</t>
  </si>
  <si>
    <t>Agent is not retaining MO logs for a minimum of six (6) consecutive years or from Agent Activation</t>
  </si>
  <si>
    <t>No action required. Agent trained on money order log retention.</t>
  </si>
  <si>
    <t>Provide Western Union OFAC listing checks related to Puerto Rico, collection and review of Criminal Record Certificates for all employees.</t>
  </si>
  <si>
    <t>Agent is not filing LCTRs for Money Orders with WU.</t>
  </si>
  <si>
    <t>Provide Western Union with evidence that shows the AML/CFT program has been communicated to all employees. All employees involved with Western Union services will be communicated the AML/CFT and Anti-Fraud Policies and Procedures.</t>
  </si>
  <si>
    <t xml:space="preserve"> Los operadores no tienen acceso a las Políticas y Procedimientos de AML/CFT y Anti-Fraude.</t>
  </si>
  <si>
    <t>No se require acción. El agente ha sido entrenado en este tema.</t>
  </si>
  <si>
    <t>Les Agents n’ont pas accès au complet manuel LAB/CFT et les Politiques et Procédures Anti-Fraude de Conformité.</t>
  </si>
  <si>
    <t>Aucune action est requise. Tous les opérateurs ont été formés sur ce sujet pendant la revue de conformité</t>
  </si>
  <si>
    <t>Os Agentes não tem acesso aos Manuais de Prevenção de Lavagem de dinheiro é Financiamento do terrorismo.</t>
  </si>
  <si>
    <t>Provide Western Union evidence of the physical security policy or tracking registry.</t>
  </si>
  <si>
    <t>Provide Western Union with written documentation confirming that all FLAs have access to their complete AML/CFT and Anti-Fraud Compliance Policies and Procedures.</t>
  </si>
  <si>
    <t>Brinde a Western Union confirmación indicando que todos los operadores tienen acceso al programa completo de Anti-Lavado de Dinero, Financiamiento del Terrorismo y Anti-Fraude.</t>
  </si>
  <si>
    <t>Fournir Western Union avec une confirmation écrite que tous les Agents ont accès au complet manuel LAB/CFT et les Politiques et Procédures Anti-Fraude de Conformité.</t>
  </si>
  <si>
    <t>Forneça a Western Union uma documentação escrita com a confirmação que todos os Agentes tem acesso aos Manuais de Prevenção á Lavagem de dinheiro é Financiamento do terrorismo.</t>
  </si>
  <si>
    <t>Algunos operadores procesan deliberadamente transacciones sabiendo que los consumidores deben estar físicamente presentes para evadir controles de cumplimiento. (Suspension)</t>
  </si>
  <si>
    <t>Certains ou tous les FLAs traitent délibérément des transactions sans la présence du consommateur afin d'éviter les contrôles de conformité.  (Suspension)</t>
  </si>
  <si>
    <t>Alguns ou todos os FLAs estão processando deliberadamente transações sem a presença do consumidor para evitar controles de compliance.  (Suspension)</t>
  </si>
  <si>
    <t xml:space="preserve">The Agent's AML policies and procedures have not been reviewed and approved by senior management in the last 12 months.
</t>
  </si>
  <si>
    <t>Las Políticas y Procedimientos del agente no han sido revisadas y aprobadas por la gerencia en los últimos 12 meses.</t>
  </si>
  <si>
    <t>Les politiques et procédures LAB de l'Agent n'ont pas été examinées et approuvées par la haute direction au cours des 12 derniers mois.</t>
  </si>
  <si>
    <t>As políticas e procedimentos do agente não foram revisados ​​e aprovados pela administração nos últimos 12 meses.</t>
  </si>
  <si>
    <t>Os operadores não garantem que todos os formulários/recibos aplicáveis tenham que ser preenchidos e/ou assinados.</t>
  </si>
  <si>
    <t>El agente no tiene la versión más reciente del manual de AML en la localidad.</t>
  </si>
  <si>
    <t>L'agent ne dispose pas de la version la plus récente du manuel LAB de l'agent disponible sur place.</t>
  </si>
  <si>
    <t>O agente não tem a versão mais recente do Manual de AML do Agente disponível no local.</t>
  </si>
  <si>
    <t>Não Ação Requerida. Todos os Agentes tem sido trinados no tema durante o curso da revisão de conformidade.</t>
  </si>
  <si>
    <t>The Agent does not have a clearly documented process for all employees, including FLAs, compliance personnel, and management to report suspicious activity concerns in accordance with local law and/or Western Union requirements (as applicable).</t>
  </si>
  <si>
    <t>El agente no tiene un proceso claramente documentado para todos los empleados incluyendo operadores, personal de cumplimiento y jefatura para reportar actividades sospechosas o inquietudes relacionadas a las regulaciones locales y/o de Western Union (Cuando Aplique).</t>
  </si>
  <si>
    <t>L'Agent n'a pas un processus clairement documenté pour tous les employés, y compris les FLA, le personnel de conformité et la direction, pour signaler les soucis d'activité suspecte conformément à la législation locale et/ou aux exigences de Western Union (le cas échéant).</t>
  </si>
  <si>
    <t>O Agente não tem um processo claramente documentado para que todos os funcionários, incluindo os atendentes o pessoal de compliance e a gerência possam relatar preocupações de atividades suspeitas de acordo com a legislação local e/ou exigências da Western Union (conforme aplicável).</t>
  </si>
  <si>
    <t>Los operadores procesan deliberadamente transacciones sin asegurarse que los formularios/recibos estén debidamente completos para evadir los controles de cumplimiento. (Suspensión)</t>
  </si>
  <si>
    <t>Les FLAs ont délibérément traité des transactions sans exiger de formulaires/reçus remplis pour éviter les contrôles de conformité. (Suspension)</t>
  </si>
  <si>
    <t>Os Agentes têm processado transações deliberadamente sem exigir formulários/recibos preenchidos para evitar controles de Compliance. (Suspension)</t>
  </si>
  <si>
    <t>L'Agent n'a pas un processus clairement documenté pour tous les employés, y compris les FLAs, le personnel de conformité et la direction, pour signaler les soucis d'activité suspecte conformément à la législation locale et/ou aux exigences de Western Union (le cas échéant).</t>
  </si>
  <si>
    <t>The Agent is not aware of all applicable regulatory reporting requirements.</t>
  </si>
  <si>
    <t>El agente no conoce todos los requerimientos aplicables regulatorios de reporte.</t>
  </si>
  <si>
    <t>L'agent n'est pas au courant de toutes les exigences réglementaires applicables en matière de rapports.</t>
  </si>
  <si>
    <t>O Agente não está ciente de todos os requisitos de relatórios regulamentares aplicáveis.</t>
  </si>
  <si>
    <t>O agente não está registrado no sistema FinCEN E-Filing.</t>
  </si>
  <si>
    <t>O agente foi ajudado para completar seu registro no E-Filing durante o curso da revisão.</t>
  </si>
  <si>
    <t>Immediate escalation to WU Compliance Manager for suspension approval of Money Orders</t>
  </si>
  <si>
    <t>El Agente no pudo demostrar ni proporcionar evidencia de la verificacion requerida del nombre del cliente en las listas de sanciones apropiadas.</t>
  </si>
  <si>
    <t>Escale inmediatamente al Gerente de Cumplimiento de WU para aprobacion de suspensión de los servicios de giros postales (MO).</t>
  </si>
  <si>
    <t>L'agent n'a pas été en mesure de démontrer ou de fournir la preuve que le nom du client était requis par rapport aux listes de sanctions appropriées.</t>
  </si>
  <si>
    <t xml:space="preserve"> Transmission immédiate au responsable de la conformité de WU pour suspendre l'approbation des mandats.</t>
  </si>
  <si>
    <t>O agente não foi capaz de demonstrar ou fornecer evidências da limpeza obrigatória do nome do cliente em relação às listas de sanções apropriadas.</t>
  </si>
  <si>
    <t>Encaminhamento imediato para o Gerente de Conformidade da WU para aprovação da suspensão de ordens de pagamento.</t>
  </si>
  <si>
    <t>Forneça à Western Union uma captura de tela mostrando que o Agente fez login no site BSA E-Filing. Se não for possível fornecer uma captura de tela, o e-mail de confirmação de registro será suficiente, mas é preferível uma captura de tela.</t>
  </si>
  <si>
    <t>Some or all copies of the KYC documents are not obtained or self attested in original by the customer</t>
  </si>
  <si>
    <t>Agent is unable to describe the appropriate steps in LCTRs.</t>
  </si>
  <si>
    <t>El agente no sabe describir los pasos apropiados para completar los LCTRs.</t>
  </si>
  <si>
    <t>L'Agent n'est pas en mesure de décrire les étapes appropriées du Rapport des transactions de montant élevé.</t>
  </si>
  <si>
    <t>O agente não consegue descrever as etapas apropriadas em "reportes de altas quantias.</t>
  </si>
  <si>
    <t>El agente no completa ni conserva registros de MO para identificar ventas de $3,000 o más.</t>
  </si>
  <si>
    <t>L'Agent ne remplit pas et ne conserve pas les journaux MO pour identifier les ventes de 3 000 $ ou plus.</t>
  </si>
  <si>
    <t>O agente não está preenchendo e mantendo registros de MO para identificar vendas de US$ 3.000 ou mais.</t>
  </si>
  <si>
    <t>El agente no está completando los LCTRs para los Money Order de Western Union.</t>
  </si>
  <si>
    <t>L'Agent ne dépose pas de Rapport des transactions de montant élevé avec Western Union.</t>
  </si>
  <si>
    <t>O agente não está fazendo os LCTRs (Reportes de Altas Quantias de dinheiro) para Money Orders com a WU.</t>
  </si>
  <si>
    <t>FLA did not ensure that all required KYC documents including proof of ID and Address are collected for all/some transactions as per the regulatory requirements.</t>
  </si>
  <si>
    <t>The compliance officer of Principal Agent is requested to provide training to FLA and confirm the same in writing.</t>
  </si>
  <si>
    <t>Fournir Western Union une preuve du document du programme
de formation de l'agent.</t>
  </si>
  <si>
    <t>Forneça à Western Union uma prova do documento do Programa de Treinamento do agente.</t>
  </si>
  <si>
    <t>Transactions above 50000 INR do not have a proof of payment.</t>
  </si>
  <si>
    <t>No se require acción. El Agente brindó la evidencia correspondiente durante la revisión.</t>
  </si>
  <si>
    <t>GS5.RQ4</t>
  </si>
  <si>
    <t>The Agent is charging unauthorized fees for Money transfers.</t>
  </si>
  <si>
    <t>FrenchL'Agent charge des frais non-autorisés pour les virements d'argent.</t>
  </si>
  <si>
    <t>Brinde a Western Union evidencia donde se indique que todos los empleados han recibido la capacitación adecuada de AML/CFT y Anti-Fraude. Asegúrese que la confirmación incluya el tema cubierto, el nombre de las personas que asistieron a la sesión y la fecha de la capacitación.</t>
  </si>
  <si>
    <t>The agent is not providing the required Pre-Transaction Disclosure Statement (PDS) to the consumer prior to collecting the funds.</t>
  </si>
  <si>
    <t>The Agent does not understand how to handle a consumer’s request to cancel a transaction and receive a refund.</t>
  </si>
  <si>
    <t>The FLA does not understand how to handle a consumer complaint.</t>
  </si>
  <si>
    <t>Los operadores no pueden demostrar que han sido debidamente entrenados en cuanto a las características de cumplimiento de AML y CFT.</t>
  </si>
  <si>
    <t>Les FLAs ne peuvent pas démontrer qu’ils ont été formés en décrivant les caractéristiques de conformité LBC et CFT.</t>
  </si>
  <si>
    <t>Os Agentes não podem demonstrar que foram devidamente treinadas descrevendo ás características de conformidade PLD (Prevenção à Lavagem de Dinheiro), CFT (Combate ao Financiamento do Terrorismo) e Prevenção à Fraude.</t>
  </si>
  <si>
    <t>The Agent does not know how to print the “Error Resolution and Cancellation Disclosures.</t>
  </si>
  <si>
    <t>El agente no sabe que no deben referir a los clientes a otras locaciones cuando existe fraude al consumidor.</t>
  </si>
  <si>
    <t>L'agent ne sait pas qu'il ne doit pas renvoyer les consommateurs vers un autre emplacement lorsqu'il est confronté à des transactions impliquant une fraude potentielle des consommateurs.</t>
  </si>
  <si>
    <t>Aucune action est requise. Tous les FLA ont été formés sur ce sujet pendant la revue de conformité.</t>
  </si>
  <si>
    <t>O agente não sabe que não deve encaminhar os clientes para outros locais quando há fraude de consumo envolvida.</t>
  </si>
  <si>
    <t xml:space="preserve">The Agent does not comply with retention period requirements for paper records (i.e., receipts) under local regulation or according to WU standards, whichever is more stringent.
</t>
  </si>
  <si>
    <t>O Agente não cumpre os requisitos de período de retenção para registros em papel (por exemplo, recibos) sob a regulamentação local ou de acordo com os padrões da WU, o que for mais rigoroso.</t>
  </si>
  <si>
    <t>FLA's do not know how to identify suspicious activity red flags or transactions.</t>
  </si>
  <si>
    <t>Los operadores no saben identificar las señales de alerta de actividades sospechosas.</t>
  </si>
  <si>
    <t>Les FLAs se savent pas comment identifier les signaux d'activités ou transactions suspectes.</t>
  </si>
  <si>
    <t>Os operadores não sabem identificar os sinais de alerta de atividades suspeitas.</t>
  </si>
  <si>
    <t>La tienda no puede producir copias claras de los documentos de la transacción.</t>
  </si>
  <si>
    <t>O local não pode produzir cópias claras dos documentos da transação.</t>
  </si>
  <si>
    <t xml:space="preserve">L’emplacement n’est pas en mesure de produire des copies claires des documents de transaction. </t>
  </si>
  <si>
    <t>FLA's do not know the steps to take (including reporting) when faced with suspicious activity or transactions.</t>
  </si>
  <si>
    <t>Los operadores no conocen los pasos a seguir para reportar actividades o transferencias sospechosas.</t>
  </si>
  <si>
    <t>Les FLAs ne sont pas capables d'identifier les mesures à prendre (y compris le signalement) lorsqu'elles sont confrontées à des activités ou transactions suspectes.</t>
  </si>
  <si>
    <t>Os operadores não conhecem os passos a seguir para relatar atividades ou transferências suspeitas.</t>
  </si>
  <si>
    <t>The Location is not keeping the records in a safe or secured place.</t>
  </si>
  <si>
    <t>La tienda no mantiene los registros en un lugar seguro o protegido.</t>
  </si>
  <si>
    <t>O local não está mantendo os registros em um lugar seguro.</t>
  </si>
  <si>
    <t>L’emplacement ne conserve pas les dossiers dans un endroit sûr ou sécurisé.</t>
  </si>
  <si>
    <t>Employee is unable to identify Agent Fraud related activity.</t>
  </si>
  <si>
    <t>Los operadores no saben identificar actividades relacionadas a fraude encontra del agente.</t>
  </si>
  <si>
    <t>Les FLAs ne sont pas en mesure d'identifier les activités qui ont rapport avec la Fraude à l'Agent.</t>
  </si>
  <si>
    <t>Os operadores não sabem identificar as atividades relacionadas à fraude contra o agente.</t>
  </si>
  <si>
    <t>El Agente no está completando correctamente los registros de giros postales (MO).</t>
  </si>
  <si>
    <t>No se requiere accion. Agente capacitado sobre este tema durante la revisión. Se notificó al agente a través de una carta de hallazgo/violación del agente.</t>
  </si>
  <si>
    <t>L'Agent ne remplit pas correctement les dossiers de mandat (MO).</t>
  </si>
  <si>
    <t>Aucune action n'est requise. Agent formé sur ce sujet lors de l'examen. QG informé par lettre de constatation/violation de l'agent.</t>
  </si>
  <si>
    <t>O Agente não está preenchendo corretamente os Registros de Ordem de Pagamento (MO).</t>
  </si>
  <si>
    <t>Brinde a Western Union evidencia de capacitación o confirmación de que todos los FLA han completado la capacitación sobre el tema. Asegúrate de que la confirmación incluya el tema tratado, el nombre de los asistentes y la fecha.</t>
  </si>
  <si>
    <t>Fournir à Western Union des preuves de formation ou une confirmation que tous les FLA ont suivi une formation sur le sujet. Assurez-vous que la confirmation inclut le sujet abordé, le nom des participants et la date.</t>
  </si>
  <si>
    <t>Forneça à Western Union evidências de treinamento ou confirmação de que todos os FLAs concluíram o treinamento sobre o tema. Certifique-se de que a confirmação inclua o tema abordado, nome dos participantes e a data.</t>
  </si>
  <si>
    <t>Employee is unable to describe the actions that should be taken when faced with Agent fraud related activity.</t>
  </si>
  <si>
    <t>Los operadores no saben describir las acciones adecuadas que deben tomarse ante situaciones de fraude en contra del agente.</t>
  </si>
  <si>
    <t>Les opérateurs ne sont en mesure de décrire les actions à entreprendre face à une activité liée à la fraude de l'Agent.</t>
  </si>
  <si>
    <t>Os operadores não sabem descrever 
as ações apropriadas que devem ser tomadas em situações de fraude contra o agente.</t>
  </si>
  <si>
    <t>BOTH, a record of training AND a description from the Agent of the measures taken to ensure compliance. Submit written confirmation to Western Union regarding the remediation of this item.</t>
  </si>
  <si>
    <t>El agente no está cumpliendo con las regulaciones de Conservación de Registros.</t>
  </si>
  <si>
    <t>Tanto una evidencia de entrenamiento como un documento que indique las medidas a tomar por parte del agente para garantizar el cumplimiento de esta medida. Enviar confirmación por escrito a Western Union.</t>
  </si>
  <si>
    <t>L'Agent n'est pas conforme avec les règlements de la tenue de dossiers relatifs à l'OFAC.</t>
  </si>
  <si>
    <t>Fournir une preuve de formation et une description des mesures prises pour assurer la mise en conformité. Envoyer une confirmation écrite concernant la correction de ce point.</t>
  </si>
  <si>
    <t>O Agente não está cumprindo os regulamentos de manutenção de registros do OFAC.</t>
  </si>
  <si>
    <t>AMBOS, um registro de treinamento e uma descrição do Agente das medidas tomadas para garantir o cumprimento. Envie uma confirmação por escrito para a Western Union sobre a correção deste item.</t>
  </si>
  <si>
    <t>Forneça a Western Union provas de treinamento confirmando que todos os operadores foram treinados sobre o tema.</t>
  </si>
  <si>
    <t>El Agente no sabe a quién contactar en caso de pérdida o robo de documentación, acceso no autorizado o si se produce una violación del sistema.</t>
  </si>
  <si>
    <t>No se requiere accion. Agente capacitado sobre este tema durante la revisión. Se notificó a la sede central a través de una carta de hallazgo/violación del agente.</t>
  </si>
  <si>
    <t>O Agente não sabe quem contatar em caso de perda ou roubo de documentação, acesso não autorizado ou ocorrência de violação do sistema.</t>
  </si>
  <si>
    <t>Ação não é requerida. Agente treinado neste tópico durante a revisão. HQ notificado por meio de carta de descoberta/violação do agente.</t>
  </si>
  <si>
    <t>Employee is unable to identify consumer fraud related activity.</t>
  </si>
  <si>
    <t>Los operadores no saben identificar actividades relacionadas a fraude al consumidor.</t>
  </si>
  <si>
    <t>Les opérateurs ne sont pas en mesures d'identifier les activités liés à la fraude à la consommation.</t>
  </si>
  <si>
    <t>Os operadores não sabem identificar as atividade relacionada à fraude ao consumidor.</t>
  </si>
  <si>
    <t>Provide Western Union with training evidence confirming all FLAs have been trained on the topic.</t>
  </si>
  <si>
    <t>Brinde a Western Union confirmación donde se evidencie que todos los empleados han sido entrenados en este tema.</t>
  </si>
  <si>
    <t>Fournir à Western Union évidence de formation confirmant que tous les FLA ont été formés sur le sujet.</t>
  </si>
  <si>
    <t xml:space="preserve"> El Agente no sabe a dónde dirigir a un cliente si tiene preguntas y/o consultas sobre privacidad.</t>
  </si>
  <si>
    <t>L'Agent ne sait pas vers qui diriger un client pour des questions et/ou des demandes de renseignements sur la confidentialité.</t>
  </si>
  <si>
    <t>O Agente não sabe para onde direcionar um cliente para questões e/ou consultas de privacidade.</t>
  </si>
  <si>
    <t>Los operadores no saben tomar las medidas adecuadas relacionadas a fraude al consumidor.</t>
  </si>
  <si>
    <t>Les opérateurs se savant pas prendre les mesures appropriées liées à l'activité de fraude à la consommation.</t>
  </si>
  <si>
    <t>Os operadores não sabem tomar as medidas adequadas relacionadas à fraude ao consumidor.</t>
  </si>
  <si>
    <t>O Agente não descarta com segurança todos os registros em papel após o período de retenção ser completado.</t>
  </si>
  <si>
    <t>FLAs are not aware how to identify and respond to cases of elder financial abuse.</t>
  </si>
  <si>
    <t>Los operadores no saben como identificar o responder a los casos relacionados al abuso financiero de personas adultas mayores.</t>
  </si>
  <si>
    <t>Les FLAs ne savent pas comment identifier et répondre aux cas d'exploitation financière des personnes âgées.</t>
  </si>
  <si>
    <t>Os operadores não sabem identificar ou responder a casos relacionados a abuso financeiro de idosos.</t>
  </si>
  <si>
    <t>O Agente não exclui registros eletrônicos após o período de retenção ser completado.</t>
  </si>
  <si>
    <t>The FLAs are not following the Telemarketing Prompt as outlined on the WUPOS Fraud Prompt.</t>
  </si>
  <si>
    <t>Los operadores no están siguiendo el mensaje de alerta Telemercadeo que aparece en la pantalla de WUPOS.</t>
  </si>
  <si>
    <t>Les FLAs ne suivent pas l'invite de télémarketing comme indiqué sur l'invite de fraude WUPOS</t>
  </si>
  <si>
    <t>Os operadores não estão seguindo a mensagem de alerta de Telemarketing que aparece na tela WUPOS.</t>
  </si>
  <si>
    <t>The Agent has not updated the list of Front Line Associates ("FLA") in the system to ensure it is up-to-date.</t>
  </si>
  <si>
    <t>Provide Western Union with evidence or confirmation that the list of FLAs is up to date.</t>
  </si>
  <si>
    <t>Australia</t>
  </si>
  <si>
    <t>Los operadores no han sido entrenados en cuanto a la prohibición de transacciones relacionadas con telemercadeo/telemarketing.</t>
  </si>
  <si>
    <t>Les FLAs n'ont pas été formés sur l'interdiction des transactions de télémarketing.</t>
  </si>
  <si>
    <t>Os operadores não foram treinados sobre a proibição de transações relacionadas a telemarketing.</t>
  </si>
  <si>
    <t>FLAs have not completed initial AML/CFT and Fraud Awareness training before conducting transactions.</t>
  </si>
  <si>
    <t>No Action Required. The required AML/CFT and/or Fraud Awareness training has been provided to all employees.</t>
  </si>
  <si>
    <t>No Action required. The agent has been trained on the topic and updated Monitoring guidelines were received.</t>
  </si>
  <si>
    <t>No se requiere acción. Se ha capacitado al agente en el tema. Los lineamientos de Monitoreo fueron recibidos.</t>
  </si>
  <si>
    <t>Aucune action n’est requise. L’Agent a été formé sur le sujet et les guides de surveillance mises à jour ont été reçues.</t>
  </si>
  <si>
    <t>Ação não é requerida. O agente foi treinado sobre o tema atualizado sobre as diretrizes de monitoramento foram recebidas.</t>
  </si>
  <si>
    <t xml:space="preserve">FLAs have not completed ongoing AML/CFT and Fraud Awareness training to all employees to continue to conduct transactions. </t>
  </si>
  <si>
    <t>No Action Required. All employees have been trained on the topic during the course of the compliance review.</t>
  </si>
  <si>
    <t>Provide Western Union with the respective monitoring document along with a written agreement indicating that from now on the agent will continue monitoring transactions on a regular basis for all WU's products.</t>
  </si>
  <si>
    <t>Brinde a Western Union un documento donde se evidencie que se está monitoreando las transferencias de forma adecuada y en el tiempo correcto. Brinde también una carta de compromiso donde se indique que se continuará realizando el proceso de monitoreo correctamente.</t>
  </si>
  <si>
    <t>Fournir WU avec le document de surveillance et un accord écrit indiquant qu'à partir de maintenant, l'agent continuera à surveiller régulièrement les transactions pour tous les produits de WU.</t>
  </si>
  <si>
    <t>Forneça à Western Union um documento que evidencie que você está monitorando as transferências de forma adequada e em tempo hábil, além de uma carta de compromisso de que o processo de monitoramento continuará a ser realizado corretamente.</t>
  </si>
  <si>
    <t>The FLA does not know that commercial transactions are not permitted.</t>
  </si>
  <si>
    <t>Fournir Western Union la preuve que les transferts sont contrôlés de manière appropriée et au bon moment. Fournir également une lettre d'engagement indiquant que le processus de suivi continuera à se dérouler correctement.</t>
  </si>
  <si>
    <t>Forneça à Western Union um documento que comprove que as transferências estão sendo monitoradas corretamente e em tempo hábil. Além de uma carta de compromisso de que o processo de monitoramento continuará a ser realizado corretamente.</t>
  </si>
  <si>
    <t>El Oficial de Cumplimiento no está realizando o revisando los monitoreos.</t>
  </si>
  <si>
    <t>L'Agent Responsable Conformité n'effectue ni n'examine la surveillance.</t>
  </si>
  <si>
    <t>O Compliace Officer não está realizando ou revisando o monitoramento.</t>
  </si>
  <si>
    <t>The Agent has not updated the list of Front Line Associates ("FLA") in the system to ensure it is up-to-date</t>
  </si>
  <si>
    <t>The Agent does not take appropriate measures on employees not complying with AML/CTF program.</t>
  </si>
  <si>
    <t>Provide Western Union with proof of training and evidence of a documented AML/CTF program covering appropriate measures regarding employees who are not complying.</t>
  </si>
  <si>
    <t>There have been changes to the structure of the business or organization, and/or its key personnel but Western Union has not been notified of the change.</t>
  </si>
  <si>
    <t>Provide an evidence demonstrating that either Western Union has been notified of the changes or documentation showing that the KYA update is already ongoing.</t>
  </si>
  <si>
    <t>Agent does not respond to AUSTRAC feedback requests.</t>
  </si>
  <si>
    <t xml:space="preserve">Provide Western Union with written confirmation that the Agent has responded to all AUSTRAC feedback. </t>
  </si>
  <si>
    <t>The Agent's compliance program is not subject to periodic reviews by an independent third party.</t>
  </si>
  <si>
    <t>Provide Western Union with proof of training and evidence that compliance policies and procedures reflect all appropriate independent review guidelines, including an implementation action plan.</t>
  </si>
  <si>
    <t>The Agent does not understand how to handle consumer complaints.</t>
  </si>
  <si>
    <t>The agent does not background check people who are employed to process WU transactions</t>
  </si>
  <si>
    <t>Provide Western Union with evidence of Employee Due Diligence documentation used to determine applicant suitability for the job.</t>
  </si>
  <si>
    <t>The agent does not collect and retain acceptable/valid identity documents of employees conducting Western Union transactions.</t>
  </si>
  <si>
    <t>Provide Western Union with records of Employee ID documentation used to verify employees identity.</t>
  </si>
  <si>
    <t>New Zealand</t>
  </si>
  <si>
    <t>SLAs for BO</t>
  </si>
  <si>
    <t>Active Questionnaires:</t>
  </si>
  <si>
    <t>Regions</t>
  </si>
  <si>
    <t>NOAM</t>
  </si>
  <si>
    <t>APAC</t>
  </si>
  <si>
    <t>EUCIS</t>
  </si>
  <si>
    <t>MEA</t>
  </si>
  <si>
    <t>LACA</t>
  </si>
  <si>
    <t>Form Selection
(Modify)</t>
  </si>
  <si>
    <t>Decision</t>
  </si>
  <si>
    <t>Network_Agent</t>
  </si>
  <si>
    <t>American Samoa</t>
  </si>
  <si>
    <t>Austria</t>
  </si>
  <si>
    <t>Afghanistan</t>
  </si>
  <si>
    <t>Antigua And Barbuda</t>
  </si>
  <si>
    <t>Questionnaire</t>
  </si>
  <si>
    <t>LAROC Internal SLA
(30 Calendar days)</t>
  </si>
  <si>
    <t>Calendar</t>
  </si>
  <si>
    <t>Independent</t>
  </si>
  <si>
    <t>Belgium</t>
  </si>
  <si>
    <t>Algeria</t>
  </si>
  <si>
    <t>Argentina</t>
  </si>
  <si>
    <t>Scope</t>
  </si>
  <si>
    <t>Global</t>
  </si>
  <si>
    <t>Remediation
(105 Calendar days)</t>
  </si>
  <si>
    <t>Master_Agent_HQs</t>
  </si>
  <si>
    <t>Mexico</t>
  </si>
  <si>
    <t>Bangladesh</t>
  </si>
  <si>
    <t>Cyprus</t>
  </si>
  <si>
    <t>Angola</t>
  </si>
  <si>
    <t>Aruba</t>
  </si>
  <si>
    <t>Region/Country</t>
  </si>
  <si>
    <t>Probation
(150 Calendar days)</t>
  </si>
  <si>
    <t>Bhutan</t>
  </si>
  <si>
    <t>Czech Republic</t>
  </si>
  <si>
    <t>Bahrain</t>
  </si>
  <si>
    <t>Bahamas</t>
  </si>
  <si>
    <t>MX &amp; CA SLA
(20 Calendar days)</t>
  </si>
  <si>
    <t>Brunei Darussalam</t>
  </si>
  <si>
    <t>Denmark</t>
  </si>
  <si>
    <t>Benin</t>
  </si>
  <si>
    <t>Barbados</t>
  </si>
  <si>
    <t>Cambodia</t>
  </si>
  <si>
    <t>Finland</t>
  </si>
  <si>
    <t>Botswana</t>
  </si>
  <si>
    <t>Belize</t>
  </si>
  <si>
    <t>China</t>
  </si>
  <si>
    <t>France</t>
  </si>
  <si>
    <t>Burkina Faso</t>
  </si>
  <si>
    <t>Federated States Of Micronesia</t>
  </si>
  <si>
    <t>Germany</t>
  </si>
  <si>
    <t>Burundi</t>
  </si>
  <si>
    <t>Bolivia</t>
  </si>
  <si>
    <t>Fiji</t>
  </si>
  <si>
    <t>Greece</t>
  </si>
  <si>
    <t>Cabo Verde</t>
  </si>
  <si>
    <t>Brazil</t>
  </si>
  <si>
    <t>Independent_MO_Only</t>
  </si>
  <si>
    <t>Guam</t>
  </si>
  <si>
    <t>Hungary</t>
  </si>
  <si>
    <t>Cameroon</t>
  </si>
  <si>
    <t>Cayman Islands</t>
  </si>
  <si>
    <t>Network_Agent_FTF</t>
  </si>
  <si>
    <t>Hong Kong</t>
  </si>
  <si>
    <t>Iceland</t>
  </si>
  <si>
    <t>Central African Republic</t>
  </si>
  <si>
    <t>Chile</t>
  </si>
  <si>
    <t>HQ_MO_Only</t>
  </si>
  <si>
    <t>Ireland</t>
  </si>
  <si>
    <t>Chad</t>
  </si>
  <si>
    <t>Colombia</t>
  </si>
  <si>
    <t>Languages</t>
  </si>
  <si>
    <t>LanguagesAll</t>
  </si>
  <si>
    <t>Israel</t>
  </si>
  <si>
    <t>Comoros</t>
  </si>
  <si>
    <t>Costa Rica</t>
  </si>
  <si>
    <t>Indonesia</t>
  </si>
  <si>
    <t>Italy</t>
  </si>
  <si>
    <t>Congo</t>
  </si>
  <si>
    <t>Cuba</t>
  </si>
  <si>
    <t>Japan</t>
  </si>
  <si>
    <t>Cote D'Ivoire</t>
  </si>
  <si>
    <t>Curacao</t>
  </si>
  <si>
    <t>Kiribati</t>
  </si>
  <si>
    <t>Luxembourg</t>
  </si>
  <si>
    <t>Djibouti</t>
  </si>
  <si>
    <t>Dominica</t>
  </si>
  <si>
    <t>Lao People's Democratic Republic</t>
  </si>
  <si>
    <t>Malta</t>
  </si>
  <si>
    <t>Egypt</t>
  </si>
  <si>
    <t>Dominican Republic</t>
  </si>
  <si>
    <t>Macao</t>
  </si>
  <si>
    <t>Netherlands</t>
  </si>
  <si>
    <t>Equatorial Guinea</t>
  </si>
  <si>
    <t>Ecuador</t>
  </si>
  <si>
    <t>Malaysia</t>
  </si>
  <si>
    <t>Norway</t>
  </si>
  <si>
    <t>Ethiopia</t>
  </si>
  <si>
    <t>El Salvador</t>
  </si>
  <si>
    <t>Maldives</t>
  </si>
  <si>
    <t>Poland</t>
  </si>
  <si>
    <t>Gabon</t>
  </si>
  <si>
    <t>Grenada</t>
  </si>
  <si>
    <t xml:space="preserve">Questionnaire Selected: </t>
  </si>
  <si>
    <t>Mongolia</t>
  </si>
  <si>
    <t>Portugal</t>
  </si>
  <si>
    <t>Gambia</t>
  </si>
  <si>
    <t>Guatemala</t>
  </si>
  <si>
    <t>Questionnaire Regional Selected</t>
  </si>
  <si>
    <t>Myanmar</t>
  </si>
  <si>
    <t>Russia</t>
  </si>
  <si>
    <t>Ghana</t>
  </si>
  <si>
    <t>Guyana</t>
  </si>
  <si>
    <t xml:space="preserve">Language Selected: </t>
  </si>
  <si>
    <t>Nepal</t>
  </si>
  <si>
    <t>Slovenia</t>
  </si>
  <si>
    <t>Guinea</t>
  </si>
  <si>
    <t>Haiti</t>
  </si>
  <si>
    <t xml:space="preserve">Total Questions: </t>
  </si>
  <si>
    <t>Spain</t>
  </si>
  <si>
    <t>Guinea-Bissau</t>
  </si>
  <si>
    <t>Honduras</t>
  </si>
  <si>
    <t>Northern Mariana Islands</t>
  </si>
  <si>
    <t>Sweden</t>
  </si>
  <si>
    <t>Iraq</t>
  </si>
  <si>
    <t>Jamaica</t>
  </si>
  <si>
    <t>Questionnaire selected</t>
  </si>
  <si>
    <t>Papua New Guinea</t>
  </si>
  <si>
    <t>Turkey</t>
  </si>
  <si>
    <t>Ivory Coast</t>
  </si>
  <si>
    <t>Nicaragua</t>
  </si>
  <si>
    <t>Country Selected with regional questionnaires</t>
  </si>
  <si>
    <t>Philippines</t>
  </si>
  <si>
    <t>Turkmenistan</t>
  </si>
  <si>
    <t>Jordan</t>
  </si>
  <si>
    <t>Panama</t>
  </si>
  <si>
    <t>Action Tables Global vs Country</t>
  </si>
  <si>
    <t>Republic Of Korea</t>
  </si>
  <si>
    <t>United Kingdom</t>
  </si>
  <si>
    <t>Kenya</t>
  </si>
  <si>
    <t>Paraguay</t>
  </si>
  <si>
    <t>Samoa</t>
  </si>
  <si>
    <t>Kuwait</t>
  </si>
  <si>
    <t>Peru</t>
  </si>
  <si>
    <t>Singapore</t>
  </si>
  <si>
    <t>Lebanon</t>
  </si>
  <si>
    <t>Saint Kitts And Nevis</t>
  </si>
  <si>
    <t>Solomon Islands</t>
  </si>
  <si>
    <t>Lesotho</t>
  </si>
  <si>
    <t>Saint Lucia</t>
  </si>
  <si>
    <t>Sri Lanka</t>
  </si>
  <si>
    <t>Liberia</t>
  </si>
  <si>
    <t>Saint Martin</t>
  </si>
  <si>
    <t>Taiwan, Province Of China</t>
  </si>
  <si>
    <t>Libya</t>
  </si>
  <si>
    <t>Saint Vincent And The Grenadines</t>
  </si>
  <si>
    <t>No_AML</t>
  </si>
  <si>
    <t>Thailand</t>
  </si>
  <si>
    <t>Madagascar</t>
  </si>
  <si>
    <t>Suriname</t>
  </si>
  <si>
    <t>No_CFT</t>
  </si>
  <si>
    <t>Timor-Leste</t>
  </si>
  <si>
    <t>Malawi</t>
  </si>
  <si>
    <t>Trinidad And Tobago</t>
  </si>
  <si>
    <t>No_AntiFraud</t>
  </si>
  <si>
    <t>Tonga</t>
  </si>
  <si>
    <t>Mali</t>
  </si>
  <si>
    <t>Turks And Caicos Islands</t>
  </si>
  <si>
    <t>Tuvalu</t>
  </si>
  <si>
    <t>Mauritania</t>
  </si>
  <si>
    <t>Uruguay</t>
  </si>
  <si>
    <t>Vanuatu</t>
  </si>
  <si>
    <t>Mauritius</t>
  </si>
  <si>
    <t>Venezuela</t>
  </si>
  <si>
    <t>Finding type</t>
  </si>
  <si>
    <t>Viet Nam</t>
  </si>
  <si>
    <t>Morocco</t>
  </si>
  <si>
    <t>Montserrat</t>
  </si>
  <si>
    <t>A_0</t>
  </si>
  <si>
    <t>Mozambique</t>
  </si>
  <si>
    <t>Namibia</t>
  </si>
  <si>
    <t>Niger</t>
  </si>
  <si>
    <t>Nigeria</t>
  </si>
  <si>
    <t>A_4</t>
  </si>
  <si>
    <t>Oman</t>
  </si>
  <si>
    <t>Pakistan</t>
  </si>
  <si>
    <t>Qatar</t>
  </si>
  <si>
    <t>Rwanda</t>
  </si>
  <si>
    <t>Sao Tome And Principe</t>
  </si>
  <si>
    <t>Saudi Arabia</t>
  </si>
  <si>
    <t>Senegal</t>
  </si>
  <si>
    <t>Seychelles</t>
  </si>
  <si>
    <t>Sierra Leone</t>
  </si>
  <si>
    <t>Somalia</t>
  </si>
  <si>
    <t>South Africa</t>
  </si>
  <si>
    <t>Possible Anwsers #</t>
  </si>
  <si>
    <t>Possible Anwsers</t>
  </si>
  <si>
    <t>Find</t>
  </si>
  <si>
    <t>South Sudan</t>
  </si>
  <si>
    <t>not set</t>
  </si>
  <si>
    <t>Sudan</t>
  </si>
  <si>
    <t>Switzerland</t>
  </si>
  <si>
    <t>Tanzania, United Republic Of</t>
  </si>
  <si>
    <t>No_AML/CFT</t>
  </si>
  <si>
    <t>The Democratic Republic Of Congo</t>
  </si>
  <si>
    <t>No_AML/CFT/AntiFraud</t>
  </si>
  <si>
    <t>Togo</t>
  </si>
  <si>
    <t>Tunisia</t>
  </si>
  <si>
    <t>Uganda</t>
  </si>
  <si>
    <t>United Arab Emirates</t>
  </si>
  <si>
    <t>Yemen</t>
  </si>
  <si>
    <t>Zambia</t>
  </si>
  <si>
    <t>Zimbabwe</t>
  </si>
  <si>
    <t>For the CallFlow</t>
  </si>
  <si>
    <t>For the iWatchFlow</t>
  </si>
  <si>
    <t>GS13_GQ1_Row</t>
  </si>
  <si>
    <t>GS13_GQ2_Row</t>
  </si>
  <si>
    <t>GS13_GQ3_Row</t>
  </si>
  <si>
    <t>GS13_GQ4_Row</t>
  </si>
  <si>
    <t>GS13_GQ5_Row</t>
  </si>
  <si>
    <t>GS13_GQ6_Row</t>
  </si>
  <si>
    <t>GS13_GQ7_Row</t>
  </si>
  <si>
    <t>GS13_GQ8_Row</t>
  </si>
  <si>
    <t>Clear until here-&gt;</t>
  </si>
  <si>
    <t>Master Agent HQ
Global</t>
  </si>
  <si>
    <t>Master Agent HQ Global
for the US</t>
  </si>
  <si>
    <t>Master Agent HQ
Regional for US</t>
  </si>
  <si>
    <t>Master Agent HQ Global 
for Canada</t>
  </si>
  <si>
    <t>Master Agent HQ 
regional for Canada</t>
  </si>
  <si>
    <t>Independent MO Only Global 
for the US</t>
  </si>
  <si>
    <t>Independent MO Only
Regional for US</t>
  </si>
  <si>
    <t>Independent MO Only Global for Canada</t>
  </si>
  <si>
    <t>Independent MO Only 
Regional for Canada</t>
  </si>
  <si>
    <t>Independent Global</t>
  </si>
  <si>
    <t>Independent 
for US</t>
  </si>
  <si>
    <t>Independent 
Regional for the US</t>
  </si>
  <si>
    <t>Independent Global 
for Canada</t>
  </si>
  <si>
    <t>Independent 
Regional for Canada</t>
  </si>
  <si>
    <r>
      <t xml:space="preserve">Network Agent </t>
    </r>
    <r>
      <rPr>
        <b/>
        <sz val="10"/>
        <color theme="4" tint="-0.249977111117893"/>
        <rFont val="Calibri"/>
        <family val="2"/>
        <scheme val="minor"/>
      </rPr>
      <t>Global</t>
    </r>
  </si>
  <si>
    <r>
      <t xml:space="preserve">Network Agent </t>
    </r>
    <r>
      <rPr>
        <b/>
        <sz val="10"/>
        <color theme="4" tint="-0.249977111117893"/>
        <rFont val="Calibri"/>
        <family val="2"/>
        <scheme val="minor"/>
      </rPr>
      <t>Global</t>
    </r>
    <r>
      <rPr>
        <sz val="10"/>
        <rFont val="Calibri"/>
        <family val="2"/>
        <scheme val="minor"/>
      </rPr>
      <t xml:space="preserve">
</t>
    </r>
    <r>
      <rPr>
        <b/>
        <sz val="10"/>
        <color theme="4" tint="-0.249977111117893"/>
        <rFont val="Calibri"/>
        <family val="2"/>
        <scheme val="minor"/>
      </rPr>
      <t>for the US</t>
    </r>
  </si>
  <si>
    <r>
      <t xml:space="preserve">Network Agent 
</t>
    </r>
    <r>
      <rPr>
        <b/>
        <sz val="10"/>
        <color theme="4" tint="-0.249977111117893"/>
        <rFont val="Calibri"/>
        <family val="2"/>
        <scheme val="minor"/>
      </rPr>
      <t>Regional</t>
    </r>
    <r>
      <rPr>
        <sz val="10"/>
        <rFont val="Calibri"/>
        <family val="2"/>
        <scheme val="minor"/>
      </rPr>
      <t xml:space="preserve"> </t>
    </r>
    <r>
      <rPr>
        <b/>
        <sz val="10"/>
        <color theme="4" tint="-0.249977111117893"/>
        <rFont val="Calibri"/>
        <family val="2"/>
        <scheme val="minor"/>
      </rPr>
      <t>for US</t>
    </r>
  </si>
  <si>
    <t>Network Agent Global 
for  Canada</t>
  </si>
  <si>
    <t>Network Agent 
Regional for Canada</t>
  </si>
  <si>
    <t xml:space="preserve">Network_MO_Only </t>
  </si>
  <si>
    <t>Network Location MO Only Global
for the US</t>
  </si>
  <si>
    <t>Network Location MO Only Global
for the US REGIONALL</t>
  </si>
  <si>
    <t>HQ_MO_Only FOR USA</t>
  </si>
  <si>
    <t>HQ_MO_Only FOR USA
REGIONAL</t>
  </si>
  <si>
    <t>iWatch#</t>
  </si>
  <si>
    <t>Code</t>
  </si>
  <si>
    <t>Lan Trans</t>
  </si>
  <si>
    <t>Coloring</t>
  </si>
  <si>
    <t>Afrikaans</t>
  </si>
  <si>
    <t>[$-436]</t>
  </si>
  <si>
    <t>GS1.</t>
  </si>
  <si>
    <t>Grey</t>
  </si>
  <si>
    <t>Albanian</t>
  </si>
  <si>
    <t>041C</t>
  </si>
  <si>
    <t>[$-041C]</t>
  </si>
  <si>
    <t>GS2.</t>
  </si>
  <si>
    <t>Blue</t>
  </si>
  <si>
    <t>Amharic</t>
  </si>
  <si>
    <t>045E</t>
  </si>
  <si>
    <t>[$-045E]</t>
  </si>
  <si>
    <t>GS3.</t>
  </si>
  <si>
    <t>GS7.RQ2</t>
  </si>
  <si>
    <t>Arabic</t>
  </si>
  <si>
    <t>[$-401]</t>
  </si>
  <si>
    <t>GS4.</t>
  </si>
  <si>
    <t>GS7.RQ3</t>
  </si>
  <si>
    <t>Armenian</t>
  </si>
  <si>
    <t>042B</t>
  </si>
  <si>
    <t>[$-042B]</t>
  </si>
  <si>
    <t>GS5.</t>
  </si>
  <si>
    <t>Assamese</t>
  </si>
  <si>
    <t>044D</t>
  </si>
  <si>
    <t>[$-044D]</t>
  </si>
  <si>
    <t>GS6.</t>
  </si>
  <si>
    <t>Azeri(Cyrillic)</t>
  </si>
  <si>
    <t>082C</t>
  </si>
  <si>
    <t>[$-082C]</t>
  </si>
  <si>
    <t>GS7.</t>
  </si>
  <si>
    <t>Azeri(Latin)</t>
  </si>
  <si>
    <t>042C</t>
  </si>
  <si>
    <t>[$-042C]</t>
  </si>
  <si>
    <t>GS8.</t>
  </si>
  <si>
    <t>Basque</t>
  </si>
  <si>
    <t>042D</t>
  </si>
  <si>
    <t>[$-042D]</t>
  </si>
  <si>
    <t>GS9.</t>
  </si>
  <si>
    <t>GS1.GQ9</t>
  </si>
  <si>
    <t>Belarusian</t>
  </si>
  <si>
    <t>[$-423]</t>
  </si>
  <si>
    <t>GS10</t>
  </si>
  <si>
    <t>GS1.GQ10</t>
  </si>
  <si>
    <t>Bengali</t>
  </si>
  <si>
    <t>[$-445]</t>
  </si>
  <si>
    <t>GS11</t>
  </si>
  <si>
    <t>GS1.GQ11</t>
  </si>
  <si>
    <t>Bulgarian</t>
  </si>
  <si>
    <t>[$-402]</t>
  </si>
  <si>
    <t>GS12</t>
  </si>
  <si>
    <t>Catalan</t>
  </si>
  <si>
    <t>[$-403]</t>
  </si>
  <si>
    <t>GS13</t>
  </si>
  <si>
    <t>Cherokee</t>
  </si>
  <si>
    <t>045C</t>
  </si>
  <si>
    <t>[$-045C]</t>
  </si>
  <si>
    <t>GS14</t>
  </si>
  <si>
    <t>Chinese(Simplified)</t>
  </si>
  <si>
    <t>[$-804]</t>
  </si>
  <si>
    <t>GS15</t>
  </si>
  <si>
    <t>Chinese(Traditional)</t>
  </si>
  <si>
    <t>[$-404]</t>
  </si>
  <si>
    <t>GS16</t>
  </si>
  <si>
    <t>Croatian</t>
  </si>
  <si>
    <t>041A</t>
  </si>
  <si>
    <t>[$-041A]</t>
  </si>
  <si>
    <t>Czech</t>
  </si>
  <si>
    <t>[$-405]</t>
  </si>
  <si>
    <t>Danish</t>
  </si>
  <si>
    <t>[$-406]</t>
  </si>
  <si>
    <t>Dhivehi</t>
  </si>
  <si>
    <t>[$-465]</t>
  </si>
  <si>
    <t>Dutch</t>
  </si>
  <si>
    <t>[$-413]</t>
  </si>
  <si>
    <t>Edo</t>
  </si>
  <si>
    <t>[$-466]</t>
  </si>
  <si>
    <t>English(Australian)</t>
  </si>
  <si>
    <t>0C09</t>
  </si>
  <si>
    <t>[$-0C09]</t>
  </si>
  <si>
    <t>English(Canadian)</t>
  </si>
  <si>
    <t>[$-1009]</t>
  </si>
  <si>
    <t>GS3.GQ9</t>
  </si>
  <si>
    <t>English(U.K.)</t>
  </si>
  <si>
    <t>[$-809]</t>
  </si>
  <si>
    <t>English(U.S.)</t>
  </si>
  <si>
    <t>[$-409]</t>
  </si>
  <si>
    <t>Estonian</t>
  </si>
  <si>
    <t>[$-425]</t>
  </si>
  <si>
    <t>Faeroese</t>
  </si>
  <si>
    <t>[$-438]</t>
  </si>
  <si>
    <t>Filipino</t>
  </si>
  <si>
    <t>[$-464]</t>
  </si>
  <si>
    <t>Finnish</t>
  </si>
  <si>
    <t>040B</t>
  </si>
  <si>
    <t>[$-040B]</t>
  </si>
  <si>
    <t>040C</t>
  </si>
  <si>
    <t>[$-040C]</t>
  </si>
  <si>
    <t>French(Canadian)</t>
  </si>
  <si>
    <t>0C0C</t>
  </si>
  <si>
    <t>[$-0C0C]</t>
  </si>
  <si>
    <t>Frisian</t>
  </si>
  <si>
    <t>[$-462]</t>
  </si>
  <si>
    <t>GS4.GQ9</t>
  </si>
  <si>
    <t>Fulfulde</t>
  </si>
  <si>
    <t>[$-467]</t>
  </si>
  <si>
    <t>Galician</t>
  </si>
  <si>
    <t>[$-456]</t>
  </si>
  <si>
    <t>Georgian</t>
  </si>
  <si>
    <t>[$-437]</t>
  </si>
  <si>
    <t>German</t>
  </si>
  <si>
    <t>[$-407]</t>
  </si>
  <si>
    <t>German(Austrian)</t>
  </si>
  <si>
    <t>0C07</t>
  </si>
  <si>
    <t>[$-0C07]</t>
  </si>
  <si>
    <t>German(Swiss)</t>
  </si>
  <si>
    <t>[$-807]</t>
  </si>
  <si>
    <t>Greek</t>
  </si>
  <si>
    <t>[$-408]</t>
  </si>
  <si>
    <t>Gujarati</t>
  </si>
  <si>
    <t>[$-447]</t>
  </si>
  <si>
    <t>Hausa</t>
  </si>
  <si>
    <t>[$-468]</t>
  </si>
  <si>
    <t>Hawaiian</t>
  </si>
  <si>
    <t>[$-475]</t>
  </si>
  <si>
    <t>Hebrew</t>
  </si>
  <si>
    <t>040D</t>
  </si>
  <si>
    <t>[$-040D]</t>
  </si>
  <si>
    <t>Hindi</t>
  </si>
  <si>
    <t>[$-439]</t>
  </si>
  <si>
    <t>Hungarian</t>
  </si>
  <si>
    <t>040E</t>
  </si>
  <si>
    <t>[$-040E]</t>
  </si>
  <si>
    <t>Ibibio</t>
  </si>
  <si>
    <t>[$-469]</t>
  </si>
  <si>
    <t>Icelandic</t>
  </si>
  <si>
    <t>040F</t>
  </si>
  <si>
    <t>[$-040F]</t>
  </si>
  <si>
    <t>Igbo</t>
  </si>
  <si>
    <t>[$-470]</t>
  </si>
  <si>
    <t>Indonesian</t>
  </si>
  <si>
    <t>[$-421]</t>
  </si>
  <si>
    <t>Inuktitut</t>
  </si>
  <si>
    <t>045D</t>
  </si>
  <si>
    <t>[$-045D]</t>
  </si>
  <si>
    <t>Italian</t>
  </si>
  <si>
    <t>[$-410]</t>
  </si>
  <si>
    <t>Network Agent Global 
for India</t>
  </si>
  <si>
    <t>Network Agent 
Regional for India</t>
  </si>
  <si>
    <t>Japanese</t>
  </si>
  <si>
    <t>[$-411]</t>
  </si>
  <si>
    <t>Kannada</t>
  </si>
  <si>
    <t>044B</t>
  </si>
  <si>
    <t>[$-044B]</t>
  </si>
  <si>
    <t>Kanuri</t>
  </si>
  <si>
    <t>[$-471]</t>
  </si>
  <si>
    <t>Kashmiri(Arabic)</t>
  </si>
  <si>
    <t>[$-460]</t>
  </si>
  <si>
    <t>Kazakh</t>
  </si>
  <si>
    <t>043F</t>
  </si>
  <si>
    <t>[$-043F]</t>
  </si>
  <si>
    <t>Konkani</t>
  </si>
  <si>
    <t>[$-457]</t>
  </si>
  <si>
    <t>Korean</t>
  </si>
  <si>
    <t>[$-412]</t>
  </si>
  <si>
    <t>Kyrgyz</t>
  </si>
  <si>
    <t>[$-440]</t>
  </si>
  <si>
    <t>Latin</t>
  </si>
  <si>
    <t>[$-476]</t>
  </si>
  <si>
    <t>Latvian</t>
  </si>
  <si>
    <t>[$-426]</t>
  </si>
  <si>
    <t>Lithuanian</t>
  </si>
  <si>
    <t>[$-427]</t>
  </si>
  <si>
    <t>MacedonianFYROM</t>
  </si>
  <si>
    <t>042F</t>
  </si>
  <si>
    <t>[$-042F]</t>
  </si>
  <si>
    <t>Malay</t>
  </si>
  <si>
    <t>043E</t>
  </si>
  <si>
    <t>[$-043E]</t>
  </si>
  <si>
    <t>Malayalam</t>
  </si>
  <si>
    <t>044C</t>
  </si>
  <si>
    <t>[$-044C]</t>
  </si>
  <si>
    <t>Maltese</t>
  </si>
  <si>
    <t>043A</t>
  </si>
  <si>
    <t>[$-043A]</t>
  </si>
  <si>
    <t>Manipuri</t>
  </si>
  <si>
    <t>[$-458]</t>
  </si>
  <si>
    <t>Marathi</t>
  </si>
  <si>
    <t>044E</t>
  </si>
  <si>
    <t>[$-044E]</t>
  </si>
  <si>
    <t>Mongolian</t>
  </si>
  <si>
    <t>[$-450]</t>
  </si>
  <si>
    <t>Nepali</t>
  </si>
  <si>
    <t>[$-461]</t>
  </si>
  <si>
    <t>GS4.GQ10</t>
  </si>
  <si>
    <t>NorwegianBokmal</t>
  </si>
  <si>
    <t>[$-414]</t>
  </si>
  <si>
    <t>NorwegianNynorsk</t>
  </si>
  <si>
    <t>[$-814]</t>
  </si>
  <si>
    <t>Oriya</t>
  </si>
  <si>
    <t>[$-448]</t>
  </si>
  <si>
    <t>Oromo</t>
  </si>
  <si>
    <t>[$-472]</t>
  </si>
  <si>
    <t>Pashto</t>
  </si>
  <si>
    <t>[$-463]</t>
  </si>
  <si>
    <t>Persian</t>
  </si>
  <si>
    <t>[$-429]</t>
  </si>
  <si>
    <t>Polish</t>
  </si>
  <si>
    <t>[$-415]</t>
  </si>
  <si>
    <t>Portuguese(Brazil)</t>
  </si>
  <si>
    <t>[$-416]</t>
  </si>
  <si>
    <t>Portuguese(Portugal)</t>
  </si>
  <si>
    <t>[$-816]</t>
  </si>
  <si>
    <t>Punjabi</t>
  </si>
  <si>
    <t>[$-446]</t>
  </si>
  <si>
    <t>Romanian</t>
  </si>
  <si>
    <t>[$-418]</t>
  </si>
  <si>
    <t>Russian</t>
  </si>
  <si>
    <t>[$-419]</t>
  </si>
  <si>
    <t>Sanskrit</t>
  </si>
  <si>
    <t>044F</t>
  </si>
  <si>
    <t>[$-044F]</t>
  </si>
  <si>
    <t>Serbian(Cyrillic)</t>
  </si>
  <si>
    <t>0C1A</t>
  </si>
  <si>
    <t>[$-0C1A]</t>
  </si>
  <si>
    <t>Serbian(Latin)</t>
  </si>
  <si>
    <t>081A</t>
  </si>
  <si>
    <t>[$-081A]</t>
  </si>
  <si>
    <t>Sindhi</t>
  </si>
  <si>
    <t>[$-459]</t>
  </si>
  <si>
    <t>Sinhalese</t>
  </si>
  <si>
    <t>045B</t>
  </si>
  <si>
    <t>[$-045B]</t>
  </si>
  <si>
    <t>Slovak</t>
  </si>
  <si>
    <t>041B</t>
  </si>
  <si>
    <t>[$-041B]</t>
  </si>
  <si>
    <t>Slovenian</t>
  </si>
  <si>
    <t>[$-424]</t>
  </si>
  <si>
    <t>Somali</t>
  </si>
  <si>
    <t>[$-477]</t>
  </si>
  <si>
    <t>0C0A</t>
  </si>
  <si>
    <t>[$-0C0A]</t>
  </si>
  <si>
    <t>Swahili</t>
  </si>
  <si>
    <t>[$-441]</t>
  </si>
  <si>
    <t>Swedish</t>
  </si>
  <si>
    <t>041D</t>
  </si>
  <si>
    <t>[$-041D]</t>
  </si>
  <si>
    <t>Syriac</t>
  </si>
  <si>
    <t>045A</t>
  </si>
  <si>
    <t>[$-045A]</t>
  </si>
  <si>
    <t>Tajik</t>
  </si>
  <si>
    <t>[$-428]</t>
  </si>
  <si>
    <t>Tamazight(Arabic)</t>
  </si>
  <si>
    <t>045F</t>
  </si>
  <si>
    <t>[$-045F]</t>
  </si>
  <si>
    <t>Tamazight(Latin)</t>
  </si>
  <si>
    <t>085F</t>
  </si>
  <si>
    <t>[$-085F]</t>
  </si>
  <si>
    <t>Tamil</t>
  </si>
  <si>
    <t>[$-449]</t>
  </si>
  <si>
    <t>Tatar</t>
  </si>
  <si>
    <t>[$-444]</t>
  </si>
  <si>
    <t>Telugu</t>
  </si>
  <si>
    <t>044A</t>
  </si>
  <si>
    <t>[$-044A]</t>
  </si>
  <si>
    <t>Thai</t>
  </si>
  <si>
    <t>041E</t>
  </si>
  <si>
    <t>[$-041E]</t>
  </si>
  <si>
    <t>Tigrigna(Eritrea)</t>
  </si>
  <si>
    <t>[$-873]</t>
  </si>
  <si>
    <t>Tigrigna(Ethiopia)</t>
  </si>
  <si>
    <t>[$-473]</t>
  </si>
  <si>
    <t>Turkish</t>
  </si>
  <si>
    <t>041F</t>
  </si>
  <si>
    <t>[$-041F]</t>
  </si>
  <si>
    <t>Turkmen</t>
  </si>
  <si>
    <t>[$-442]</t>
  </si>
  <si>
    <t>Ukrainian</t>
  </si>
  <si>
    <t>[$-422]</t>
  </si>
  <si>
    <t>Urdu</t>
  </si>
  <si>
    <t>[$-420]</t>
  </si>
  <si>
    <t>Uzbek(Cyrillic)</t>
  </si>
  <si>
    <t>[$-843]</t>
  </si>
  <si>
    <t>Uzbek(Latin)</t>
  </si>
  <si>
    <t>[$-443]</t>
  </si>
  <si>
    <t>GS8.GQ10</t>
  </si>
  <si>
    <t>Vietnamese</t>
  </si>
  <si>
    <t>042A</t>
  </si>
  <si>
    <t>[$-042A]</t>
  </si>
  <si>
    <t>Yi</t>
  </si>
  <si>
    <t>[$-478]</t>
  </si>
  <si>
    <t>Yiddish</t>
  </si>
  <si>
    <t>043D</t>
  </si>
  <si>
    <t>[$-043D]</t>
  </si>
  <si>
    <t>Yoruba</t>
  </si>
  <si>
    <t>046A</t>
  </si>
  <si>
    <t>[$-046A]</t>
  </si>
  <si>
    <t>GS8.GQ9</t>
  </si>
  <si>
    <t>LocID</t>
  </si>
  <si>
    <t>Agent DMA</t>
  </si>
  <si>
    <t>oRs Count</t>
  </si>
  <si>
    <t>CompileAgent Ids</t>
  </si>
  <si>
    <t>Case ID</t>
  </si>
  <si>
    <t>Subject ID</t>
  </si>
  <si>
    <t>Subject Name</t>
  </si>
  <si>
    <t>Region</t>
  </si>
  <si>
    <t>Sub-Region</t>
  </si>
  <si>
    <t>Start Date</t>
  </si>
  <si>
    <t>Interview Section</t>
  </si>
  <si>
    <t>Question_Number</t>
  </si>
  <si>
    <t>Referral Source</t>
  </si>
  <si>
    <t>Review Date</t>
  </si>
  <si>
    <t>FO Submitted Date</t>
  </si>
  <si>
    <t>Status</t>
  </si>
  <si>
    <t>Risk Level</t>
  </si>
  <si>
    <t>Investigative Group</t>
  </si>
  <si>
    <t>FOCO Name</t>
  </si>
  <si>
    <t>Submitted Quarter</t>
  </si>
  <si>
    <t>Rec/Ren Flag</t>
  </si>
  <si>
    <t>GFS/GFO</t>
  </si>
  <si>
    <t>WUPSIL</t>
  </si>
  <si>
    <t>Finding Label</t>
  </si>
  <si>
    <t>Completed Date</t>
  </si>
  <si>
    <t>Average # of questions by Section</t>
  </si>
  <si>
    <t>APS</t>
  </si>
  <si>
    <t>APS Risk</t>
  </si>
  <si>
    <t>Agent Start Date</t>
  </si>
  <si>
    <t>Skip False</t>
  </si>
  <si>
    <t>Verify Question pool</t>
  </si>
  <si>
    <t>Verification</t>
  </si>
  <si>
    <t>EqualTo</t>
  </si>
  <si>
    <t>Follow Up</t>
  </si>
  <si>
    <t>With Findings</t>
  </si>
  <si>
    <t>Resolved_Onsite, Response_Required</t>
  </si>
  <si>
    <t>Probation</t>
  </si>
  <si>
    <t>Resolved_Onsite, Response_Required, Suspension</t>
  </si>
  <si>
    <t>No Findings</t>
  </si>
  <si>
    <t>Resolved_Onsite, Suspension</t>
  </si>
  <si>
    <t>Training Complete</t>
  </si>
  <si>
    <t>Response_Required, Suspension</t>
  </si>
  <si>
    <t>Termination</t>
  </si>
  <si>
    <t>Reactivation</t>
  </si>
  <si>
    <t>1100</t>
  </si>
  <si>
    <t>THE KROGER CO</t>
  </si>
  <si>
    <t>KROGER DELTA</t>
  </si>
  <si>
    <t>25</t>
  </si>
  <si>
    <t>PO BOX 1878, WAYNE HERRONS/MFS DIVN</t>
  </si>
  <si>
    <t>800 RIDGE LAKE BLVD</t>
  </si>
  <si>
    <t>MEMPHIS</t>
  </si>
  <si>
    <t>TN</t>
  </si>
  <si>
    <t>US</t>
  </si>
  <si>
    <t>KROGER COMPANY</t>
  </si>
  <si>
    <t>KROGER CO/A PASQUINELLI</t>
  </si>
  <si>
    <t>26</t>
  </si>
  <si>
    <t>PO BOX 305103</t>
  </si>
  <si>
    <t>NASHVILLE</t>
  </si>
  <si>
    <t>KROGER MID ATLANTIC</t>
  </si>
  <si>
    <t>29</t>
  </si>
  <si>
    <t>PO BOX 14002</t>
  </si>
  <si>
    <t>ROANOKE</t>
  </si>
  <si>
    <t>VA</t>
  </si>
  <si>
    <t>THE KROGER CO MID ATLANT</t>
  </si>
  <si>
    <t>3</t>
  </si>
  <si>
    <t>P.O. BOX 14002</t>
  </si>
  <si>
    <t>KROGER CINCINNATI</t>
  </si>
  <si>
    <t>30</t>
  </si>
  <si>
    <t>PO BOX 46234</t>
  </si>
  <si>
    <t>CINCINNATI</t>
  </si>
  <si>
    <t>OH</t>
  </si>
  <si>
    <t>ROUNDY'S ILLINOIS LLC</t>
  </si>
  <si>
    <t>MARIANO'S #501</t>
  </si>
  <si>
    <t>31</t>
  </si>
  <si>
    <t>802 EAST NORTHWEST HIGHWAY</t>
  </si>
  <si>
    <t>ARLINGTON</t>
  </si>
  <si>
    <t>IL</t>
  </si>
  <si>
    <t>MEGA MARTS LLC</t>
  </si>
  <si>
    <t>METRO MARKET #301</t>
  </si>
  <si>
    <t>34</t>
  </si>
  <si>
    <t>17630 W BLUEMOUND RD</t>
  </si>
  <si>
    <t>BROOKFIELD</t>
  </si>
  <si>
    <t>WI</t>
  </si>
  <si>
    <t>RALPHS GROCERY COMPANY</t>
  </si>
  <si>
    <t>RALPHS</t>
  </si>
  <si>
    <t>70</t>
  </si>
  <si>
    <t>1100 W ARTESIA BLVD</t>
  </si>
  <si>
    <t>COMPTON</t>
  </si>
  <si>
    <t>CA</t>
  </si>
  <si>
    <t>FOOD 4 LESS OF CA INC</t>
  </si>
  <si>
    <t>FOOD 4 LESS</t>
  </si>
  <si>
    <t>71</t>
  </si>
  <si>
    <t>8</t>
  </si>
  <si>
    <t>FRED MEYER STORES INC</t>
  </si>
  <si>
    <t>FRED MEYER</t>
  </si>
  <si>
    <t>80</t>
  </si>
  <si>
    <t>3800 SE 22ND AVE</t>
  </si>
  <si>
    <t>PORTLAND</t>
  </si>
  <si>
    <t>OR</t>
  </si>
  <si>
    <t>QUALITY FOOD CENTERS INC</t>
  </si>
  <si>
    <t>QFC</t>
  </si>
  <si>
    <t>81</t>
  </si>
  <si>
    <t>10116 NE 8TH STREET</t>
  </si>
  <si>
    <t>BELLEVUE</t>
  </si>
  <si>
    <t>WA</t>
  </si>
  <si>
    <t>SMITH'S FOOD &amp; DRUG CENTE</t>
  </si>
  <si>
    <t>SMITHS</t>
  </si>
  <si>
    <t>83</t>
  </si>
  <si>
    <t>1550 SOUTH REDWOOD</t>
  </si>
  <si>
    <t>SALT LAKE CITY</t>
  </si>
  <si>
    <t>UT</t>
  </si>
  <si>
    <t>KROGER LIMITED PARTNERSHI</t>
  </si>
  <si>
    <t>JAY C FOOD STORE</t>
  </si>
  <si>
    <t>84</t>
  </si>
  <si>
    <t>1014 VINE STREET</t>
  </si>
  <si>
    <t>TURKEY HILL LP</t>
  </si>
  <si>
    <t>TURKEY HILL</t>
  </si>
  <si>
    <t>85</t>
  </si>
  <si>
    <t>JUNIOR FOOD STORES OF W F</t>
  </si>
  <si>
    <t>TOM THUMB</t>
  </si>
  <si>
    <t>86</t>
  </si>
  <si>
    <t>QUIK STOP MARKETS INC</t>
  </si>
  <si>
    <t>QUIK STOP</t>
  </si>
  <si>
    <t>89</t>
  </si>
  <si>
    <t>LOCAL MKT LLC</t>
  </si>
  <si>
    <t>LOCAL MARKET</t>
  </si>
  <si>
    <t>90</t>
  </si>
  <si>
    <t>1621 COBBLESTONE WA</t>
  </si>
  <si>
    <t>MARYSVILLE</t>
  </si>
  <si>
    <t>DILLON COMPANIES INC</t>
  </si>
  <si>
    <t>DILLONS</t>
  </si>
  <si>
    <t>96</t>
  </si>
  <si>
    <t>2700 E 4TH ST</t>
  </si>
  <si>
    <t>HUTCHISON</t>
  </si>
  <si>
    <t>KS</t>
  </si>
  <si>
    <t>THE KROGER COMPANY</t>
  </si>
  <si>
    <t>KING SOOPERS</t>
  </si>
  <si>
    <t>98</t>
  </si>
  <si>
    <t>PO BOX 5567</t>
  </si>
  <si>
    <t>DENVER</t>
  </si>
  <si>
    <t>CO</t>
  </si>
  <si>
    <t>CITY MARKET INC</t>
  </si>
  <si>
    <t>CITY MARKET</t>
  </si>
  <si>
    <t>99</t>
  </si>
  <si>
    <t>P.O. BOX #729</t>
  </si>
  <si>
    <t>GRAND JUNCTION</t>
  </si>
  <si>
    <t>WU TEST KROGER</t>
  </si>
  <si>
    <t>999</t>
  </si>
  <si>
    <t>123 MAIN ST</t>
  </si>
  <si>
    <t>ANTIOCH</t>
  </si>
  <si>
    <t>ENGLISH</t>
  </si>
  <si>
    <t>Version Control</t>
  </si>
  <si>
    <t>IndependentUnited_States</t>
  </si>
  <si>
    <t>IndependentCanada</t>
  </si>
  <si>
    <t>IndependentAustralia</t>
  </si>
  <si>
    <t>Master_Agent_HQsUnited_States</t>
  </si>
  <si>
    <t>Master_Agent_HQsCanada</t>
  </si>
  <si>
    <t>Master_Agent_HQsAustralia</t>
  </si>
  <si>
    <t>IndependentUnited_States_DocsQ</t>
  </si>
  <si>
    <t>IndependentCanada_DocsQ</t>
  </si>
  <si>
    <t>IndependentAustralia_DocsQ</t>
  </si>
  <si>
    <t>Master_Agent_HQsUnited_States_DocsQ</t>
  </si>
  <si>
    <t>Master_Agent_HQsMalaysia_DocsQ</t>
  </si>
  <si>
    <t>Master_Agent_HQsCanada_DocsQ</t>
  </si>
  <si>
    <t>Email Body</t>
  </si>
  <si>
    <t>&lt;b&gt;Hello,&lt;/b&gt;&lt;BR&gt;
Western Union conducted an Anti-Money Laundering (AML), Combating the Financing of Terrorism (CFT) and Anti-Fraud Program Review of &lt;b&gt;Replace_AgentName_Here&lt;/b&gt; on &lt;b&gt;Replace_PRDate_Here&lt;/b&gt;.  This review was conducted to evaluate your adherence to the applicable AML/CFT and Anti-Fraud laws and regulations as well as Western Union’s Program requirements relating exclusively to products and services provided by Western Union. 
&lt;p&gt;The Program review resulted in proprietary findings as detailed in the attached.  Please note that failure to comply with the below recommendations and timeline could result in adverse action being taken, including suspension and/or termination. By opening this email, you have acknowledged receipt and review of the attached. We will continue to monitor your progress in completing the required actions.&lt;/p&gt;
&lt;p&gt;Sincerely,&lt;/p&gt;
&lt;b&gt;Replace_WUCOName_Here&lt;BR&gt;Replace_WUCOPosition_Here &lt;BR&gt; Western Union&lt;/b&gt;</t>
  </si>
  <si>
    <t>Dear Agent,
Western Union conducted an Anti-Money Laundering (AML), Combating the Financing of Terrorism (CFT) and Anti-Fraud Program Review of Replace_AgentName_Here on Replace_PRDate_Here.  This review was conducted to evaluate your adherence to the applicable AML/CFT and Anti-Fraud laws and regulations as well as Western Union’s Program requirements relating exclusively to products and services provided by Western Union. 
The Program review resulted in proprietary findings as detailed via email.  Please note that failure to comply with the recommendations and timeline could result in adverse action being taken, including suspension and/or termination. 
We will continue monitoring your progress in completing the required actions.
Sincerely,
Replace_WUCOName_Here
Replace_WUCOPosition_Here
Western Union</t>
  </si>
  <si>
    <t>DB</t>
  </si>
  <si>
    <t>This Version</t>
  </si>
  <si>
    <t>Box Version</t>
  </si>
  <si>
    <t>Country_Code</t>
  </si>
  <si>
    <t>Americas Sub Region</t>
  </si>
  <si>
    <t>Y_N</t>
  </si>
  <si>
    <t>iWatch Number</t>
  </si>
  <si>
    <t>Document Required</t>
  </si>
  <si>
    <t>Response</t>
  </si>
  <si>
    <t>Response Options</t>
  </si>
  <si>
    <t>Email Subject</t>
  </si>
  <si>
    <t>North America</t>
  </si>
  <si>
    <t>US &amp; Canada</t>
  </si>
  <si>
    <t>AML P&amp;Ps</t>
  </si>
  <si>
    <t>AML and Anti-Fraud P&amp;Ps</t>
  </si>
  <si>
    <t>Si</t>
  </si>
  <si>
    <t>P&amp;Ps - CO Designation</t>
  </si>
  <si>
    <t>P&amp;PS CO Designation</t>
  </si>
  <si>
    <t>US Regional Independent Agent PR Questionnaire v5</t>
  </si>
  <si>
    <t>US Regional Network Location PR Questionnaire v5</t>
  </si>
  <si>
    <t>US Regional Master Agent HQ PR Questionnaire v4</t>
  </si>
  <si>
    <t>US INDEPENDENT MO</t>
  </si>
  <si>
    <t>US NETWORK LOCATION MO</t>
  </si>
  <si>
    <t>Anti - Fraud P&amp;Ps</t>
  </si>
  <si>
    <t>ID Addendum</t>
  </si>
  <si>
    <t>P&amp;Ps - CO Responsibilities</t>
  </si>
  <si>
    <t>AML/CFT P&amp;Ps</t>
  </si>
  <si>
    <t>Canada Regional Independent Agent PR Questionnaire v5</t>
  </si>
  <si>
    <t>Canada Regional Network Location PR Questionnaire v7</t>
  </si>
  <si>
    <t>Canada Regional Master Agent HQ PR Questionnaire v5</t>
  </si>
  <si>
    <t>Not Applicable</t>
  </si>
  <si>
    <t>CANADA NETWORK LOCATION MO</t>
  </si>
  <si>
    <t>CANADA MASTER AGENT HQ MO</t>
  </si>
  <si>
    <t>SPANISH</t>
  </si>
  <si>
    <t>Independent USCAAU</t>
  </si>
  <si>
    <t>MX</t>
  </si>
  <si>
    <t>MX &amp; CA</t>
  </si>
  <si>
    <t>AML/CFT P&amp;Ps Table of Contents</t>
  </si>
  <si>
    <t>Global Network Location PR Questionnaire v4</t>
  </si>
  <si>
    <t>&lt;b&gt;Buen día,&lt;/b&gt;&lt;BR&gt;
Western Union realizó una revisión del Programa para la Prevención de Lavado de Activos (PLD), Financiamiento del Terrorismo (CFT) y Anti Fraude sobre la locación &lt;b&gt;Replace_AgentName_Here&lt;/b&gt; el  &lt;b&gt;Replace_PRDate3_Here&lt;/b&gt;. Esta revisión se realizó con el propósito de evaluar la adhesión a las leyes y regulaciones de PLD, CFT y Anti Fraude aplicables en su país; así como a los requerimientos de Western Union relacionados exclusivamente a los productos y servicios brindados por Western Union.
&lt;p&gt;La revisión del Programa dio como resultado los hallazgos que podrán encontrar detallados en el archivo adjunto. Por favor, tenga en cuenta que el hecho de no acatar las recomendaciones y su respectiva fecha limite podría resultar en sanciones para la agencia incluyendo la suspensión y/o terminación de los servicios. &lt;b&gt;Al abrir este correo electrónico, usted está reconociendo el recibo y revisión de los resultados adjuntos&lt;/b&gt;. Continuaremos monitoreando su progreso en cuanto a la conclusión de las acciones requeridas.&lt;/p&gt;
&lt;p&gt;Sinceramente,&lt;/p&gt;
-------------------------------------------------------------------------------------------------------------------------------------------------------------------------------------------------
&lt;BR&gt;&lt;b&gt;Hello,&lt;/b&gt;&lt;BR&gt;
Western Union conducted an Anti-Money Laundering (AML), Combating the Financing of Terrorism (CFT) and Anti-Fraud Program Review of &lt;b&gt;Replace_AgentName_Here&lt;/b&gt; on &lt;b&gt;Replace_PRDate5_Here&lt;/b&gt;.  This review was conducted to evaluate your adherence to the applicable AML/CFT and Anti-Fraud laws and regulations as well as Western Union’s Program requirements relating exclusively to products and services provided by Western Union. 
&lt;p&gt;The Program review resulted in proprietary findings as detailed in the attached.  Please note that failure to comply with the below recommendations and timeline could result in adverse action being taken, including suspension and/or termination. By opening this email, you have acknowledged receipt and review of the attached. We will continue to monitor your progress in completing the required actions.&lt;/p&gt;
&lt;p&gt;Sincerely,&lt;/p&gt;
&lt;b&gt;Replace_WUCOName_Here&lt;BR&gt;Replace_WUCOPosition_Here &lt;BR&gt; Western Union&lt;/b&gt;</t>
  </si>
  <si>
    <t>Estimado agente,
Western Union realizó una revisión del Programa para la Prevención de Lavado de Activos (PLD), Financiamiento del Terrorismo (CFT) y Anti Fraude sobre la locación Replace_AgentName_Here el Replace_PRDate3_Here. Esta revisión se realizó con el propósito de evaluar la adhesión a las leyes y regulaciones de PLD, CFT y Anti fraude aplicables en su país; así como a los requerimentos de Western Union relacionados exclusivamente a los productos y servicios brindados por Western Union.
La revisión del Programa dio como resultado los hallazgos que podrán encontrar detallados en el correo enviado. Por favor, tenga en cuenta que el hecho de no acatar las recomendaciones y su respectiva fecha limite podría resultar en sanciones para la agencia incluyendo la suspensión y/o terminación de los servicios.
Continuaremos monitoreando su progreso en cuanto a la conclusión de las acciones requeridas.
Sinceramente,
-------------------------------------------------------------------------------------------------------------------------------------------------------------------------------------------------
 Dear agent,
Western Union conducted an Anti-Money Laundering (AML), Combating the Financing of Terrorism (CFT) and Anti-Fraud Program Review of Replace_AgentName_Here on Replace_PRDate5_Here.  This review was conducted to evaluate your adherence to the applicable AML/CFT and Anti-Fraud laws and regulations as well as Western Union’s Program requirements relating exclusively to products and services provided by Western Union. 
The Program review resulted in proprietary findings as detailed via email.  Please note that failure to comply with the recommendations and timeline could result in adverse action being taken, including suspension and/or termination. 
We will continue to monitor your progress in completing the required actions.
Sincerely,
Replace_WUCOName_Here
Replace_WUCOPosition_Here
Western Union</t>
  </si>
  <si>
    <t>Americas</t>
  </si>
  <si>
    <t>PR</t>
  </si>
  <si>
    <t>Puerto Rico</t>
  </si>
  <si>
    <t>Training Evidence</t>
  </si>
  <si>
    <t>Monitoring Evidence</t>
  </si>
  <si>
    <t>Y_NO_AMLCFTAF</t>
  </si>
  <si>
    <t>Anti-Fraud P&amp;Ps</t>
  </si>
  <si>
    <t>Australia Regional Independent Agent PR Questionnaire v4</t>
  </si>
  <si>
    <t>Global Network Location PR Questionnaire v3</t>
  </si>
  <si>
    <t>Global Master Agent HQ PR Questionnaire v3</t>
  </si>
  <si>
    <t>VI</t>
  </si>
  <si>
    <t>St. Thomas</t>
  </si>
  <si>
    <t>Receipts</t>
  </si>
  <si>
    <t>Anti-Fraud P&amp;Ps Table of Contents</t>
  </si>
  <si>
    <t>FTF NETWORK LOCATION REGIONAL INDIA V1</t>
  </si>
  <si>
    <t>TC','TT','SR','VC','LC','KN','GY','GD','CW','KY','BZ','CR','BS','UY','PE','PY','PA','HN','SV','EC','CL','BR','VE','CU','BO','NI','HT','DM','JM','GT','DO','CO','AR'</t>
  </si>
  <si>
    <t>UM</t>
  </si>
  <si>
    <t>United States Minor Outlying Islands</t>
  </si>
  <si>
    <t>AML/CFT and Anti-Fraud P&amp;Ps</t>
  </si>
  <si>
    <t>India Regional Network Location PR Questionnaire v5</t>
  </si>
  <si>
    <t>FRENCH</t>
  </si>
  <si>
    <t>AI</t>
  </si>
  <si>
    <t>Anguilla</t>
  </si>
  <si>
    <t>MX &amp; Caribbean</t>
  </si>
  <si>
    <t>LMS / Training Log</t>
  </si>
  <si>
    <t>Training Log/LMS</t>
  </si>
  <si>
    <t>Global Independent Agent PR Questionnaire v3</t>
  </si>
  <si>
    <t>&lt;b&gt;Cher Responsable de la conformité,&lt;/b&gt;&lt;BR&gt;
Western Union a effectué un examen du Programme de LAB/CFT et antifraude de l’agence &lt;b&gt;Replace_AgentName_Here&lt;/b&gt;  le &lt;b&gt; Replace_PRDate3_Here&lt;/b&gt; . Cet examen a été effectué pour évaluer son adhésion au programme de LAB/LFT et antifraude concernant exclusivement les produits et services fournis par Western Union. L'examen comprenait, mais n'était pas limité, aux éléments suivants :
&lt;ul&gt;
&lt;li&gt; Vérification de la préparation des lieux : examen de l’exactitude des informations relatives aux lieux dans les registres de WU.&lt;/li&gt;
&lt;li&gt;Formation des opérateurs d’agence :  s’assurer que les conseillers clientèle ont bénéficié d’une formation LAB/LFT.&lt;/li&gt;
&lt;li&gt;Exigences « connaître votre client » : évaluer les connaissances de l’opérateur d’agence concernant les activités des clients et les exigences de WU.&lt;/li&gt;
&lt;li&gt;Transactions et activités suspectes : évaluer les connaissances et la capacité à reconnaitre des comportements inhabituels, notamment en termes de transactions douteuses&lt;/li&gt;
&lt;li&gt;Archivage : conservation des données conformément aux politiques et procédures de l’agent « Grand Compte ».&lt;/li&gt;
&lt;/ul&gt;
&lt;p&gt;Nous vous remercions de votre temps et de votre soutien pour aider Western Union à mener cet examen. Nous espérons que vous continuerez à coopérer au fur et à mesure que vous remplirez les points d'action de la liste ci-jointe. Nous nous engageons à renforcer nos relations d'affaires et à partager des informations qui vous aideront à améliorer continuellement votre programme de conformité. Vous pouvez nous contacter pour discuter des questions supplémentaires que vous pourriez avoir concernant les résultats de l'examen, afin d'aider à développer les actions correctives qui pourraient être nécessaires.&lt;/p&gt;
Je reste à votre entière disposition pour de plus amples informations.
&lt;p&gt;Bien cordialement,&lt;/p&gt;
-------------------------------------------------------------------------------------------------------------------------------------------------------------------------
&lt;BR&gt;&lt;b&gt;Hello,&lt;/b&gt;&lt;BR&gt;
Western Union conducted an Anti-Money Laundering (AML), Combating the Financing of Terrorism (CFT) and Anti-Fraud Program Review of &lt;b&gt;Replace_AgentName_Here&lt;/b&gt; on &lt;b&gt;Replace_PRDate5_Here&lt;/b&gt;.  This review was conducted to evaluate your adherence to the applicable AML/CFT and Anti-Fraud laws and regulations as well as Western Union’s Program requirements relating exclusively to products and services provided by Western Union. 
&lt;p&gt;The Program review resulted in proprietary findings as detailed in the attached.  Please note that failure to comply with the below recommendations and timeline could result in adverse action being taken, including suspension and/or termination. By opening this email, you have acknowledged receipt and review of the attached. We will continue to monitor your progress in completing the required actions.&lt;/p&gt;
&lt;p&gt;Sincerely,&lt;/p&gt;
&lt;b&gt;Replace_WUCOName_Here&lt;BR&gt;Replace_WUCOPosition_Here &lt;BR&gt; Western Union&lt;/b&gt;</t>
  </si>
  <si>
    <t>Cher Responsable de la conformité,
Western Union a effectué un examen du Programme de LAB/CFT et antifraude de l’agence Replace_AgentName_Here  le Replace_PRDate3_Here. Cet examen a été effectué pour évaluer son adhésion au programme de LAB/LFT et antifraude concernant exclusivement les produits et services fournis par Western Union. L'examen comprenait, mais n'était pas limité, aux éléments suivants :
Vérification de la préparation des lieux : examen de l’exactitude des informations relatives aux lieux dans les registres de WU.
Formation des opérateurs d’agence :  s’assurer que les conseillers clientèle ont bénéficié d’une formation LAB/LFT.
Exigences « connaître votre client » : évaluer les connaissances de l’opérateur d’agence concernant les activités des clients et les exigences de WU.
Transactions et activités suspectes : évaluer les connaissances et la capacité à reconnaitre des comportements inhabituels, notamment en termes de transactions douteuses
Archivage : conservation des données conformément aux politiques et procédures de l’agent « Grand Compte ».
Nous vous remercions de votre temps et de votre soutien pour aider Western Union à mener cet examen. Nous espérons que vous continuerez à coopérer au fur et à mesure que vous remplirez les points d'action de la liste ci-jointe. Nous nous engageons à renforcer nos relations d'affaires et à partager des informations qui vous aideront à améliorer continuellement votre programme de conformité. Vous pouvez nous contacter pour discuter des questions supplémentaires que vous pourriez avoir concernant les résultats de l'examen, afin d'aider à développer les actions correctives qui pourraient être nécessaires.
Je reste à votre entière disposition pour de plus amples informations.
Bien cordialement,
-------------------------------------------------------------------------------------------------------------------------------------------------------------------------
Dear agent,
Western Union conducted an Anti-Money Laundering (AML), Combating the Financing of Terrorism (CFT) and Anti-Fraud Program Review of Replace_AgentName_Here on Replace_PRDate5_Here.  This review was conducted to evaluate your adherence to the applicable AML/CFT and Anti-Fraud laws and regulations as well as Western Union’s Program requirements relating exclusively to products and services provided by Western Union. 
The Program review resulted in proprietary findings as detailed via.  Please note that failure to comply with the recommendations and timeline could result in adverse action being taken, including suspension and/or termination.
We will continue monitoring your progress in completing the required actions.
Sincerely,
Replace_WUCOName_Here
Replace_WUCOPosition_Here
Western Union</t>
  </si>
  <si>
    <t>AG</t>
  </si>
  <si>
    <t>AR</t>
  </si>
  <si>
    <t>LACA South</t>
  </si>
  <si>
    <t>AML/CFT and Anti-Fraud Program</t>
  </si>
  <si>
    <t>AW</t>
  </si>
  <si>
    <t>PORTUGUESE</t>
  </si>
  <si>
    <t>BS</t>
  </si>
  <si>
    <r>
      <t xml:space="preserve">&lt;b&gt;Prezados,&lt;/b&gt;&lt;BR&gt;
A Western Union (WU) realizou em  &lt;b&gt;Replace_PRDate3_Here&lt;/b&gt;  uma revisão do programa de PLD (Prevenção à Lavagem de Dinheiro), CFT (Combate ao Financiamento do Terrorismo) e Prevenção à Fraude no correspondente  &lt;b&gt;Replace_AgentName_Here&lt;/b&gt;. Essa revisão foi conduzida no intuito de avaliar a adesão à legislação e ao programa de PLD/CFT e de prevenção à fraude da WU, relacionado exclusivamente aos produtos e serviços fornecidos pela WU.
&lt;p&gt;Durante a revisão foram identificados os seguintes itens/pontos, conforme detalhado no anexo. Observe que o não cumprimento das recomendações e prazos listados podem resultar em sanções, incluindo a suspensão e/ou rescisão do contrato. &lt;b&gt;Ao abrir este e-mail, formalizamos sua ciência quanto ao recebimento e a revisão das informações do anexo&lt;/b&gt;. Continuaremos monitorando seu progresso em concluir os planos de ação definidos.&lt;/p&gt;
&lt;p&gt;Atenciosamente,&lt;/p&gt;
---------------------------------------------------------------------------------------------------------------------------------------
</t>
    </r>
    <r>
      <rPr>
        <b/>
        <sz val="11"/>
        <color theme="1"/>
        <rFont val="Calibri"/>
        <family val="2"/>
        <scheme val="minor"/>
      </rPr>
      <t>&lt;BR&gt;</t>
    </r>
    <r>
      <rPr>
        <sz val="11"/>
        <color theme="1"/>
        <rFont val="Calibri"/>
        <family val="2"/>
        <scheme val="minor"/>
      </rPr>
      <t>&lt;b&gt;Hello,&lt;/b&gt;&lt;BR&gt;
Western Union conducted an Anti-Money Laundering (AML), Combating the Financing of Terrorism (CFT) and Anti-Fraud Program Review of &lt;b&gt;Replace_AgentName_Here&lt;/b&gt; on &lt;b&gt;Replace_PRDate5_Here&lt;/b&gt;.  This review was conducted to evaluate your adherence to the applicable AML/CFT and Anti-Fraud laws and regulations as well as Western Union’s Program requirements relating exclusively to products and services provided by Western Union. 
&lt;p&gt;The Program review resulted in proprietary findings as detailed in the attached.  Please note that failure to comply with the below recommendations and timeline could result in adverse action being taken, including suspension and/or termination. By opening this email, you have acknowledged receipt and review of the attached. We will continue to monitor your progress in completing the required actions.&lt;/p&gt;
&lt;p&gt;Sincerely,&lt;/p&gt;
&lt;b&gt;Replace_WUCOName_Here&lt;BR&gt;Replace_WUCOPosition_Here &lt;BR&gt; Western Union&lt;/b&gt;</t>
    </r>
  </si>
  <si>
    <t>Prezados,
A Western Union (WU) realizou em Replace_PRDate3_Here  uma revisão do programa de PLD (Prevenção à Lavagem de Dinheiro), CFT (Combate ao Financiamento do Terrorismo) e Prevenção à Fraude no correspondente Replace_AgentName_Here. Essa revisão foi conduzida no intuito de avaliar a adesão à legislação e ao programa de PLD/CFT e de prevenção à fraude da WU, relacionado exclusivamente aos produtos e serviços fornecidos pela WU.
Durante a revisão foram identificados os seguintes itens/pontos, conforme detalhado no anexo. Observe que o não cumprimento das recomendações e prazos listados podem resultar em sanções, incluindo a suspensão e/ou rescisão do contrato. &lt;b&gt;Ao abrir este e-mail, formalizamos sua ciência quanto ao recebimento e a revisão das informações do anexo&lt;/b&gt;. Continuaremos monitorando seu progresso em concluir os planos de ação definidos.
Atenciosamente,
---------------------------------------------------------------------------------------------------------------------------------------
Dear Agent,
Western Union conducted an Anti-Money Laundering (AML), Combating the Financing of Terrorism (CFT) and Anti-Fraud Program Review of Replace_AgentName_Here on Replace_PRDate5_Here.  This review was conducted to evaluate your adherence to the applicable AML/CFT and Anti-Fraud laws and regulations as well as Western Union’s Program requirements relating exclusively to products and services provided by Western Union. 
The Program review resulted in proprietary findings as detailed in the attached.  Please note that failure to comply with the recommendations and timeline could result in adverse action being taken, including suspension and/or termination.
We will continue monitoring your progress in completing the required actions.
Sincerely,
Replace_WUCOName_Here
Replace_WUCOPosition_Here
Western Union</t>
  </si>
  <si>
    <t>BB</t>
  </si>
  <si>
    <t>BZ</t>
  </si>
  <si>
    <t>Monitoring Checklist</t>
  </si>
  <si>
    <t>BM</t>
  </si>
  <si>
    <t>Bermuda</t>
  </si>
  <si>
    <t>BO</t>
  </si>
  <si>
    <t>LACA Central</t>
  </si>
  <si>
    <t>Monitoring Logs</t>
  </si>
  <si>
    <t>AAL Comments</t>
  </si>
  <si>
    <t>B1</t>
  </si>
  <si>
    <t>Bonaire</t>
  </si>
  <si>
    <t>BONAIRE, SINT EUSTATIUS AND SABA</t>
  </si>
  <si>
    <t>BQ</t>
  </si>
  <si>
    <t>AML/CFT P&amp;Ps (CIP/KYC Section)</t>
  </si>
  <si>
    <t>&lt;b&gt;Dear Compliance Officer/Authorized Delegate:&lt;/b&gt;&lt;BR&gt;
&lt;BR&gt;
On  &lt;b&gt;Replace_PRDate_Here&lt;/b&gt;, the Western Union Compliance Program Review  was completed for &lt;b&gt;Replace_AgentName_Here&lt;/b&gt;. 
Attached is &lt;b&gt;the Agent Action List&lt;/b&gt;, which provides a summary with the results of the Compliance Program Review. Please sign the document and send it back, as a confirmation you have received it.
&lt;p&gt;Best regards,&lt;/p&gt;
&lt;b&gt;Replace_WUCOName_Here&lt;BR&gt;Replace_WUCOPosition_Here &lt;BR&gt; Western Union&lt;/b&gt;</t>
  </si>
  <si>
    <t>BR</t>
  </si>
  <si>
    <t>ID Policy</t>
  </si>
  <si>
    <t>(Sub-Agents) Manual Distribution</t>
  </si>
  <si>
    <t>IO</t>
  </si>
  <si>
    <t>British Indian Ocean Territory</t>
  </si>
  <si>
    <t>Receipts - Retention</t>
  </si>
  <si>
    <t>(Sub-Agents) AML/CFT P&amp;Ps</t>
  </si>
  <si>
    <t>VG</t>
  </si>
  <si>
    <t>British Virgin Islands</t>
  </si>
  <si>
    <t>MO Logs</t>
  </si>
  <si>
    <t>KY</t>
  </si>
  <si>
    <t>BSA E-Filing</t>
  </si>
  <si>
    <t>&lt;p&gt;&lt;b&gt;Buenos días, &lt;/b&gt;&lt;BR&gt;&lt;/p&gt;
Western Union llevó a cabo una revisión del Programa de Prevención al Lavado de Dinero, Combate al Financiamiento Terrorismo ("Programa PLD/CFT") en la agencia &lt;b&gt;Replace_AgentName_Here&lt;/b&gt;  el día &lt;b&gt;Replace_PRDate_Here&lt;/b&gt;. Esta revisión se llevó a cabo con el fin de evaluar la adherencia del programa PLD/CFT y el programa de Prevención del Fraude relacionados exclusivamente con los productos y servicios proporcionados por WU.&lt;BR&gt;
&lt;p&gt;Adjunto encontrará  la &lt;b&gt;"Lista de Acciones del Agente"&lt;/b&gt; que debe firmarse y enviarse de vuelta hoy mismo.&lt;/p&gt;
&lt;p&gt;&lt;/p&gt;
------------------------------------------------------------------------------------------------------------------------------------------------------&lt;BR&gt;
&lt;b&gt;Dear Compliance Officer/Authorized Delegate:&lt;/b&gt;&lt;BR&gt;
&lt;BR&gt;
On &lt;b&gt;Replace_PRDate3_Here&lt;/b&gt;, the Western Union Compliance Program Review  was completed for &lt;b&gt;Replace_AgentName_Here&lt;/b&gt;. 
&lt;p&gt;Attached is &lt;b&gt;the Agent Action List&lt;/b&gt;, which provides a summary with the results of the Compliance Program Review. Please sign the document and send it back, as a confirmation you have received it. &lt;/p&gt;
&lt;p&gt;Best regards,&lt;/p&gt;
&lt;b&gt;Replace_WUCOName_Here&lt;BR&gt;Replace_WUCOPosition_Here &lt;BR&gt; Western Union&lt;/b&gt;</t>
  </si>
  <si>
    <t>&lt;p&gt;&lt;b&gt;Buenos días, &lt;/b&gt;&lt;BR&gt;&lt;/p&gt;
Western Union llevó a cabo una revisión telefónica del Programa de Prevención al Lavado de Dinero, Combate al Financiamiento Terrorismo ("Programa PLD/CFT") en la agencia &lt;b&gt;Replace_AgentName_Here&lt;/b&gt;  el día &lt;b&gt;Replace_PRDate_Here&lt;/b&gt;. Esta revisión se llevó a cabo con el fin de evaluar la adherencia del programa PLD/CFT y el programa de Prevención del Fraude relacionados exclusivamente con los productos y servicios proporcionados por WU.&lt;BR&gt;
&lt;p&gt;Adjunto encontrará  la &lt;b&gt;"Lista de Acciones del Agente"&lt;/b&gt; que debe firmarse y enviarse de vuelta hoy mismo.&lt;/p&gt;
&lt;p&gt;&lt;/p&gt;
------------------------------------------------------------------------------------------------------------------------------------------------------&lt;BR&gt;
&lt;b&gt;Dear Compliance Officer/Authorized Delegate:&lt;/b&gt;&lt;BR&gt;
&lt;BR&gt;
On &lt;b&gt;Replace_PRDate3_Here&lt;/b&gt;, the Western Union Compliance Program Review  was completed for &lt;b&gt;Replace_AgentName_Here&lt;/b&gt;. 
&lt;p&gt;Attached is &lt;b&gt;the Agent Action List&lt;/b&gt;, which provides a summary with the results of the Compliance Program Review. Please sign the document and send it back, as a confirmation you have received it. &lt;/p&gt;
&lt;p&gt;Best regards,&lt;/p&gt;
&lt;b&gt;Replace_WUCOName_Here&lt;BR&gt;Replace_WUCOPosition_Here &lt;BR&gt; Western Union&lt;/b&gt;</t>
  </si>
  <si>
    <t>CL</t>
  </si>
  <si>
    <t>Employee Due Diligence check</t>
  </si>
  <si>
    <t>(Sub-Agents) Periodic Reviews to Sub-Agents</t>
  </si>
  <si>
    <t>LACA North</t>
  </si>
  <si>
    <t>CR</t>
  </si>
  <si>
    <t>BAHRAIN</t>
  </si>
  <si>
    <t>CU</t>
  </si>
  <si>
    <t>GS12.RQ8</t>
  </si>
  <si>
    <t>&lt;p&gt;&lt;b&gt;Bonjour Cher Agent, &lt;/b&gt;&lt;BR&gt;&lt;/p&gt;
Aujourd’hui,   &lt;b&gt;Replace_PRDate_Here&lt;/b&gt;, Western Union  a complété une Revue de Conformité pour l’Agence  &lt;b&gt;Replace_AgentName_Here&lt;/b&gt; . 
Ci-joint vous trouverez la lettre &lt;b&gt;“Agent Action List”&lt;/b&gt;, laquelle est un sommaire des résultats de la Revue de Conformité.&lt;BR&gt;
&lt;p&gt;Veuillez s.v.p. signer le document et le renvoyer, comme confirmation que vous l’avez reçu.&lt;/p&gt;&lt;BR&gt;
&lt;p&gt;&lt;/p&gt;
------------------------------------------------------------------------------------------------------------------------------------------------------&lt;BR&gt;
&lt;b&gt;Dear Compliance Officer/Authorized Delegate:&lt;/b&gt;&lt;BR&gt;
&lt;BR&gt;
On &lt;b&gt;Replace_PRDate3_Here&lt;/b&gt;, the Western Union Compliance Program Review  was completed for &lt;b&gt;Replace_AgentName_Here&lt;/b&gt;. 
&lt;p&gt;Attached is &lt;b&gt;the Agent Action List&lt;/b&gt;, which provides a summary with the results of the Compliance Program Review. Please sign the document and send it back, as a confirmation you have received it. &lt;/p&gt;
&lt;p&gt;Best regards,&lt;/p&gt;
&lt;b&gt;Replace_WUCOName_Here&lt;BR&gt;Replace_WUCOPosition_Here &lt;BR&gt; Western Union&lt;/b&gt;</t>
  </si>
  <si>
    <t>SENEGAL</t>
  </si>
  <si>
    <t>CW</t>
  </si>
  <si>
    <t>GS10.GQ16</t>
  </si>
  <si>
    <t>BENIN</t>
  </si>
  <si>
    <t>DM</t>
  </si>
  <si>
    <t>BURKINA FASO</t>
  </si>
  <si>
    <t>DO</t>
  </si>
  <si>
    <t>BSA Screenshot</t>
  </si>
  <si>
    <t>Cash Management Procedure / Written confirmation that the Procedure was communicated to all employees</t>
  </si>
  <si>
    <t>CAMEROON</t>
  </si>
  <si>
    <t>EC</t>
  </si>
  <si>
    <t>&lt;p&gt;Prezado Compliance Officer/Authorized Delegate:&lt;/b&gt;&lt;BR&gt;&lt;/p&gt;
Western Union realizou uma revisão do Programa de Prevenção à Lavagem de Dinheiro e Combate ao Financiamento do Terrorismo (“Programa PLD/CFT”) no correspondente &lt;b&gt;Replace_AgentName_Here&lt;/b&gt; o dia &lt;b&gt;Replace_PRDate_Here&lt;/b&gt;. 
&lt;p&gt;Esta revisão foi conduzida no intuito de avaliar a adesão ao programa de PLD/CFT e de prevenção à fraude relacionado exclusivamente aos produtos e serviços fornecidos pela WU.&lt;/p&gt;
Segue no anexo a &lt;b&gt;“Lista de Ações para o Correspondente”&lt;/b&gt; que precisa ser assinada e enviada para o Oficial de Compliance hoje. Por favor, assine o documento e o envia de volta, como confirmação de que o recebeu. &lt;p&gt;&lt;/p&gt;
------------------------------------------------------------------------------------------------------------------------------------------------------&lt;BR&gt;
&lt;b&gt;Dear Compliance Officer/Authorized Delegate:&lt;/b&gt;&lt;BR&gt;
&lt;BR&gt;
On &lt;b&gt;Replace_PRDate3_Here&lt;/b&gt;, the Western Union Compliance Program Review  was completed for &lt;b&gt;Replace_AgentName_Here&lt;/b&gt;. 
&lt;p&gt;Attached is &lt;b&gt;the Agent Action List&lt;/b&gt;, which provides a summary with the results of the Compliance Program Review. Please sign the document and send it back, as a confirmation you have received it. &lt;/p&gt;
&lt;p&gt;Best regards,&lt;/p&gt;
&lt;b&gt;Replace_WUCOName_Here&lt;BR&gt;Replace_WUCOPosition_Here &lt;BR&gt; Western Union&lt;/b&gt;</t>
  </si>
  <si>
    <t>&lt;p&gt;Prezado Compliance Officer/Authorized Delegate:&lt;/b&gt;&lt;BR&gt;&lt;/p&gt;
Western Union realizou uma revisão pelo telefone do Programa de Prevenção à Lavagem de Dinheiro e Combate ao Financiamento do Terrorismo (“Programa PLD/CFT”) no correspondente &lt;b&gt;Replace_AgentName_Here&lt;/b&gt; o dia &lt;b&gt;Replace_PRDate_Here&lt;/b&gt;. 
&lt;p&gt;Esta revisão foi conduzida no intuito de avaliar a adesão ao programa de PLD/CFT e de prevenção à fraude relacionado exclusivamente aos produtos e serviços fornecidos pela WU.&lt;/p&gt;
Segue no anexo a &lt;b&gt;“Lista de Ações para o Correspondente”&lt;/b&gt; que precisa ser assinada e enviada para o Oficial de Compliance hoje. Por favor, assine o documento e o envia de volta, como confirmação de que o recebeu. &lt;p&gt;&lt;/p&gt;
------------------------------------------------------------------------------------------------------------------------------------------------------&lt;BR&gt;
&lt;b&gt;Dear Compliance Officer/Authorized Delegate:&lt;/b&gt;&lt;BR&gt;
&lt;BR&gt;
On &lt;b&gt;Replace_PRDate3_Here&lt;/b&gt;, the Western Union Compliance Program Review  was completed for &lt;b&gt;Replace_AgentName_Here&lt;/b&gt;. 
&lt;p&gt;Attached is &lt;b&gt;the Agent Action List&lt;/b&gt;, which provides a summary with the results of the Compliance Program Review. Please sign the document and send it back, as a confirmation you have received it. &lt;/p&gt;
&lt;p&gt;Best regards,&lt;/p&gt;
&lt;b&gt;Replace_WUCOName_Here&lt;BR&gt;Replace_WUCOPosition_Here &lt;BR&gt; Western Union&lt;/b&gt;</t>
  </si>
  <si>
    <t>CONGO</t>
  </si>
  <si>
    <t>SV</t>
  </si>
  <si>
    <t>IVORY COAST</t>
  </si>
  <si>
    <t>FK</t>
  </si>
  <si>
    <t>Falkland Islands (Malvinas)</t>
  </si>
  <si>
    <t>EGYPT</t>
  </si>
  <si>
    <t>GF</t>
  </si>
  <si>
    <t>French Guiana</t>
  </si>
  <si>
    <t>ETHIOPIA</t>
  </si>
  <si>
    <t>GD</t>
  </si>
  <si>
    <t>"Replace_LetterDate_Here; Replace_AgentName_Here; Replace_StreetAddress_Here; Replace_City_Here; Replace_State_Here; Replace_Country_Here; Replace_PR_Here; Replace_WucoName_Here; Replace_WucoTitle_Here; Replace_WucoPhone_here; ReplaceWucoEmail_Here"</t>
  </si>
  <si>
    <t>GAMBIA</t>
  </si>
  <si>
    <t>GP</t>
  </si>
  <si>
    <t>Guadeloupe</t>
  </si>
  <si>
    <t>GHANA</t>
  </si>
  <si>
    <t>GT</t>
  </si>
  <si>
    <t>Replace_LetterDate_Here</t>
  </si>
  <si>
    <t>IRAQ</t>
  </si>
  <si>
    <t>GY</t>
  </si>
  <si>
    <t>Replace_AgentName_Here</t>
  </si>
  <si>
    <t>JORDAN</t>
  </si>
  <si>
    <t>HT</t>
  </si>
  <si>
    <t>Replace_StreetAddress_Here</t>
  </si>
  <si>
    <t>KENYA</t>
  </si>
  <si>
    <t>HN</t>
  </si>
  <si>
    <t>Replace_City_Here</t>
  </si>
  <si>
    <t>KUWAIT</t>
  </si>
  <si>
    <t>JM</t>
  </si>
  <si>
    <t>Replace_State_Here</t>
  </si>
  <si>
    <t>LEBANON</t>
  </si>
  <si>
    <t>MQ</t>
  </si>
  <si>
    <t>Martinique</t>
  </si>
  <si>
    <t>Replace_Country_Here</t>
  </si>
  <si>
    <t>LIBERIA</t>
  </si>
  <si>
    <t>MS</t>
  </si>
  <si>
    <t>Replace_PR_Here</t>
  </si>
  <si>
    <t>LIBYA</t>
  </si>
  <si>
    <t>AN</t>
  </si>
  <si>
    <t>Netherlands Antilles</t>
  </si>
  <si>
    <t>Replace_WucoName_Here</t>
  </si>
  <si>
    <t>MALAWI</t>
  </si>
  <si>
    <t>NI</t>
  </si>
  <si>
    <t>Replace_WucoTitle_Here</t>
  </si>
  <si>
    <t>MALI</t>
  </si>
  <si>
    <t>PA</t>
  </si>
  <si>
    <t>Replace_WucoPhone_here</t>
  </si>
  <si>
    <t>MOROCCO</t>
  </si>
  <si>
    <t>PY</t>
  </si>
  <si>
    <t>ReplaceWucoEmail_Here</t>
  </si>
  <si>
    <t>NAMIBIA</t>
  </si>
  <si>
    <t>PE</t>
  </si>
  <si>
    <t>NIGERIA</t>
  </si>
  <si>
    <t>GS</t>
  </si>
  <si>
    <t>S. Georgia And The S. Sandwich Isl.</t>
  </si>
  <si>
    <t>NEWGAO AAL Template</t>
  </si>
  <si>
    <t>OMAN</t>
  </si>
  <si>
    <t>KN</t>
  </si>
  <si>
    <t>"Replace_AgentName_Here; Replace_ActionDate_Here; Replace_AgentNumber_Here; Replace_AgentEmail_Here; Replace_CompiledFindings_Here; Replace_AgentRep_Here; Replace_WucoName_Here; Replace_WucoDate_Here; ReplaceWUFAX_Here; ReplaceWucoEmail_Here; ReplaceWucoFAX_Here"</t>
  </si>
  <si>
    <t>"Replace_AgentName_Here; Replace_ActionDate_Here; Replace_AgentNumber_Here; Replace_AgentEmail_Here; Replace_AgentRep_Here; Replace_WucoName_Here; Replace_WucoDate_Here; Replace_WUFAX_Here; Replace_WucoEmail_Here; Replace_WucoFAX_Here; Replace_Legend_Here"</t>
  </si>
  <si>
    <t>PAKISTAN</t>
  </si>
  <si>
    <t>LC</t>
  </si>
  <si>
    <t>QATAR</t>
  </si>
  <si>
    <t>SX</t>
  </si>
  <si>
    <t>Saint Marteen</t>
  </si>
  <si>
    <t>RWANDA</t>
  </si>
  <si>
    <t>MF</t>
  </si>
  <si>
    <t>Replace_ActionDate_Here</t>
  </si>
  <si>
    <t>SAUDI ARABIA</t>
  </si>
  <si>
    <t>VC</t>
  </si>
  <si>
    <t>Replace_AgentNumber_Here</t>
  </si>
  <si>
    <t>GUINEA</t>
  </si>
  <si>
    <t>SINT MAARTEN</t>
  </si>
  <si>
    <t>Replace_AgentEmail_Here</t>
  </si>
  <si>
    <t>MADAGASCAR</t>
  </si>
  <si>
    <t>S1</t>
  </si>
  <si>
    <t>St Marteen</t>
  </si>
  <si>
    <t>Replace_AgentRep_Here</t>
  </si>
  <si>
    <t>MOZAMBIQUE</t>
  </si>
  <si>
    <t>SR</t>
  </si>
  <si>
    <t>NIGER</t>
  </si>
  <si>
    <t>TT</t>
  </si>
  <si>
    <t>Replace_WucoDate_Here</t>
  </si>
  <si>
    <t>SIERRA LEONE</t>
  </si>
  <si>
    <t>TC</t>
  </si>
  <si>
    <t>Replace_WUFAX_Here</t>
  </si>
  <si>
    <t>SOUTH AFRICA</t>
  </si>
  <si>
    <t>UY</t>
  </si>
  <si>
    <t>Replace_WucoEmail_Here</t>
  </si>
  <si>
    <t>SOUTH SUDAN</t>
  </si>
  <si>
    <t>VE</t>
  </si>
  <si>
    <t>Replace_WucoFAX_Here</t>
  </si>
  <si>
    <t>TANZANIA, UNITED REPUBLIC OF</t>
  </si>
  <si>
    <t>VIRGIN ISLANDS (BRITISH)</t>
  </si>
  <si>
    <t>Replace_Legend_Here</t>
  </si>
  <si>
    <t>Agent unable to sign due to internal policies.</t>
  </si>
  <si>
    <t>TOGO</t>
  </si>
  <si>
    <t>UNITED STATES OF AMERICA</t>
  </si>
  <si>
    <t>TUNISIA</t>
  </si>
  <si>
    <t>Replace_CompiledFindings_Here</t>
  </si>
  <si>
    <t>UGANDA</t>
  </si>
  <si>
    <t>UNITED ARAB EMIRATES</t>
  </si>
  <si>
    <t>YEMEN</t>
  </si>
  <si>
    <t>AUSTRALIA</t>
  </si>
  <si>
    <t>NEW ZEALAND</t>
  </si>
  <si>
    <t>FEDERATED STATES OF MICRONESIA</t>
  </si>
  <si>
    <t>FIJI</t>
  </si>
  <si>
    <t>TIMOR-LESTE</t>
  </si>
  <si>
    <t>AMERICAN SAMOA</t>
  </si>
  <si>
    <t>TONGA</t>
  </si>
  <si>
    <t>APAC_P2</t>
  </si>
  <si>
    <t>APAC_P3</t>
  </si>
  <si>
    <t>APAC_P4</t>
  </si>
  <si>
    <t>APAC_P5</t>
  </si>
  <si>
    <t>Cote D'ivoire</t>
  </si>
  <si>
    <t>Guinea-bissau</t>
  </si>
  <si>
    <t>Republic of Korea</t>
  </si>
  <si>
    <t>TURK AND CAICOS ISLANDS</t>
  </si>
  <si>
    <t>Sao Tome and Principe</t>
  </si>
  <si>
    <t>NAID</t>
  </si>
  <si>
    <t>Action Completion Date:</t>
  </si>
  <si>
    <t>Agent Action List</t>
  </si>
  <si>
    <t>Nombre del agente:</t>
  </si>
  <si>
    <t>Fecha de finalización:</t>
  </si>
  <si>
    <t>Lista de acciones para el agente</t>
  </si>
  <si>
    <t>Nom de l’agent:</t>
  </si>
  <si>
    <t>Date de réalisation du suivi de l’agent:</t>
  </si>
  <si>
    <t>Liste d’actions de l’agent</t>
  </si>
  <si>
    <t>Nome do correspondente:</t>
  </si>
  <si>
    <t>Data de conclusão da atividade:</t>
  </si>
  <si>
    <t>Lista de ações para o correspondente</t>
  </si>
  <si>
    <t>Agent Number:</t>
  </si>
  <si>
    <t>Agent  Email/Fax:</t>
  </si>
  <si>
    <t>Número de agente:</t>
  </si>
  <si>
    <t>Correo electrónico/Fax del agente:</t>
  </si>
  <si>
    <t>Numéro de l’agent:</t>
  </si>
  <si>
    <t>E-mail/Fax de l’agent:</t>
  </si>
  <si>
    <t>Número de conta:</t>
  </si>
  <si>
    <t>E-mail do correspondente:</t>
  </si>
  <si>
    <t>Independent us</t>
  </si>
  <si>
    <t>Agent Instructions: Items checked below identify corrective actions that are required to be taken to reinforce knowledge and maintain an effective Compliance Program. Please refer to the Global Agent Compliance Program Manual and Anti-Fraud P&amp;P´s.</t>
  </si>
  <si>
    <t>Instrucciones para el agente: Los elementos que se muestran a continuación identifican acciones correctivas que son necesarias para reforzar el conocimiento y mantener un programa de cumplimiento eficaz. Consulte el manual global del programa de cumplimiento para el agente y las políticas y los procedimientos antifraude.</t>
  </si>
  <si>
    <t>Instructions pour l’agent : Les éléments cochés ci-dessous identifient les actions correctives à mettre en place pour renforcer les connaissances en matière de lutte contre le blanchiment d’argent et le financement du terrorisme et maintenir un programme de conformité efficace.
Liste d’actions Veuillez-vous reporter au Manuel mondial des agents sur le programme de conformité et aux politiques et procédures de lutte contre la fraude.</t>
  </si>
  <si>
    <t>Instruções para o correspondente: os itens marcados abaixo identificam as ações corretivas necessárias para reforçar o seu conhecimento e manter um Programa de Compliance adequado. Consulte o Manual de Prevenção à Lavagem de Dinheiro para Correspondentes e a Política e Procedimentos de Prevenção à Fraude.</t>
  </si>
  <si>
    <t>Offset</t>
  </si>
  <si>
    <t>Response Required</t>
  </si>
  <si>
    <t>#</t>
  </si>
  <si>
    <t>Issue</t>
  </si>
  <si>
    <t>REMEDIATION ACTIONS</t>
  </si>
  <si>
    <t>FINDING</t>
  </si>
  <si>
    <t>RESPONSE REQUIRED?</t>
  </si>
  <si>
    <t>Problema</t>
  </si>
  <si>
    <t>ACCIONES CORRECTIVAS</t>
  </si>
  <si>
    <t>HALLAZGO</t>
  </si>
  <si>
    <t>¿RESPUESTA REQUERIDA?</t>
  </si>
  <si>
    <t>ACTIONS DE REMÉDIATION</t>
  </si>
  <si>
    <t>ÉLÉMENT DÉCELÉ</t>
  </si>
  <si>
    <t>SUIVI A METTRE EN PLACE?</t>
  </si>
  <si>
    <t>Nº SEÇÃO</t>
  </si>
  <si>
    <t>AÇÕES CORRETIVAS</t>
  </si>
  <si>
    <t>PONTO</t>
  </si>
  <si>
    <t>RESPOSTA NECESSÁRIA?</t>
  </si>
  <si>
    <t>GENERAL</t>
  </si>
  <si>
    <t>Data errors are required to be reduced to display no or minimal Data Integrity Issues</t>
  </si>
  <si>
    <t>ASPECTOS GENERALES</t>
  </si>
  <si>
    <t>Es necesario reducir los errores en los datos para no mostrar o minimizar los problemas de integridad en la información.</t>
  </si>
  <si>
    <t>INFORMATIONS GÉNÉRALES</t>
  </si>
  <si>
    <t>Réduire les erreurs de saisie des données</t>
  </si>
  <si>
    <t xml:space="preserve"> GERAL</t>
  </si>
  <si>
    <t>Erros de dados precisam ser reduzidos para exibir o mínimo ou nenhum problema de integridade de dados</t>
  </si>
  <si>
    <t>Quality Assurance program to be implemented</t>
  </si>
  <si>
    <t>Se debe implementar un programa de control de calidad</t>
  </si>
  <si>
    <t>Programme d’assurance qualité à mettre en place.</t>
  </si>
  <si>
    <t>Um programa de garantia de qualidade deve ser implementado</t>
  </si>
  <si>
    <t>Oui</t>
  </si>
  <si>
    <t>Non</t>
  </si>
  <si>
    <t>Program to be enhanced to include Independent Testing of the AML/CFT &amp; fraud controls</t>
  </si>
  <si>
    <t>Se debe mejorar el programa para incluir evaluaciones independientes de los controles de fraude y de prevención de lavado de dinero (Anti-Money Laundering, AML) y contra el financiamiento al terrorismo (Counter-Terrorist Financing, CTF)</t>
  </si>
  <si>
    <t>Amélioration du programme d’assurance qualité incluant des tests indépendants sur les contrôles de lutte anti-blanchiment, de répression du financement du terrorisme et de lutte contre la fraude</t>
  </si>
  <si>
    <t>Aprimorar o programa para incluir testes independentes de controles de PLD/CFT e de prevenção à fraude</t>
  </si>
  <si>
    <t>Sim</t>
  </si>
  <si>
    <t>Não</t>
  </si>
  <si>
    <t>Documentation of Independent Testing is required</t>
  </si>
  <si>
    <t>Se necesita documentación de evaluaciones independientes</t>
  </si>
  <si>
    <t>Fournir la documentation liée aux tests LAB / LFT et les contrôles sur la fraude</t>
  </si>
  <si>
    <t>Necessidade de documentação de testes independentes</t>
  </si>
  <si>
    <t>CONSUMER PROTECTION</t>
  </si>
  <si>
    <t>An effective Consumer Protection program is required</t>
  </si>
  <si>
    <t>PROTECCIÓN AL CLIENTE</t>
  </si>
  <si>
    <t>Se debe implementar un programa eficaz de protección al cliente</t>
  </si>
  <si>
    <t>PROTECTION DU CONSOMMATEUR</t>
  </si>
  <si>
    <t>Un programme efficace de protection du consommateur est nécessaire</t>
  </si>
  <si>
    <t>PROTEÇÃO AO
CONSUMIDOR</t>
  </si>
  <si>
    <t>Necessidade de um programa adequado de proteção do consumidor</t>
  </si>
  <si>
    <t>Fraud Awareness materials are required to be:</t>
  </si>
  <si>
    <t>Es necesario que los materiales de concientización sobre el fraude</t>
  </si>
  <si>
    <t>Le matériel anti-fraude doit être ::</t>
  </si>
  <si>
    <t>O material sobre conscientização de fraude deve ser:</t>
  </si>
  <si>
    <t>Distributed to FLAs</t>
  </si>
  <si>
    <t>Se distribuyan a los asociados u operadores de primera línea (Front-Line Associate, FLA)</t>
  </si>
  <si>
    <t>Distribué aux opérateurs</t>
  </si>
  <si>
    <t>Distribuído para os Operadores</t>
  </si>
  <si>
    <t>Displayed at Point of Sale</t>
  </si>
  <si>
    <t>Se exhiban en los puntos de venta</t>
  </si>
  <si>
    <t>Affiché dans le point de vente</t>
  </si>
  <si>
    <t>Estar disponível nos pontos de venda</t>
  </si>
  <si>
    <t>COMPLIANCE OFFICER/DELEGATE</t>
  </si>
  <si>
    <t>The Compliance Officer/Compliance Delegate is required to be:</t>
  </si>
  <si>
    <t>OFICIAL DE CUMPLIMIENTO / DELEGADO</t>
  </si>
  <si>
    <t>Es necesario que el Oficial de Cumplimiento / Delegado:</t>
  </si>
  <si>
    <t>DÉLÉGUÉ À LA CONFORMITÉ</t>
  </si>
  <si>
    <t>Le délégué à la conformité doit être :</t>
  </si>
  <si>
    <t>DIRETOR / RESPONSÁVEL POR COMPLIANCE</t>
  </si>
  <si>
    <t>O diretor / responsável por Compliance deve ser:</t>
  </si>
  <si>
    <t>Designated in writing</t>
  </si>
  <si>
    <t>Esté designado por escrito</t>
  </si>
  <si>
    <t>Désigné par écrit</t>
  </si>
  <si>
    <t>Designado por escrito</t>
  </si>
  <si>
    <t>Trained</t>
  </si>
  <si>
    <t>Esté capacitado</t>
  </si>
  <si>
    <t>Formé</t>
  </si>
  <si>
    <t>Treinado</t>
  </si>
  <si>
    <t>POLICIES &amp; PROCEDURES</t>
  </si>
  <si>
    <t>The Policies &amp; Procedures are required to be:</t>
  </si>
  <si>
    <t>POLÍTICAS Y PROCEDIMIENTOS</t>
  </si>
  <si>
    <t>Es necesario que las Políticas y los Procedimientos:</t>
  </si>
  <si>
    <t>POLITIQUES ET PROCÉDURES</t>
  </si>
  <si>
    <t>Les politiques et procédures doivent être :</t>
  </si>
  <si>
    <t>POLÍTICAS E
PROCEDIMENTOS</t>
  </si>
  <si>
    <t>As políticas e os procedimentos devem:</t>
  </si>
  <si>
    <t>Read/reviewed and approved annually</t>
  </si>
  <si>
    <t>Se lean/revisen y se aprueben anualmente</t>
  </si>
  <si>
    <t>Lues/examinées et approuvées chaque année</t>
  </si>
  <si>
    <t>Ser lidos / revisados e aprovados anualmente</t>
  </si>
  <si>
    <t>Available and retained at each location</t>
  </si>
  <si>
    <t>Estén disponibles y se conserven en cada localidad</t>
  </si>
  <si>
    <t>Mises à disposition et conservées au sein du point de vente</t>
  </si>
  <si>
    <t>Estar sempre disponíveis em cada unidade</t>
  </si>
  <si>
    <t>Created/Updated to meet key Compliance Requirements</t>
  </si>
  <si>
    <t>Se creen/actualicen para cumplir con los requisitos clave de cumplimiento</t>
  </si>
  <si>
    <t>Créées/mises à jour pour répondre aux exigences de conformité</t>
  </si>
  <si>
    <t>Ser elaborados / atualizados para cumprir com as principais exigências de Compliance</t>
  </si>
  <si>
    <t>AML/ANTI-FRAUD TRAINIG (INCLUDING FLA INTERVIEW)</t>
  </si>
  <si>
    <t>(#) ___ employees need to receive initial training</t>
  </si>
  <si>
    <t>CAPACITACIÓN
PLD/ANTIFRAUDE
(INCLUYENDO LA ENTREVISTA DEL FLA)</t>
  </si>
  <si>
    <t>(n.°) _____ empleados deben recibir capacitación inicial</t>
  </si>
  <si>
    <t>FORMATION SUR LA LUTTE CONTRE LE BLANCHIMENT D’ARGENT ETLA LUTTE CONTRE LA FRAUDE (Y COMPRIS LES ENTRETIENS DES OPERATEURS)</t>
  </si>
  <si>
    <t>(#) _____ employés ont besoin de recevoir une formation initiale</t>
  </si>
  <si>
    <t>TREINAMENTO DE PLD /
PREVENÇÃO À FRAUDE
(INCLUINDO ENTREVISTA
COM O OPERADOR)</t>
  </si>
  <si>
    <t>(nº) _____ funcionários devem receber treinamento inicial</t>
  </si>
  <si>
    <t>(#) ___ employees need to receive ongoing training</t>
  </si>
  <si>
    <t>(n.°) _____ empleados deben recibir capacitación continua</t>
  </si>
  <si>
    <t>(#) _____ employés ont besoin de recevoir une formation continue</t>
  </si>
  <si>
    <t>(nº) _____ funcionários devem receber treinamento contínuo</t>
  </si>
  <si>
    <t>Initial training records are required</t>
  </si>
  <si>
    <t>Se requieren registros de capacitación inicial</t>
  </si>
  <si>
    <t>Les registres de formation initiale sont requis</t>
  </si>
  <si>
    <t>Necessidade de registros de treinamento inicial</t>
  </si>
  <si>
    <t>GS7.GQ5
GS7.RQ2</t>
  </si>
  <si>
    <t>Ongoing training records are required</t>
  </si>
  <si>
    <t>Se requieren registros de capacitación continua</t>
  </si>
  <si>
    <t>Les registres de formation continue sont requis</t>
  </si>
  <si>
    <t>Necessidade de registros de treinamento contínuo</t>
  </si>
  <si>
    <t>GS7.GQ2
GS7.GQ3
GS7.GQ4
GS7.GQ7
GS7.GQ9
GS7.GQ11
GS7.GQ13
GS7.GQ16
GS7.GQ17
GS7.GQ19
GS7.RQ2
GS7.RQ3
GS7.RQ4</t>
  </si>
  <si>
    <t>Process implemented for all employees, including FLAs, compliance personnel and management to report suspicious activity</t>
  </si>
  <si>
    <t>REPORTES</t>
  </si>
  <si>
    <t>El proceso se implementó para que todos los empleados, incluidos los FLA, personal de cumplimiento y gerencia, informen actividades inusuales</t>
  </si>
  <si>
    <t>DECLARATION DE TRANSACTIONS SUSPECTES</t>
  </si>
  <si>
    <t>Mettre en place un processus de déclaration de transactions suspectes pour tous les employés, y compris les opérateurs le personnel et la direction de la conformité</t>
  </si>
  <si>
    <t>Implementação de um processo de reporte / denúncia de atividades suspeitas, para todos os funcionários, incluindo operadores, funcionários de Compliance e administração.</t>
  </si>
  <si>
    <t>All locally required reports (including referrals of unusual or suspicious transactions to Western Union) are to be completed and submitted as required</t>
  </si>
  <si>
    <t>Según se requiera, se deben completar y presentar todos los reportes necesarios a nivel local (incluidas las referencias de transacciones sospechosas o inusuales a Western Union)</t>
  </si>
  <si>
    <t>Tous les rapports (y compris les déclarations de transactions suspectes ou inhabituelles à Western Union) doivent être remplis et transmis conformément au processus de déclaration des transactions suspectes</t>
  </si>
  <si>
    <t>Todos os reportes e relatórios exigidos localmente (incluindo reportes de transações incomuns ou suspeitas para a Western Union) devem ser preenchidos e enviados, conforme necessário.</t>
  </si>
  <si>
    <t>TRANSACTION MONITORING</t>
  </si>
  <si>
    <t>Monitoring is required to be:</t>
  </si>
  <si>
    <t>MONITOREO DE TRANSACCIONES</t>
  </si>
  <si>
    <t>Es necesario que el monitoreo:</t>
  </si>
  <si>
    <t>SUIVI DE
TRANSACTIONS</t>
  </si>
  <si>
    <t>LE SUIVI DOIT ÊTRE :</t>
  </si>
  <si>
    <t>MONITORAMENTO DE
TRANSAÇÕES</t>
  </si>
  <si>
    <t>É necessário que o monitoramento seja:</t>
  </si>
  <si>
    <t>Performed</t>
  </si>
  <si>
    <t>Se realice</t>
  </si>
  <si>
    <t>Réalisé</t>
  </si>
  <si>
    <t>Realizado</t>
  </si>
  <si>
    <t>GS9.GQ1
GS9.RQ1</t>
  </si>
  <si>
    <t>Documented</t>
  </si>
  <si>
    <t>Se documente</t>
  </si>
  <si>
    <t>Documenté</t>
  </si>
  <si>
    <t>Documentado</t>
  </si>
  <si>
    <t>Enhanced to detect suspicious activity</t>
  </si>
  <si>
    <t>Se mejore para detectar actividad inusual</t>
  </si>
  <si>
    <t>Amélioré pour détecter les activités douteuses</t>
  </si>
  <si>
    <t>Aperfeiçoado para identificar atividades suspeitas</t>
  </si>
  <si>
    <t>Records are required to:</t>
  </si>
  <si>
    <t>MANTENIMIENTO DE REGISTROS</t>
  </si>
  <si>
    <t>Es necesario que los registros:</t>
  </si>
  <si>
    <t>CONSERVATION DES DOCUMENTS</t>
  </si>
  <si>
    <t>Les documents doivent :</t>
  </si>
  <si>
    <t>MANUTENÇÃO DE
REGISTROS</t>
  </si>
  <si>
    <t>Os registros devem:</t>
  </si>
  <si>
    <t>Include the collection and maintenance of FLA identity records</t>
  </si>
  <si>
    <t>Incluyan la recopilación y el mantenimiento de registros de identidad de los FLA</t>
  </si>
  <si>
    <t>Inclure la collecte, la conservation et la protection des dossiers relatifs à l’identité de l’agent et de tout opérateur</t>
  </si>
  <si>
    <t>Incluir a coleta e manutenção dos dados de identificação do Operador.</t>
  </si>
  <si>
    <t>Comply with the recordkeeping requirements under local regulation and according to WU standards</t>
  </si>
  <si>
    <t>Cumplan con los requisitos de mantenimiento de registros según las regulaciones locales y de acuerdo con los estándares de Western Union</t>
  </si>
  <si>
    <t>Être conformes aux modalités de conservation des dossiers prévues par la réglementation locale et les normes de WU</t>
  </si>
  <si>
    <t>Respeitar as exigências de manutenção de registros da regulamentação local e de acordo com os padrões da WU.</t>
  </si>
  <si>
    <t>Be secured safely and for the requisite retention period</t>
  </si>
  <si>
    <t>Estén protegidos de manera segura y por el periodo de retención requerido</t>
  </si>
  <si>
    <t>Être conservés en lieu sûr durant la période obligatoire de conservation</t>
  </si>
  <si>
    <t>Ser protegidos de forma segura e pelo período de retenção necessário.</t>
  </si>
  <si>
    <t>KYC</t>
  </si>
  <si>
    <t>A comprehensive "Know Your Customer" program is required to:</t>
  </si>
  <si>
    <t>CONOZCA A SU CLIENTE (KNOW YOUR CUSTOMER, KYC)</t>
  </si>
  <si>
    <t>Es necesario que un programa integral KYC</t>
  </si>
  <si>
    <t>CONNAISSANCE DES CLIENTS</t>
  </si>
  <si>
    <t>Un programme « Connaître son client » (Know Your Customer) exhaustif est nécessaire pour :</t>
  </si>
  <si>
    <t>KYC (CONHEÇA SEU
CLIENTE)</t>
  </si>
  <si>
    <t>É necessário um programa de “Conheça seu cliente” (Know Your Customer, KYC) abrangente para:</t>
  </si>
  <si>
    <t>Assure acceptable ID is always current (not expired) and ID photo resembles the customer</t>
  </si>
  <si>
    <t>Garantice que la identificación que se acepta esté vigente (que no haya expirado) y que la foto se asemeje al cliente</t>
  </si>
  <si>
    <t>Vérifier que la pièce d’identité présentée est en cours de validité (non expirée) et que la photo présente sur celle-ci correspond au client</t>
  </si>
  <si>
    <t>Garantir a aceitação de um documento de identificação atualizado e válido, com foto que se assemelhe ao cliente.</t>
  </si>
  <si>
    <t>Assure FLAs enter consumer information completed and correctly in the WU system</t>
  </si>
  <si>
    <t>Garantice que los FLA ingresen la información del cliente de forma completa y correcta en el sistema de Western Union</t>
  </si>
  <si>
    <t>Vérifier que les opérateurs effectuent une saisie complète et correcte des informations client dans le système WU</t>
  </si>
  <si>
    <t>Garantir que os Operadores registrem as informações do cliente no sistema da WU de maneira correta e completa.</t>
  </si>
  <si>
    <t>GS2.GQ4
GS11.GQ3</t>
  </si>
  <si>
    <t>Assure FLAs understand and follow the Enhanced Due Dilligence and Large Principal Money Transfer procedures</t>
  </si>
  <si>
    <t>Garantice que los FLA entiendan y sigan los procedimientos de Debida Diligencia Mejorada y de Transferencias de Dinero de Montos Altos</t>
  </si>
  <si>
    <t>Vérifier que les opérateurs comprennent et respectent les procédures de vigilance renforcées et de transferts d’argent de montant important</t>
  </si>
  <si>
    <t>Garantir que os Operadores compreendam e sigam os procedimentos de diligência aprimorada (Enhanced Due Diligence) e transferência de grandes valores (Large Principal Money Transfer, LPMT)</t>
  </si>
  <si>
    <t>SUB-AGENT MANAGEMENT &amp; OVERSIGHT</t>
  </si>
  <si>
    <t>Sub-agent management requires:</t>
  </si>
  <si>
    <t>GESTIÓN Y SUPERVISIÓN DE SUBAGENTES</t>
  </si>
  <si>
    <t>La gestión de los subagentes debe incluir lo siguiente</t>
  </si>
  <si>
    <t>GESTION DES SOUS- AGENTS</t>
  </si>
  <si>
    <t>La gestion des sous-agents nécessite :</t>
  </si>
  <si>
    <t>GESTÃO E SUPERVISÃO
DE CORRESPONDENTES</t>
  </si>
  <si>
    <t>A gestão de correspondentes exige:</t>
  </si>
  <si>
    <t>Performance of periodic on-site visits reviews of selected Sub-agent locations or network headquarters to review adequacy of the Sub-agent's compliance programs</t>
  </si>
  <si>
    <t>Realización de revisiones periódicas en sitio de subagentes seleccionados o en las oficinas centrales de la red para evaluar la idoneidad de los programas de cumplimiento de los subagentes</t>
  </si>
  <si>
    <t>La réalisation régulière de revues conformité sur les sites ou les sièges de réseaux de sous-agents
sélectionnés afin de vérifier le caractère adéquat du programme de conformité des sous-agents</t>
  </si>
  <si>
    <t>Realização de visitas presenciais para avaliação periódicas em unidades selecionadas de correspondentes ou na sede da rede para avaliar a adequação dos programas de Compliance dos correspondentes.</t>
  </si>
  <si>
    <t>OTHER SPECIFIC REQUIREMENT</t>
  </si>
  <si>
    <t>Ensure employee IDs/user codes/passwords are up to date and unique</t>
  </si>
  <si>
    <t>OTROS REQUISITOS ESPECÍFICOS</t>
  </si>
  <si>
    <t>Garantizar que las identificaciones, códigos de usuarios y contraseñas de los empleados estén actualizados y sean únicos</t>
  </si>
  <si>
    <t>AUTRES
OBLIGATIONS
SPÉCIFIQUES</t>
  </si>
  <si>
    <t>S’assurer que les identifiants/codes/mots de passe des employés sont à jour</t>
  </si>
  <si>
    <t>OUTRAS EXIGÊNCIAS
ESPECÍFICAS</t>
  </si>
  <si>
    <t>Garantir que a identificação / login de usuário / senhas dos funcionários estejam atualizados e sejam exclusivos</t>
  </si>
  <si>
    <t>Ensure state/country-specific requirements are followed</t>
  </si>
  <si>
    <t>Garantizar que se cumplan con los requisitos específicos del estado o del país</t>
  </si>
  <si>
    <t>S’assurer du suivi des exigences spécifiques au pays/à l’État</t>
  </si>
  <si>
    <t>Garantir que as exigências regulamentares específicas do país sejam seguidas</t>
  </si>
  <si>
    <t>Ensure employees trained using/checking F2Zoom or F2 Country information</t>
  </si>
  <si>
    <t>Garantizar que los empleados se capaciten usando/revisando la información del país en F2Zoom o F2</t>
  </si>
  <si>
    <t>S’assurer que les employés soient formés à la vérification des informations pays (F2Zoom)</t>
  </si>
  <si>
    <t>Garantir que o funcionário seja treinado para usar / consultar F2Zoom ou F2 informações do país</t>
  </si>
  <si>
    <t>GS7.GQ15</t>
  </si>
  <si>
    <t>COMMENTS/OTHER</t>
  </si>
  <si>
    <t>COMENTARIOS/OTROS</t>
  </si>
  <si>
    <t>COMMENTAIRES/AUTRE</t>
  </si>
  <si>
    <t>COMENTÁRIOS / OUTROS</t>
  </si>
  <si>
    <r>
      <t xml:space="preserve">Please note: Western Union may determine it necessary to suspend and/or terminate the Western Union services as a result of the visit, considering the number or severity of the detected findings. If this review was conducted off-site a copy of this action list must be signed and returned to the Western union Compliance Officer.
</t>
    </r>
    <r>
      <rPr>
        <sz val="8"/>
        <color theme="1"/>
        <rFont val="Calibri"/>
        <family val="2"/>
        <scheme val="minor"/>
      </rPr>
      <t xml:space="preserve">
</t>
    </r>
    <r>
      <rPr>
        <sz val="11"/>
        <color theme="1"/>
        <rFont val="Calibri"/>
        <family val="2"/>
        <scheme val="minor"/>
      </rPr>
      <t>By signing, I acknowledge that the above information has been reviewed.</t>
    </r>
  </si>
  <si>
    <r>
      <t xml:space="preserve">Tenga en cuenta que: Como resultado de la visita, Western Union puede determinar que es necesario suspender o finalizar los servicios de Western Union, considerando la cantidad de hallazgos que se detecten, o la gravedad de los mismos. Si esta revisión se realiza extra-situ, se debe firmar una copia de esta lista de acciones devolverla al oficial de cumplimiento de Western Union.
</t>
    </r>
    <r>
      <rPr>
        <sz val="8"/>
        <color theme="1"/>
        <rFont val="Calibri"/>
        <family val="2"/>
        <scheme val="minor"/>
      </rPr>
      <t xml:space="preserve">
</t>
    </r>
    <r>
      <rPr>
        <sz val="11"/>
        <color theme="1"/>
        <rFont val="Calibri"/>
        <family val="2"/>
        <scheme val="minor"/>
      </rPr>
      <t>Al firmar, reconozco que la información anterior ha sido revisada</t>
    </r>
  </si>
  <si>
    <r>
      <t xml:space="preserve">Veuillez noter : Western Union peut déterminer qu’il est nécessaire de suspendre et/ou de mettre fin aux services Western Union à l’issue de la visite, compte tenu du nombre ou de la gravité des éléments mis en évidence. Si cet examen a été réalisé en dehors du site, une copie de cette liste d’actions doit être signée et retournée au chargé de la conformité de Western Union.
</t>
    </r>
    <r>
      <rPr>
        <sz val="8"/>
        <color theme="1"/>
        <rFont val="Calibri"/>
        <family val="2"/>
        <scheme val="minor"/>
      </rPr>
      <t xml:space="preserve">
</t>
    </r>
    <r>
      <rPr>
        <sz val="11"/>
        <color theme="1"/>
        <rFont val="Calibri"/>
        <family val="2"/>
        <scheme val="minor"/>
      </rPr>
      <t>Par ma signature, j’atteste avoir passé en revue les informations susmentionnées.</t>
    </r>
  </si>
  <si>
    <r>
      <t xml:space="preserve">Obs.: a Western Union pode avaliar a necessidade de suspender e/ou encerrar os serviços prestados pela Western Union em função da visita, levando em conta a quantidade ou a gravidade dos problemas encontrados. Se esta avaliação ocorreu de forma remota, uma cópia dessa lista de ações deve ser assinada e enviada para o Compliance Officer da Western Union.
</t>
    </r>
    <r>
      <rPr>
        <sz val="8"/>
        <color theme="1"/>
        <rFont val="Calibri"/>
        <family val="2"/>
        <scheme val="minor"/>
      </rPr>
      <t xml:space="preserve">
</t>
    </r>
    <r>
      <rPr>
        <sz val="11"/>
        <color theme="1"/>
        <rFont val="Calibri"/>
        <family val="2"/>
        <scheme val="minor"/>
      </rPr>
      <t>Ao assinar este documento, eu reconheço que as informações acima foram revisadas.</t>
    </r>
  </si>
  <si>
    <t>AGENT REPRESENTATIVE NAME</t>
  </si>
  <si>
    <t>AGENT REPRESENTATIVE SIGNATURE</t>
  </si>
  <si>
    <t>DATE</t>
  </si>
  <si>
    <t>NOMBRE DEL REPRESENTANTE DEL AGENTE</t>
  </si>
  <si>
    <t>FIRMA DEL REPRESENTANTE DEL AGENTE</t>
  </si>
  <si>
    <t>Fecha</t>
  </si>
  <si>
    <t>NOM DE L’AGENT REPRÉSENTANT</t>
  </si>
  <si>
    <t>SIGNATURE DE L’AGENT REPRÉSENTANT</t>
  </si>
  <si>
    <t>NOME DO REPRESENTANTE DO CORRESPONDENTE</t>
  </si>
  <si>
    <t>ASSINATURA DO REPRESENTANTE DO CORRESPONDENTE</t>
  </si>
  <si>
    <t>DATA</t>
  </si>
  <si>
    <t>x</t>
  </si>
  <si>
    <t>WESTERN UNION REPRESENTATIVE NAME</t>
  </si>
  <si>
    <t>WESTERN UNION REPRESENTATIVE SIGNATURE</t>
  </si>
  <si>
    <t>NOMBRE DEL REPRESENTANTE DE WESTERN UNION:</t>
  </si>
  <si>
    <t>FIRMA DEL REPRESENTANTE DE WESTERN UNION:</t>
  </si>
  <si>
    <t>NOM DU CHARGE DE CONFORMITE DE WESTERN UNION</t>
  </si>
  <si>
    <t>SIGNATURE DU CHARGE DE CONFORMITE DE WESTERN UNION</t>
  </si>
  <si>
    <t>NOME DO REPRESENTANTE DA WESTERN UNION</t>
  </si>
  <si>
    <t>ASSINATURA DO REPRESENTANTE DA WESTERN UNION</t>
  </si>
  <si>
    <t xml:space="preserve">PLEASE FAX REQUIRED ITESM TO: </t>
  </si>
  <si>
    <t xml:space="preserve">WESTERN UNION REPRESENTATIVE EMAIL: </t>
  </si>
  <si>
    <t>ENVÍE POR FAX LOS ELEMENTOS REQUERIDOS A:</t>
  </si>
  <si>
    <t>CORREO ELECTRÓNICO DEL REPRESENTANTE DE WESTERN UNION:</t>
  </si>
  <si>
    <t>VEUILLEZ ENVOYER LES ÉLÉMENTS NÉCESSAIRES PAR FAX AU:</t>
  </si>
  <si>
    <t>E-MAIL DU CHARGE DE CONFORMITE DE WESTERN UNION :</t>
  </si>
  <si>
    <t>ENVIAR FAX COM ITENS SOLICITADOS PARA:</t>
  </si>
  <si>
    <t>E-MAIL DO REPRESENTANTE DA WESTERN UNION:</t>
  </si>
  <si>
    <t xml:space="preserve">WESTERN UNION REPRESENTATIVE PHONE: </t>
  </si>
  <si>
    <t>©2018 Western Union Holdings, Inc. All Rights Reserved. CONFIDENTIAL. V1.3_6-19-2018</t>
  </si>
  <si>
    <t>©2018 Western Union Holdings Inc. Todos los derechos reservados. CONFIDENCIAL. V1.3_6-19-2018</t>
  </si>
  <si>
    <t>TELEFONO DEL REPRESENTANTE DE WESTERN UNION:</t>
  </si>
  <si>
    <t>©2018 Western Union Holdings, Inc. Tous droits réservés. CONFIDENTIEL. V1.3_19-06-2018</t>
  </si>
  <si>
    <t>FAX DU CHARGE DE CONFORMITE DE WESTERN UNION:</t>
  </si>
  <si>
    <t>© 2018 Western Union Holdings Inc. Todos os direitos reservados. CONFIDENCIAL. V1.3_6-19-2018</t>
  </si>
  <si>
    <t>FAX DO REPRESENTANTE DA WESTERN UNION:</t>
  </si>
  <si>
    <t>Rows:</t>
  </si>
  <si>
    <t>No Findings found</t>
  </si>
  <si>
    <t>Processing Stage</t>
  </si>
  <si>
    <t>State Province</t>
  </si>
  <si>
    <t>Latest Schedule Date (Log)</t>
  </si>
  <si>
    <t>Interview Completed Date</t>
  </si>
  <si>
    <t>Rescheduled Date</t>
  </si>
  <si>
    <t>Scheduled Date</t>
  </si>
  <si>
    <t>Appointment Status</t>
  </si>
  <si>
    <t>BO Tracking Status</t>
  </si>
  <si>
    <t>FO Attempt Count</t>
  </si>
  <si>
    <t>BO Attempt Count</t>
  </si>
  <si>
    <t>Acct Number(s)</t>
  </si>
  <si>
    <t>Final Off/On Flag</t>
  </si>
  <si>
    <t>Start Quarter</t>
  </si>
  <si>
    <t>FOCO User Name</t>
  </si>
  <si>
    <t>Unique cases</t>
  </si>
  <si>
    <t>Question Number</t>
  </si>
  <si>
    <t>CASE ID</t>
  </si>
  <si>
    <t>SUBJECT NAME</t>
  </si>
  <si>
    <t>INVESTIGATIVE GROUP</t>
  </si>
  <si>
    <t>START DATE</t>
  </si>
  <si>
    <t>LAST MODIFIED DATE</t>
  </si>
  <si>
    <t>STATUS</t>
  </si>
  <si>
    <t>RISK LEVEL DESCRIPTION</t>
  </si>
  <si>
    <t>REFERRAL SOURCE DESCRIPTION</t>
  </si>
  <si>
    <t>SCHEDULED DATE</t>
  </si>
  <si>
    <t>REVIEW DATE</t>
  </si>
  <si>
    <t>LOCATION STATUS FLAG</t>
  </si>
  <si>
    <t>STATE PROVINCE</t>
  </si>
  <si>
    <t>ASSIGNED TO</t>
  </si>
  <si>
    <t>BOCO NAME</t>
  </si>
  <si>
    <t>BUSINESS GROUP ID</t>
  </si>
  <si>
    <t>STATUS DATE</t>
  </si>
  <si>
    <t>M</t>
  </si>
  <si>
    <t>Nothing found</t>
  </si>
  <si>
    <t>Compliance Review Tool (CRT)</t>
  </si>
  <si>
    <t xml:space="preserve">Employee Name: </t>
  </si>
  <si>
    <t>CLASIFICATION</t>
  </si>
  <si>
    <t>PHRASE</t>
  </si>
  <si>
    <t>what_address</t>
  </si>
  <si>
    <t xml:space="preserve">Employee ID: </t>
  </si>
  <si>
    <t>Friday</t>
  </si>
  <si>
    <t>“Oh! It’s Friday again. Share the love that was missing during the week. In a worthy moment of peace and bliss.” —S. O’Sade</t>
  </si>
  <si>
    <t>subject_line</t>
  </si>
  <si>
    <t>CRT Feedback</t>
  </si>
  <si>
    <t>Feedback:</t>
  </si>
  <si>
    <t>VERY HAPPY</t>
  </si>
  <si>
    <t>“Friday sees more smiles than any other day of the workweek!” —Kate Summers</t>
  </si>
  <si>
    <t>mail_body</t>
  </si>
  <si>
    <r>
      <t xml:space="preserve">&lt;b&gt;Hello team,&lt;/b&gt;&lt;BR&gt;
&lt;p&gt;&lt;b&gt;There is feedback provided by:&lt;/b&gt; ReplaceWUCO_Here.&lt;/p&gt;
</t>
    </r>
    <r>
      <rPr>
        <b/>
        <sz val="11"/>
        <color theme="1"/>
        <rFont val="Calibri"/>
        <family val="2"/>
        <scheme val="minor"/>
      </rPr>
      <t>&lt;p&gt;ReplaceString_Here&lt;/p&gt;
&lt;p&gt;Please review it.&lt;/p&gt;</t>
    </r>
  </si>
  <si>
    <t xml:space="preserve">FB_Date : </t>
  </si>
  <si>
    <t>01.19 09:05</t>
  </si>
  <si>
    <t>“Every Friday, I like to high five myself for getting through another week on little more than caffeine, willpower, and inappropriate humor.” —Nanea Hoffman</t>
  </si>
  <si>
    <t xml:space="preserve">FB_text : </t>
  </si>
  <si>
    <t>JJ testing</t>
  </si>
  <si>
    <t>“When you leave work on Friday, leave work. Don’t let technology follow you throughout your weekend (answering text messages and emails). Take a break. You will be more refreshed to begin the workweek if you have had a break.” —Catherine Pulsifer</t>
  </si>
  <si>
    <t xml:space="preserve">Version_Used : </t>
  </si>
  <si>
    <t>“Make Friday a day to celebrate work well done that you can be proud of knowing that you just didn’t put in time to the next paycheck.” —Byron Pulsifer</t>
  </si>
  <si>
    <t xml:space="preserve">Country_Selected : </t>
  </si>
  <si>
    <t>“I challenge you to let every day be a Friday. Permit yourself to be happy every day.” —Joel Osteen</t>
  </si>
  <si>
    <t xml:space="preserve">Questionnaire_Selected : </t>
  </si>
  <si>
    <t>“This Friday, finish your work and be done. Look forward to the weekend and have some fun!” —Kate Summers</t>
  </si>
  <si>
    <t>“Fridays are the hardest in some ways: you’re so close to freedom.” —Lauren Oliver</t>
  </si>
  <si>
    <t>“It’s Friday morning, mankind! Good vibe, don’t frown and let the monster see you smile!” —Napz Cherub Pellazo</t>
  </si>
  <si>
    <t>“Don’t worry about letting the dogs out. It’s Friday! Let them have a great weekend, too.”-Anthony T. Hincks</t>
  </si>
  <si>
    <t>Hustle motivational quotes</t>
  </si>
  <si>
    <t>“No one is to blame for your future situation but yourself. If you want to be successful, then become ‘Successful.’” -Jaymin Shah</t>
  </si>
  <si>
    <t>“Things may come to those who wait, but only the things left by those who hustle.” -Abraham Lincoln</t>
  </si>
  <si>
    <t>“Everything comes to him who hustles while he waits.” -Thomas Edison</t>
  </si>
  <si>
    <t>“Every successful person in the world is a hustler one way or another. We all hustle to get where we need to be. Only a fool would sit around and wait on another man to feed him.” -K’wan</t>
  </si>
  <si>
    <t>“Invest in your dreams. Grind now. Shine later.” -Unknown</t>
  </si>
  <si>
    <t>“Hustlers don’t sleep, they nap.” -Unknown</t>
  </si>
  <si>
    <t>“Greatness only comes before hustle in the dictionary.” -Ross Simmonds</t>
  </si>
  <si>
    <t>“Without hustle, talent will only carry you so far.” -Gary Vaynerchuk</t>
  </si>
  <si>
    <t>“Work like there is someone working 24 hours a day to take it away from you.” -Mark Cuban</t>
  </si>
  <si>
    <t>“Hustle in silence and let your success make the noise.” -Unknown</t>
  </si>
  <si>
    <t>Monday</t>
  </si>
  <si>
    <t>“One day or day one. You decide.” —Unknown</t>
  </si>
  <si>
    <t>“It’s Monday … time to motivate and make dreams and goals happen. Let’s go!” —Heather Stillufsen</t>
  </si>
  <si>
    <t>“It was a Monday and they walked on a tightrope to the sun.” -Marcus Zusak</t>
  </si>
  <si>
    <t>“Goodbye, blue Monday.” -Kurt Vonnegut</t>
  </si>
  <si>
    <t>“So. Monday. We meet again. We will never be friends—but maybe we can move past our mutual enmity toward a more positive partnership.” -Julio-Alexi Genao</t>
  </si>
  <si>
    <t>“When life gives you Monday, dip it in glitter and sparkle all day.” —Ella Woodword</t>
  </si>
  <si>
    <t>“Monday c’est Mon Day.” —Unknown</t>
  </si>
  <si>
    <t>“All Motivation Mondays need are a little more coffee and a lot more mascara.” —Unknown</t>
  </si>
  <si>
    <t>“I’m alive, motivated and ready to slay the day #MONSLAY.” —Unknown</t>
  </si>
  <si>
    <t>ABOUT CHANGE</t>
  </si>
  <si>
    <t>“Be the change that you wish to see in the world.” -Mahatma Gandhi</t>
  </si>
  <si>
    <t>“Never doubt that a small group of thoughtful, committed, citizens can change the world. Indeed, it is the only thing that ever has.”-Margaret Mead</t>
  </si>
  <si>
    <t>“Change is painful, but nothing is as painful as staying stuck somewhere you don’t belong.” -Mandy Hale</t>
  </si>
  <si>
    <t>“Those who cannot change their minds cannot change anything.” -George Bernard Shaw</t>
  </si>
  <si>
    <t>“Everyone thinks of changing the world, but no one thinks of changing himself.” -Leo Tolstoy</t>
  </si>
  <si>
    <t>“Change is the law of life. And those who look only to the past or present are certain to miss the future.” -John F. Kennedy</t>
  </si>
  <si>
    <t>“We delight in the beauty of the butterfly, but rarely admit the changes it has gone through to achieve that beauty.” -Maya Angelou</t>
  </si>
  <si>
    <t>“Dreams are the seeds of change. Nothing ever grows without a seed, and nothing ever changes without a dream.” -Debby Boone</t>
  </si>
  <si>
    <t>“Here’s to the crazy ones. The misfits. The rebels. The troublemakers. The round pegs in the square holes. The ones who see things differently. They’re not fond of rules. And they have no respect for the status quo. You can quote them, disagree with them, glorify or vilify them. About the only thing you can’t do is ignore them. Because they change things. They push the human race forward. And while some may see them as the crazy ones, we see genius. Because the people who are crazy enough to think they can change the world, are the ones who do.” -Rob Siltanen</t>
  </si>
  <si>
    <t>ABOUT FAILURE</t>
  </si>
  <si>
    <t>“You can’t let your failures define you. You have to let your failures teach you.” -Barack Obama</t>
  </si>
  <si>
    <t>“Success is a lousy teacher. It seduces smart people into thinking they can’t lose.” -Bill Gates</t>
  </si>
  <si>
    <t>“Stop being afraid of what could go wrong, and start being excited about what could go right.” -Tony Robbins</t>
  </si>
  <si>
    <t>“Think like a queen. A queen is not afraid to fail. Failure is another stepping stone to greatness.” -Oprah Winfrey</t>
  </si>
  <si>
    <t>“Defeat is a state of mind; no one is ever defeated until defeat is accepted as a reality.” -Bruce Lee</t>
  </si>
  <si>
    <t>“Our greatest glory is not in never falling, but in rising every time we fall.” -Confucius</t>
  </si>
  <si>
    <t>“It is impossible to live without failing at something, unless you live so cautiously that you might as well not have lived at all -in which case, you fail by default.” -J.K. Rowling</t>
  </si>
  <si>
    <t>“Success is going from failure to failure without losing your enthusiasm” -Winston Churchill</t>
  </si>
  <si>
    <t>“Why do we grieve failures longer than we celebrate wins?” -Komal Kapoor</t>
  </si>
  <si>
    <t>“Failure isn’t the end of the road. It’s a big red flag saying to you ‘Wrong way. Turn around.’” -Oprah Winfrey</t>
  </si>
  <si>
    <t>ABOUT LEARNING</t>
  </si>
  <si>
    <t>“A reader lives a thousand lives before he dies. The man who never reads lives only one.”-George R.R. Martin</t>
  </si>
  <si>
    <t>“Never stop learning because life never stops teaching.” —Unknown</t>
  </si>
  <si>
    <t>“If you’re the smartest person in the room, you’re in the wrong room.” -Unknown</t>
  </si>
  <si>
    <t>“The capacity to learn is a gift; the ability to learn is a skill; the willingness to learn is a choice.” -Brian Herbert</t>
  </si>
  <si>
    <t>“The man who does not read has no advantage over the man who cannot read.” -Mark Twain</t>
  </si>
  <si>
    <t>“To learn a language is to have one more window from which to look at the world.” -Chinese Proverb</t>
  </si>
  <si>
    <t>“I’m still learning.” -Michelangelo</t>
  </si>
  <si>
    <t>“Live as if you were to die tomorrow. Learn as if you were to live forever.” -Mahatma Gandhi</t>
  </si>
  <si>
    <t>“Education is the most powerful weapon you can use to change the world.” -Nelson Mandela</t>
  </si>
  <si>
    <t>ABOUT LIFE</t>
  </si>
  <si>
    <t>“No matter what people tell you, words and ideas can change the world.” -Robin Williams</t>
  </si>
  <si>
    <t>“Life is like riding a bicycle. To keep your balance, you must keep moving.” -Albert Einstein</t>
  </si>
  <si>
    <t>“You’re off to Great Places! Today is your day! Your mountain is waiting, so … get on your way!” -Dr. Seuss</t>
  </si>
  <si>
    <t>“When thinking about life, remember this: no amount of guilt can change the past and no amount of anxiety can change the future.” -Unknown</t>
  </si>
  <si>
    <t>“A negative mind will never give you a positive life.” -Unknown</t>
  </si>
  <si>
    <t>“Everything is hard before it is easy.” -Goethe</t>
  </si>
  <si>
    <t>“At the end of the day we can endure much more than we think we can.” -Frida Kahlo</t>
  </si>
  <si>
    <t>“Whatever you do, never run back to what broke you.” -Frank Ocean</t>
  </si>
  <si>
    <t>“Take the risk or lose the chance.” -Unknown</t>
  </si>
  <si>
    <t>“I didn’t learn to be quiet when I had an opinion. The reason they knew who I was is because I told them.” -Ursula Burns</t>
  </si>
  <si>
    <t>ABOUT MONEY</t>
  </si>
  <si>
    <t>“Don’t stay in bed unless you can make money in bed.” -George Burns</t>
  </si>
  <si>
    <t>“You must gain control over your money or the lack of it will forever control you.” -Dave Ramsey</t>
  </si>
  <si>
    <t>“Only buy something that you’d be perfectly happy to hold if the market shuts down for 10 years.” -Warren Buffett</t>
  </si>
  <si>
    <t>“That man is richest whose pleasures are cheapest.” -Henry David Thoreau</t>
  </si>
  <si>
    <t>“Money can’t buy happiness, but it can make you awfully comfortable while you’re being miserable.” -Clare Boothe Luce</t>
  </si>
  <si>
    <t>“Money is only a tool. It will take you wherever you wish, but it will not replace you as the driver.” -Jen Sincero</t>
  </si>
  <si>
    <t>“You’re already a financial trader. You might not think of it in just this way, but if you work for a living, you’re trading your time for money. Frankly, it’s just about the worst trade you can make. Why? You can always get more money, but you can’t get more time.” -Tony Robbins</t>
  </si>
  <si>
    <t>“You can only become truly accomplished at something you love. Don’t make money your goal. Instead pursue the things you love doing and then do them so well that people can’t take their eyes off of you.” -Maya Angelou</t>
  </si>
  <si>
    <t>“Formal education will make you a living; self-education will make you a fortune.” —Jim Rohn</t>
  </si>
  <si>
    <t>ABOUT SUCCESS</t>
  </si>
  <si>
    <t>“Don’t give up, don’t take anything personally, and don’t take no for an answer.” -Sophia Amoruso</t>
  </si>
  <si>
    <t>“Don’t be upset when people reject you. Nice things are rejected all the time by people who can’t afford them.” -Unknown</t>
  </si>
  <si>
    <t>“The secret of change is to focus all your energy, not on fighting the old, but on building the new.” -Socrates</t>
  </si>
  <si>
    <t>“There are two rules for success: 1. Never reveal everything you know.” -Roger H. Lincoln</t>
  </si>
  <si>
    <t>“Your positive action combined with positive thinking results in success.” -Shiv Khera</t>
  </si>
  <si>
    <t>“Success is no accident. It is hard work, perseverance, learning, studying, sacrifice and most of all, love of what you are doing or learning to do” -Pele</t>
  </si>
  <si>
    <t>“If you talk about it, it’s a dream. If you envision it, it’s possible. If you schedule it, it’s real.” -Tony Robbins</t>
  </si>
  <si>
    <t>“Forget your excuses. You either want it bad or don’t want it at all.” -Unknown</t>
  </si>
  <si>
    <t>“The key to success is to start before you are ready.” -Marie Forleo</t>
  </si>
  <si>
    <t>“I want to be remembered as the one who tried.” -Dr. Dorothy Height</t>
  </si>
  <si>
    <t>ABOUT TIME</t>
  </si>
  <si>
    <t>“How to stop time: kiss. How to travel in time: read. How to escape time: music. How to feel time: write. How to release time: breathe.”-Matt Haig</t>
  </si>
  <si>
    <t>“Time is what we want most and what we use worst.” -William Penn</t>
  </si>
  <si>
    <t>“It’s not about having enough time, it’s about making enough time.”-Rachael Bermingham</t>
  </si>
  <si>
    <t>“Time is money.” -Benjamin Franklin</t>
  </si>
  <si>
    <t>“Better three hours too soon than a minute too late.” -William Shakespeare</t>
  </si>
  <si>
    <t>“The trouble is, you think you have time.” —Buddha</t>
  </si>
  <si>
    <t>“The greatest gift you could give someone is your time. Because when you give your time, you are giving a portion of your life you can’t get back.” -Unknown</t>
  </si>
  <si>
    <t>“Punctuality is not just limited to arriving at a place at the right time, it is also about taking actions at the right time.” -Amit Kalantri</t>
  </si>
  <si>
    <t>“Time always exposes what you mean to someone.” -Unknown</t>
  </si>
  <si>
    <t>“After all this time? Always.” -J.K. Rowling</t>
  </si>
  <si>
    <t>ABOUT WINNING</t>
  </si>
  <si>
    <t>“You were born to win, but to be a winner, you must plan to win, prepare to win, and expect to win.” -Zig Ziglar</t>
  </si>
  <si>
    <t>“One thing’s for sure, if you don’t play, you don’t win.” -Kylie Francis</t>
  </si>
  <si>
    <t>“Winning means you’re willing to go longer, work harder, and give more than anyone else.” -Vince Lombardi</t>
  </si>
  <si>
    <t>“Talent wins games, but teamwork wins championships.” -Michael Jordan</t>
  </si>
  <si>
    <t>“When I win and when I lose, I take ownership of it, because I really am in charge of what I do.” -Nicki Minaj</t>
  </si>
  <si>
    <t>“A champion is afraid of losing. Everyone else is afraid of winning.” -Billie Jean King</t>
  </si>
  <si>
    <t>“Competing at the highest level is not about winning. It’s about preparation, courage, understanding, nurturing your people, and heart. Winning is the result.” -Joe Torre</t>
  </si>
  <si>
    <t>“A winner is a dreamer who never gives up.” -Nelson Mandela</t>
  </si>
  <si>
    <t>“The secret of your future is hidden in your daily routine.” -Mike Murdock</t>
  </si>
  <si>
    <t>“Losers quit when they fail. Winners fail until they succeed.” -Robert T. Kiyosaki</t>
  </si>
  <si>
    <t>BEST QUOTES</t>
  </si>
  <si>
    <t>“The best way to predict your future is to create it.” -Abraham Lincoln</t>
  </si>
  <si>
    <t>“Successful people are not gifted; they just work hard, then succeed on purpose.” -G.K. Nielson</t>
  </si>
  <si>
    <t>“Don’t watch the clock; do what it does. Keep going.” -Sam Levenson</t>
  </si>
  <si>
    <t>“You can’t have a million dollar dream on a minimum wage work ethic.” -Unknown</t>
  </si>
  <si>
    <t>“You must do the kind of things you think you cannot do.” -Eleanor Roosevelt</t>
  </si>
  <si>
    <t>“It’s not what you do once in a while, it's what you do day in and day out that makes the difference.” -Jenny Craig</t>
  </si>
  <si>
    <t>“Falling down is how we grow. Staying down is how we die.” -Brian Vaszily</t>
  </si>
  <si>
    <t>“Wealth isn’t about having a lot of money, it's about having a lot of options.” -Chris Rock</t>
  </si>
  <si>
    <t>“There may be people that have more talent than you, but there’s no excuse for anyone to work harder than you.” -Derek Jeter</t>
  </si>
  <si>
    <t>BUSINESS</t>
  </si>
  <si>
    <t>“Focus on being productive instead of busy.” -Tim Ferriss</t>
  </si>
  <si>
    <t>“You don’t need to see the whole staircase, just take the first step.” -Martin Luther King Jr.</t>
  </si>
  <si>
    <t>“It’s not all sunshine and rainbows, but a good amount of it actually is.” -Unknown</t>
  </si>
  <si>
    <t>“When someone says you can’t do it, do it twice and take pictures.” —</t>
  </si>
  <si>
    <t>“I didn’t get there by wishing for it, but by working for it.” -Estée Lauder</t>
  </si>
  <si>
    <t>“She remembered who she was and the game changed.” -Lalah Deliah</t>
  </si>
  <si>
    <t>“If you’re too comfortable, it’s time to move on. Terrified of what’s next? You’re on the right track.” -Susan Fales-Hill</t>
  </si>
  <si>
    <t>“Be happy with what you have while working for what you want.” -Helen Keller</t>
  </si>
  <si>
    <t>“Sunshine all the time makes a desert.” -Arabic proverb</t>
  </si>
  <si>
    <t>“The big lesson in life, baby, is never be scared of anyone or anything.” -Frank Sinatra</t>
  </si>
  <si>
    <t>DEEP</t>
  </si>
  <si>
    <t>“‘You could rattle the stars,’ she whispered. ‘You could do anything, if only you dared. And deep down, you know it, too. That’s what scares you most.’”-Sarah J. Maas</t>
  </si>
  <si>
    <t>“It is only when we take chances when our lives improve. The initial and the most difficult risk that we need to take is to become honest.” -Walter Anderson</t>
  </si>
  <si>
    <t>“The adventure of life is to learn. The purpose of life is to grow. The nature of life is to change. The challenge of life is to overcome. The essence of life is to care. The opportunity of life is to serve. The secret of life is to dare. The spice of life is to befriend. The beauty of life is to give.” -William Arthur Ward</t>
  </si>
  <si>
    <t>“When you know your worth, no one can make you feel worthless.” -Unknown</t>
  </si>
  <si>
    <t>“If you’ve never eaten while crying, you don’t know what life tastes like.” -Johann Wolfgang von Goethe</t>
  </si>
  <si>
    <t>“If you judge people, you have no time to love them.” -Mother Teresa</t>
  </si>
  <si>
    <t>“Once you do know what the question actually is, you’ll know what the answer means.”-Douglas Adams</t>
  </si>
  <si>
    <t>“The two most important days in your life are the day you’re born and the day you find out why.” -Mark Twain</t>
  </si>
  <si>
    <t>“Nothing ever goes away until it teaches us what we need to know.” -Pema Chodron</t>
  </si>
  <si>
    <t>‘We can see through others only when we can see through ourselves.” -Bruce Lee</t>
  </si>
  <si>
    <t>EMPLOYEES</t>
  </si>
  <si>
    <t>“We are what we repeatedly do. Excellence, then, is not an act, but a habit.” -Aristotle</t>
  </si>
  <si>
    <t>“If you’re offered a seat on a rocket ship, don’t ask what seat! Just get on.” -Sheryl Sandberg</t>
  </si>
  <si>
    <t>“I always did something I was a little not ready to do. I think that’s how you grow. When there’s that moment of ‘Wow, I’m not really sure I can do this,’ and you push through those moments, that’s when you have a breakthrough.” -Marissa Mayer</t>
  </si>
  <si>
    <t>“If you hear a voice within you say, ‘You cannot paint,’ then by all means paint, and that voice will be silenced.” -Vincent Van Gogh</t>
  </si>
  <si>
    <t>“How wonderful it is that nobody need wait a single moment before starting to improve the world.” -Anne Frank</t>
  </si>
  <si>
    <t>“Some people want it to happen, some wish it would happen, others make it happen.” -Michael Jordan</t>
  </si>
  <si>
    <t>“Great things are done by a series of small things brought together.” -Vincent Van Gogh</t>
  </si>
  <si>
    <t>“If you hire people just because they can do a job, they’ll work for your money. But if you hire people who believe what you believe, they’ll work for you with blood and sweat and tears.” -Simon Sinek</t>
  </si>
  <si>
    <t>“Very often, a change of self is needed more than a change of scene.’ -A.C. Benson</t>
  </si>
  <si>
    <t>“Leaders can let you fail and yet not let you be a failure.” -Stanley McChrystal</t>
  </si>
  <si>
    <t>“It’s not the load that breaks you down, it’s the way you carry it.” -Lou Holtz</t>
  </si>
  <si>
    <t>Monday motivation quotesSuper motivational quotes</t>
  </si>
  <si>
    <t>“The hard days are what make you stronger.” -Aly Raisman</t>
  </si>
  <si>
    <t>“If you believe it’ll work out, you’ll see opportunities. If you don’t believe it’ll work out, you’ll see obstacles.” -Wayne Dyer</t>
  </si>
  <si>
    <t>“Keep your eyes on the stars, and your feet on the ground.” -Theodore Roosevelt</t>
  </si>
  <si>
    <t>“You can waste your lives drawing lines. Or you can live your life crossing them.” -Shonda Rhimes</t>
  </si>
  <si>
    <t>“You’ve got to get up every morning with determination if you’re going to go to bed with satisfaction.” -George Lorimer</t>
  </si>
  <si>
    <t>“I now tried a new hypothesis: It was possible that I was more in charge of my happiness than I was allowing myself to be.” -Michelle Obama</t>
  </si>
  <si>
    <t>“In a gentle way, you can shake the world.” -Mahatma Gandhi</t>
  </si>
  <si>
    <t>“If opportunity doesn’t knock, build a door.” -Kurt Cobain</t>
  </si>
  <si>
    <t>“Don’t be pushed around by the fears in your mind. Be led by the dreams in your heart.” -Roy T. Bennett</t>
  </si>
  <si>
    <t>“Work hard in silence, let your success be the noise.” -Frank Ocean</t>
  </si>
  <si>
    <t>ENCOURAGING</t>
  </si>
  <si>
    <t>“Sometimes when you’re in a dark place you think you’ve been buried but you’ve actually been planted.” -Christine Caine</t>
  </si>
  <si>
    <t>“Don’t limit your challenges. Challenge your limits.” -Unknown</t>
  </si>
  <si>
    <t>“Whenever you find yourself doubting how far you can go, just remember how far you have come.” -Unknown</t>
  </si>
  <si>
    <t>“Everyone has inside them a piece of good news. The good news is you don’t know how great you can be! How much you can love! What you can accomplish! And what your potential is.” -Anne Frank</t>
  </si>
  <si>
    <t>“Don’t quit yet, the worst moments are usually followed by the most beautiful silver linings. You have to stay strong, remember to keep your head up and remain hopeful.” -Unknown</t>
  </si>
  <si>
    <t>“When written in Chinese the word “crisis” is composed of two characters-one represents danger and the other represents opportunity.” -John F. Kennedy</t>
  </si>
  <si>
    <t>“Good. Better. Best. Never let it rest. ’Til your good is better and your better is best.” -St. Jerome.</t>
  </si>
  <si>
    <t>“In the middle of every difficulty lies opportunity.” -Albert Einstein</t>
  </si>
  <si>
    <t>“Start where you are. Use what you have. Do what you can.” -Arthur Ashe</t>
  </si>
  <si>
    <t>Encouraging Quotes to Motivate YouShort motivational quotes</t>
  </si>
  <si>
    <t>“Dreams don’t work unless you do.” -John C. Maxwell</t>
  </si>
  <si>
    <t>“Go the extra mile. It’s never crowded there.” -Dr. Wayne D. Dyer</t>
  </si>
  <si>
    <t>“Keep your face always toward the sunshine-and shadows will fall behind you.” -Walt Whitman</t>
  </si>
  <si>
    <t>“What defines us is how well we rise after falling.” -Lionel from the movie Maid in Manhattan</t>
  </si>
  <si>
    <t>“H.O.P.E. = Hold On. Pain Ends.” —</t>
  </si>
  <si>
    <t>“Make each day your masterpiece.” -John Wooden</t>
  </si>
  <si>
    <t>“Wherever you go, go with all your heart.” -Confucius</t>
  </si>
  <si>
    <t>“Turn your wounds into wisdom.” -Oprah Winfrey</t>
  </si>
  <si>
    <t>“We can do anything we want to if we stick to it long enough.” -Helen Keller</t>
  </si>
  <si>
    <t>“Begin anywhere.” -John Cage</t>
  </si>
  <si>
    <t>ENTREPRENEUR</t>
  </si>
  <si>
    <t>“All our dreams can come true, if we have the courage to pursue them.” —Walt Disney</t>
  </si>
  <si>
    <t>“The secret of getting ahead is getting started.” —Mark Twain</t>
  </si>
  <si>
    <t>“I’ve missed more than 9,000 shots in my career. I’ve lost almost 300 games. 26 times I’ve been trusted to take the game winning shot and missed. I’ve failed over and over and over again in my life, and that is why I succeed.” —Michael Jordan</t>
  </si>
  <si>
    <t>“Don’t limit yourself. Many people limit themselves to what they think they can do. You can go as far as your mind lets you. What you believe, remember, you can achieve.” —Mary Kay Ash</t>
  </si>
  <si>
    <t>“The best time to plant a tree was 20 years ago. The second best time is now.” -Chinese Proverb</t>
  </si>
  <si>
    <t>“Only the paranoid survive.” —Andy Grove</t>
  </si>
  <si>
    <t>“It’s hard to beat a person who never gives up.” —Babe Ruth</t>
  </si>
  <si>
    <t>“I wake up every morning and think to myself, ‘How far can I push this company in the next 24 hours.’” —Leah Busque</t>
  </si>
  <si>
    <t>“If people are doubting how far you can go, go so far that you can’t hear them anymore.” —Michele Ruiz</t>
  </si>
  <si>
    <t>“We need to accept that we won’t always make the right decisions, that we’ll screw up royally sometimes-understanding that failure is not the opposite of success, it’s part of success.” -Arianna Huffington</t>
  </si>
  <si>
    <t>“Write it. Shoot it. Publish it. Crochet it. Sauté it. Whatever. MAKE.” —Joss Whedon</t>
  </si>
  <si>
    <t>motivational quotes for entrepreneursMotivational quote of the day</t>
  </si>
  <si>
    <t>“You’ve gotta dance like there’s nobody watching, love like you’ll never be hurt, sing like there’s nobody listening, and live like it’s heaven on earth.” —William W. Purkey</t>
  </si>
  <si>
    <t>“Fairy tales are more than true: not because they tell us that dragons exist, but because they tell us that dragons can be beaten.”-Neil Gaiman</t>
  </si>
  <si>
    <t>“Everything you can imagine is real.”-Pablo Picasso</t>
  </si>
  <si>
    <t>“When one door of happiness closes, another opens; but often we look so long at the closed door that we do not see the one which has been opened for us.” -Helen Keller</t>
  </si>
  <si>
    <t>“Do one thing every day that scares you.” -Eleanor Roosevelt</t>
  </si>
  <si>
    <t>“It’s no use going back to yesterday, because I was a different person then.” -Lewis Carroll</t>
  </si>
  <si>
    <t>“Smart people learn from everything and everyone, average people from their experiences, stupid people already have all the answers.” —Socrates</t>
  </si>
  <si>
    <t>“Do what you feel in your heart to be right-for you’ll be criticized anyway.” -Eleanor Roosevelt</t>
  </si>
  <si>
    <t>“Happiness is not something ready made. It comes from your own actions.” -Dalai Lama XIV</t>
  </si>
  <si>
    <t>“Whatever you are, be a good one.” -Abraham Lincoln</t>
  </si>
  <si>
    <t>Quote of the day</t>
  </si>
  <si>
    <t>“The same boiling water that softens the potato hardens the egg. It’s what you’re made of. Not the circumstances.” —Unknown</t>
  </si>
  <si>
    <t>“If we have the attitude that it’s going to be a great day it usually is.” —Catherine Pulsifier</t>
  </si>
  <si>
    <t>“You can either experience the pain of discipline or the pain of regret. The choice is yours.” —Unknown</t>
  </si>
  <si>
    <t>“Impossible is just an opinion.” —Paulo Coelho</t>
  </si>
  <si>
    <t>“Your passion is waiting for your courage to catch up.” —Isabelle Lafleche</t>
  </si>
  <si>
    <t>“Magic is believing in yourself. If you can make that happen, you can make anything happen.” —Johann Wolfgang Von Goethe</t>
  </si>
  <si>
    <t>“If something is important enough, even if the odds are stacked against you, you should still do it.” —Elon Musk</t>
  </si>
  <si>
    <t>“Hold the vision, trust the process.” —Unknown</t>
  </si>
  <si>
    <t>“Don’t be afraid to give up the good to go for the great.” —John D. Rockefeller</t>
  </si>
  <si>
    <t>“People who wonder if the glass is half empty or full miss the point. The glass is refillable.” —Unknown</t>
  </si>
  <si>
    <t>FAMOUS QUOTES</t>
  </si>
  <si>
    <t>“Try not to become a man of success, but rather become a man of value.” -Albert Einstein</t>
  </si>
  <si>
    <t>“If you don’t have a competitive advantage, don’t compete.” -Jack Welch</t>
  </si>
  <si>
    <t>“The only thing standing in the way between you and your goal is the BS story you keep telling yourself as to why you can’t achieve it.” -Jordan Belfort</t>
  </si>
  <si>
    <t>“What is life without a little risk?” -J.K. Rowling</t>
  </si>
  <si>
    <t>“Only do what your heart tells you.” -Princess Diana</t>
  </si>
  <si>
    <t>“If it’s a good idea, go ahead and do it. It’s much easier to apologize than it is to get permission.” -Grace Hopper</t>
  </si>
  <si>
    <t>“I attribute my success to this: I never gave or took an excuse.” -Florence Nightingale</t>
  </si>
  <si>
    <t>“The question isn’t who is going to let me; it’s who is going to stop me.” -Ayn Rand</t>
  </si>
  <si>
    <t>“A surplus of effort could overcome a deficit of confidence.” -Sonia Sotomayer</t>
  </si>
  <si>
    <t>FOR KIDS</t>
  </si>
  <si>
    <t>“Be a fruit loop in a world of Cheerios.” -Unknown</t>
  </si>
  <si>
    <t>“Dream beautiful dreams, and then work to make those dreams come true.” -Spencer W. Kimball</t>
  </si>
  <si>
    <t>“Be the change you want to see in the world.” -Mahatma Gandhi</t>
  </si>
  <si>
    <t>“Believe you can and you will.” -Unknown</t>
  </si>
  <si>
    <t>“Do the right thing even when no one is looking.” -Unknown</t>
  </si>
  <si>
    <t>“Make today the day you learn something new.” –Unknown</t>
  </si>
  <si>
    <t>“Be silly, be honest, be kind.’ -Ralph Waldo Emerson</t>
  </si>
  <si>
    <t>“If you think someone could use a friend. Be one.” -Unknown</t>
  </si>
  <si>
    <t>“It’s not what happens to you but how you react to it that matters.” -Epictetus</t>
  </si>
  <si>
    <t>“You don’t have to be perfect to be amazing.” -Unknown</t>
  </si>
  <si>
    <t>FOR MEN</t>
  </si>
  <si>
    <t>“If your dreams don’t scare you, they are too small.” -Richard Branson</t>
  </si>
  <si>
    <t>“Today is your opportunity to build the tomorrow you want.” -Ken Poirot</t>
  </si>
  <si>
    <t>“What hurts you blesses you.” -Rumi</t>
  </si>
  <si>
    <t>‘Nothing is stronger than a broken man rebuilding himself.” -Unknown</t>
  </si>
  <si>
    <t>“I always thought it was me against the world and then one day I realized it’s just me against me.” -Kendrick Lamar</t>
  </si>
  <si>
    <t>“A man is not finished when he is defeated. He is finished when he quits.” -Richard Nixon</t>
  </si>
  <si>
    <t>“The world is changed by your example, not by your opinion.” -Paulo Coelho</t>
  </si>
  <si>
    <t>“If you don’t build your dream, someone else will hire you to help them build theirs.” -Dhirubhai Ambani</t>
  </si>
  <si>
    <t>“I’m not in this world to live up to your expectations, and you’re not in this world to live up to mine.” -Bruce Lee</t>
  </si>
  <si>
    <t>“What’s right is what’s left if you do everything else wrong.” -Robin Williams</t>
  </si>
  <si>
    <t>FOR OFFICE</t>
  </si>
  <si>
    <t>“You don’t get paid for the hour. You get paid for the value you bring to the hour.” -Jlm Rohn</t>
  </si>
  <si>
    <t>“Be an encourager: When you encourage others, you boost their self-esteem, enhance their self-confidence, make them work harder, lift their spirits and make them successful in their endeavors. Encouragement goes straight to the heart and is always available. Be an encourager. Always.” -Roy T. Bennett</t>
  </si>
  <si>
    <t>“Remember, you have been criticizing yourself for years and it hasn’t worked. Try approving of yourself and see what happens.”  -Louise L. Hay</t>
  </si>
  <si>
    <t>“Work hard and don’t give up hope. Be open to criticism and keep learning. Surround yourself with happy, warm and genuine people.” -Tena Desae</t>
  </si>
  <si>
    <t>“Stay true to yourself, yet always be open to learn. Work hard, and never give up on your dreams, even when nobody else believes they can come true but you. These are not cliches but real tools you need no matter what you do in life to stay focused on your path.” -Phillip Sweet</t>
  </si>
  <si>
    <t>“You can control two things: your work ethic and your attitude about anything.” -Ali Krieger</t>
  </si>
  <si>
    <t>“Success isn’t always about greatness. It’s about consistency. Consistent hard work leads to success. Greatness will come.” -Dwayne Johnson</t>
  </si>
  <si>
    <t>“One, remember to look up at the stars and not down at your feet. Two, never give up work. Work gives you meaning and purpose and life is empty without it. Three, if you are lucky enough to find love, remember it is there and don’t throw it away.” -Stephen Hawking</t>
  </si>
  <si>
    <t>“Some women choose to follow men, and some women choose to follow their dreams. If you’re wondering which way to go, remember that your career will never wake up and tell you that it doesn’t love you anymore.” -Lady Gaga</t>
  </si>
  <si>
    <t>“Read, read, read. Read everything—trash, classics, good and bad, and see how they do it. Just like a carpenter who works as an apprentice and studies the master. Read! You’ll absorb it. Then write. If it’s good, you’ll find out. If it’s not, throw it out of the window.” -William Faulkner</t>
  </si>
  <si>
    <t>FOR STUDENTS</t>
  </si>
  <si>
    <t>“I really appreciate people who correct me, because without them, I might have been repeating mistakes for a long time.” -Mufti Menk</t>
  </si>
  <si>
    <t>“Motivation comes from working on things we care about.” -Sheryl Sandberg</t>
  </si>
  <si>
    <t>“If today you are a little bit better than you were yesterday, then that’s enough.” -David A. Bednar</t>
  </si>
  <si>
    <t>“Education is the most powerful weapon which you can use to change the world.” -Nelson Mandela</t>
  </si>
  <si>
    <t>“If you can’t make a mistake you can’t make anything.” -Marva Collin</t>
  </si>
  <si>
    <t>“Practice makes progress, not perfect.” -Unknown</t>
  </si>
  <si>
    <t>“You may be disappointed if you fail, but you’ll be doomed if you don’t try.” -Beverly Sills</t>
  </si>
  <si>
    <t>“Failure is the tuition you pay for success.” -Walter Brunell</t>
  </si>
  <si>
    <t>“If we wait until we’re ready, we’ll be waiting for the rest of our lives.” -Lemony Snicket</t>
  </si>
  <si>
    <t>“Study while others are sleeping; work while others are loafing; prepare while others are playing; and dream while others are wishing.” -William Arthur Ward</t>
  </si>
  <si>
    <t>FOR SUCCESS</t>
  </si>
  <si>
    <t>“Success is no accident. It is hard work, perseverance, learning, studying, sacrifice and most of all, love of what you are doing or learning to do.” -Pele</t>
  </si>
  <si>
    <t>“Would you like me to give you a formula for success? It’s quite simple, really: Double your rate of failure. You are thinking of failure as the enemy of success. But it isn’t at all. You can be discouraged by failure or you can learn from it, so go ahead and make mistakes. Make all you can. Because remember, that’s where you will find success.” -Thomas J. Watson</t>
  </si>
  <si>
    <t>“Every champion was once a contender that didn’t give up.” -Gabby Douglas</t>
  </si>
  <si>
    <t>“To be a champion, I think you have to see the big picture. It’s not about winning and losing; it’s about every day hard work and about thriving on a challenge. It’s about embracing the pain that you’ll experience at the end of a race and not being afraid. I think people think too hard and get afraid of a certain challenge.” -Summer Sanders</t>
  </si>
  <si>
    <t>Don’t dream about success. Get out there and work for it.</t>
  </si>
  <si>
    <t>“The difference between successful people and very successful people is that very successful people say no to almost everything.” -Warren Buffett</t>
  </si>
  <si>
    <t>“You can cry, scream, and bang your head in frustration but keep pushing forward. It’s worth it.”” —</t>
  </si>
  <si>
    <t>“I hated every minute of training, but I said, ‘Don’t quit. Suffer now and live the rest of your life as a champion.” -Muhammad Ali</t>
  </si>
  <si>
    <t>“Opportunities don’t happen. You create them.” -Chris Grosser</t>
  </si>
  <si>
    <t>“Success is liking yourself, liking what you do, and liking how you do it.” -Maya Angelou</t>
  </si>
  <si>
    <t>Motivational quotes for successMotivational quotes for life</t>
  </si>
  <si>
    <t>“If you obey all the rules, you miss all the fun.” -Katharine Hepburn</t>
  </si>
  <si>
    <t>“You were born to be a player. You were meant to be here. This moment is yours.” -Herb Brooks</t>
  </si>
  <si>
    <t>“Life is not what you alone make it. Life is the input of everyone who touched your life and every experience that entered it. We are all part of one another.” -Yuri Kochiyama</t>
  </si>
  <si>
    <t>“When you reach the end of your rope, tie a knot and hang out.” -Abraham Lincoln</t>
  </si>
  <si>
    <t>“Never regret anything that made you smile.” -Mark Twain</t>
  </si>
  <si>
    <t>“You must do the thing you think you cannot do.” -Eleanor Roosevelt</t>
  </si>
  <si>
    <t>“If you want to fly, give up everything that weighs you down.” -Buddha</t>
  </si>
  <si>
    <t>“Doubt kills more dreams than failure ever will.” -Suzy Kassem</t>
  </si>
  <si>
    <t>“I never lose. Either I win or learn.” -Nelson Mandela</t>
  </si>
  <si>
    <t>“Getting over a painful experience is much like crossing the monkey bars. You have to let go at some point in order to move forward.” -C.S. Lewis</t>
  </si>
  <si>
    <t>FOR WOMEN</t>
  </si>
  <si>
    <t>“On my own I will just create and if it works, it works. And if it doesn’t, I’ll just create something else. I don’t have any limitations on what I think I could do or be.” -Oprah Winfrey</t>
  </si>
  <si>
    <t>“We realize the importance of our voices only when we are silenced.” -Malala Yousafzai</t>
  </si>
  <si>
    <t>“Don’t compromise yourself. You’re all you’ve got.” -Janis Joplin</t>
  </si>
  <si>
    <t>“When something I can’t control happens, I ask myself: Where is the hidden gift? Where is the positive in this?” -Sara Blakely</t>
  </si>
  <si>
    <t>“Doubt is a killer. You just have to know who you are and what you stand for. “ -Jennifer Lopez</t>
  </si>
  <si>
    <t>“Be a first rate version of yourself, not a second rate version of someone else.” -Judy Garland</t>
  </si>
  <si>
    <t>“Learn from the mistakes of others. You can’t live long enough to make them all yourself.” -Eleanor Roosevelt</t>
  </si>
  <si>
    <t>“I was smart enough to go through any door that opened.” -Joan Rivers</t>
  </si>
  <si>
    <t>“Done is better than perfect.” -Sheryl Sandberg</t>
  </si>
  <si>
    <t>FROM BOOKS</t>
  </si>
  <si>
    <t>“And, when you want something, all the universe conspires in helping you to achieve it.”-Paulo Coelho, The Alchemist</t>
  </si>
  <si>
    <t>“Your playing small does not serve the world. There is nothing enlightened about shrinking so that other people won’t feel insecure around you. We are all meant to shine, as children do.” -Marianne Williamson, A Return to Love: Reflections on the Principles of “A Course in Miracles”</t>
  </si>
  <si>
    <t>“Don’t think or judge, just listen.”-Sarah Dessen, Just Listen</t>
  </si>
  <si>
    <t>“I can be changed by what happens to me. But I refuse to be reduced by it.” -Maya Angelou, Letter to My Daughter</t>
  </si>
  <si>
    <t>“Darkness cannot drive out darkness: only light can do that. Hate cannot drive out hate: only love can do that.” -Martin Luther King Jr., A Testament of Hope: The Essential Writings and Speeches</t>
  </si>
  <si>
    <t>“You have brains in your head. You have feet in your shoes. You can steer yourself any direction you choose. You’re on your own. And you know what you know. And YOU are the one who’ll decide where to go…”-Dr. Seuss, Oh, the Places You’ll Go!</t>
  </si>
  <si>
    <t>“It’s the possibility of having a dream come true that makes life interesting.” -Paulo Coelho, The Alchemist</t>
  </si>
  <si>
    <t>“There is some good in this world, and it’s worth fighting for.” -J.R.R. Tolkien, The Two Towers</t>
  </si>
  <si>
    <t>“Learn to light a candle in the darkest moments of someone’s life. Be the light that helps others see; it is what gives life its deepest significance.”-Roy T. Bennett, The Light in the Heart</t>
  </si>
  <si>
    <t>“Atticus, he was real nice.” “Most people are, Scout, when you finally see them.”-Harper Lee, To Kill a Mockingbird</t>
  </si>
  <si>
    <t>FROM MOVIES</t>
  </si>
  <si>
    <t>“Oh yes, the past can hurt. But the way I see it, you can either run from it or learn from it.” -The Lion King</t>
  </si>
  <si>
    <t>“We’re on the brink of adventure, children. Don’t spoil it with questions.” -Mary Poppins</t>
  </si>
  <si>
    <t>“Life moves pretty fast. You don’t stop and look around once in a while, you could miss it.”-Ferris Bueller’s Day Off</t>
  </si>
  <si>
    <t>“I just wanna let them know that they didn’t break me.” -Pretty in Pink</t>
  </si>
  <si>
    <t>“I’m going to make him an offer he can’t refuse.” -The Godfather</t>
  </si>
  <si>
    <t>“No one has ever made a difference by being like everyone else.” -The Greatest Showman</t>
  </si>
  <si>
    <t>“Spend a little more time trying to do something with yourself and a little less time trying to impress people.” -The Breakfast Club</t>
  </si>
  <si>
    <t>“The problem is not the problem. The problem is your attitude about the problem.” -Pirates of the Caribbean</t>
  </si>
  <si>
    <t>“Remember you’re the one who can fill the world with sunshine.” -Snow White and the Seven Dwarfs</t>
  </si>
  <si>
    <t>“You’ll have bad times, but it’ll always wake you up to the good stuff you weren’t paying attention to.” -Good Will Hunting</t>
  </si>
  <si>
    <t>FROM SONGS</t>
  </si>
  <si>
    <t>“And when you get the choice to sit it out or dance … I hope you dance.” -”I Hope You Dance,” Lee Ann Womack</t>
  </si>
  <si>
    <t>“Just because it burns doesn’t mean you’re gonna die you’ve gotta get up and try.” -”Try,” P!nk</t>
  </si>
  <si>
    <t>“Life’s a game made for everyone and love is the prize” -”Wake Me Up,” Avicii</t>
  </si>
  <si>
    <t>“It’s a new dawn, it’s a new day, it’s a life for me and I’m feeling good.” -”Feeling Good,” Michael Buble</t>
  </si>
  <si>
    <t>“Today is where your book begins, the rest is still unwritten.” -”Unwritten,” Natasha Bedingfield</t>
  </si>
  <si>
    <t>“It’s my life. It’s now or never. I ain’t gonna live forever. I just want to live while I’m alive.” -”It’s My Life,” Bon Jovi</t>
  </si>
  <si>
    <t>“I could build a castle out of all the bricks they threw at me.” -”New Romantics,” Taylor Swift</t>
  </si>
  <si>
    <t>“Cause the grass is greener under me bright as technicolor, I can tell that you can see.” -”Sorry Not Sorry,” Demi Lovato</t>
  </si>
  <si>
    <t>“Every day women and men become legends.” -”Glory,” John Legend and Common</t>
  </si>
  <si>
    <t>FUNNY</t>
  </si>
  <si>
    <t>“Always be careful when you follow the masses. Sometimes the “m” is silent.” -Unknown</t>
  </si>
  <si>
    <t>Never let anyone treat you like you’re regular glue. You’re glitter glue.</t>
  </si>
  <si>
    <t>“If you fall-I’ll be there.” -Floor</t>
  </si>
  <si>
    <t>“When Plan A doesn’t work, don’t worry, you still have 25 more letters to go through.” -Unknown</t>
  </si>
  <si>
    <t>“If you think you’re too small to make a difference, try sleeping with a mosquito.” -Dalai Lama</t>
  </si>
  <si>
    <t>“If at first you don’t succeed, then skydiving isn’t for you.” -Steven Wright</t>
  </si>
  <si>
    <t>“A diamond is merely a lump of coal that did well under pressure.” -Unknown</t>
  </si>
  <si>
    <t>“I find television very educational. Every time someone turns it on, I go in the other room and read a book.’ -Groucho Marx</t>
  </si>
  <si>
    <t>“Opportunity does not knock, it presents itself when you beat down the door.” -Kyle Chandler</t>
  </si>
  <si>
    <t>“I have not failed. I’ve just found 10,000 ways that won’t work.” -Thomas A. Edison</t>
  </si>
  <si>
    <t>INSPIRATIONAL</t>
  </si>
  <si>
    <t>“I am thankful for all of those who said NO to me. It’s because of them I’m doing it myself.” -Wayne W. Dyer</t>
  </si>
  <si>
    <t>“It’s OK to outgrow people who don’t grow. Grow tall anyways.” -Unknown</t>
  </si>
  <si>
    <t>“When you feel like giving up just remember that there are a lot of people you still have to prove wrong.” -Unknown</t>
  </si>
  <si>
    <t>“The world is full of nice people. If you can’t find one, be one.” -Nishan Panwar</t>
  </si>
  <si>
    <t>“Believe in yourself, take on your challenges, dig deep within yourself to conquer fears. Never let anyone bring you down. You got to keep going.” -Chantal Sutherland</t>
  </si>
  <si>
    <t>“A walk to a nearby park may give you more energy and inspiration in life than spending two hours in front of a screen.” -Tsang Lindsay</t>
  </si>
  <si>
    <t>“If you can’t do anything about it then let it go. Don’t be a prisoner to things you can’t change.” -Tony Gaskins</t>
  </si>
  <si>
    <t>“You can’t go back and change the beginning, but you can start where you are and change the ending.” -C.S. Lewis</t>
  </si>
  <si>
    <t>“Yesterday I was clever, so I wanted to change the world. Today I am wise, so I am changing myself.” -Rumi</t>
  </si>
  <si>
    <t>“I can and I will. Watch me.” -Carrie Green</t>
  </si>
  <si>
    <t>MOTIVATE YOURSELF</t>
  </si>
  <si>
    <t>How to motivate yourself: 3 simple tricks.
1. Create a positive environment:
Music can be as powerful a motivator as motivational quotes. 
Each morning when you wake up, play a few pump-up songs before you start your day to get you going. You can listen to productivity music to help you get going. By getting in the right mindset, you can inch closer to motivating yourself.
When I want to get in the zone, I listen to “Time” by Hans Zimmer, which has no lyrics but has an intensity that helps me focus. If I'm feeling like I’m in a rut, motivational songs like “You’re a Superstar” by Love Inc. pick me up.</t>
  </si>
  <si>
    <t xml:space="preserve">How to motivate yourself: 3 simple tricks.
2. Celebrate your small wins:
When you think of your big goal, sometimes you start feeling overwhelmed. Why? Because big goals don’t get achieved right away. Instead, create mini-goals to help excite you along the way. This way, you can be more goal oriented and build a habit of being more effective. 
Celebrating your small wins will help you stay motivated through your journey. Plus, celebrating is always super fun. Maybe you break your goal down to 10 small-sized goals with tasks that get you on track to achieve them.
For each of the 10 goals, you can add a small celebration. Maybe a glass of champagne for one or a dessert with a sparkler on top for another. Don’t forget to check out some of our motivational quotes about success. </t>
  </si>
  <si>
    <t>How to motivate yourself: 3 simple tricks:
3. Surround yourself With motivated people
John Rohn once said, “You’re the average of the five people you spend the most time with.” Whether or not that’s true is debatable. The reality is being around the right kind of people can only help you grow. 
If you’re surrounded by those who love your ambition, you’ll be more ambitious and achieve more. If you’re surrounded by loved ones who tell you your goals are stupid and tell you to change them, use that as motivation to prove them wrong.
Be around those who help you feel comfortable being the ambitious, go-getter you are, so you can become the successful person you’re meant to be.</t>
  </si>
  <si>
    <t>Use inspirational quotes to supercharge your life:
Motivational quotes are just the first step of your journey to becoming more motivated. Bookmark this page to keep you motivated on days when you need an extra kick to keep you going. You’ve got what it takes to push you through any challenge you may face. 
Whether you’re looking to accomplish a massive goal or complete a project, motivator quotes can help remind you why you’re doing it. The most important thing to remember is that the greatest source of motivation will come from you. It’s time to go get what you deserve.</t>
  </si>
  <si>
    <t>MOTIVATIONAL</t>
  </si>
  <si>
    <t>“You’re so much stronger than your excuses.” -Unknown</t>
  </si>
  <si>
    <t>“Don’t compare yourself to others. Be like the sun and the moon and shine when it’s your time.” -Unknown</t>
  </si>
  <si>
    <t>“Don’t tell everyone your plans, instead show them your results.” -Unknown</t>
  </si>
  <si>
    <t>“I choose to make the rest of my life the best of my life.” -Louise Hay</t>
  </si>
  <si>
    <t>“Nothing can dim the light that shines from within.” -Maya Angelou</t>
  </si>
  <si>
    <t>“Be so good they can’t ignore you.” -Steve Martin</t>
  </si>
  <si>
    <t>“Take criticism seriously, but not personally. If there is truth or merit in the criticism, try to learn from it. Otherwise, let it roll right off you.” -Hillary Clinton</t>
  </si>
  <si>
    <t>“This is a reminder to you to create your own rule book, and live your life the way you want it.” -Reese Evans</t>
  </si>
  <si>
    <t>“If you don’t get out of the box you’ve been raised in, you won’t understand how much bigger the world is.” -Angelina Jolie</t>
  </si>
  <si>
    <t>MOTIVATOR</t>
  </si>
  <si>
    <t>“It is never too late to be what you might have been.” -George Eliot</t>
  </si>
  <si>
    <t>“Words can inspire, thoughts can provoke, but only action truly brings you closer to your dreams.” -Brad Sugars</t>
  </si>
  <si>
    <t>“Don’t stop when you are tired. Stop when you are done.” -Unknown</t>
  </si>
  <si>
    <t>“Don’t tell people about your dreams. Show them your dreams.” -Unknown</t>
  </si>
  <si>
    <t>“Revenge is a powerful motivator.” -Marcus Luttrell</t>
  </si>
  <si>
    <t>“Motivation may be what starts you off, but it’s habit that keeps you going back for more.”  -Miya Yamanouchi</t>
  </si>
  <si>
    <t>“I will not erase all my hard work this week because it’s the weekend.” -Unknown</t>
  </si>
  <si>
    <t>“It might not be easy, but it’ll be worth it.” -Unknown</t>
  </si>
  <si>
    <t>“Make your fear of losing your greatest motivator.” -Unknown</t>
  </si>
  <si>
    <t>“You will never always be motivated, so you must learn to be disciplined.” —Unknown</t>
  </si>
  <si>
    <t>“I’m not a product of my circumstances. I am a product of my decisions.” -Stephen Covey</t>
  </si>
  <si>
    <t>OF THE DAY</t>
  </si>
  <si>
    <t>“Never regret a day in your life. Good days bring you happiness and bad days give you experience.” -Unknown</t>
  </si>
  <si>
    <t>“Either you run the day, or the day runs you.” -Jim Rohn</t>
  </si>
  <si>
    <t>“Only I can change my life. No one can do it for me.” -Carol Burnett</t>
  </si>
  <si>
    <t>“Life is 10% what happens to you and 90% how you react to it.” -Charles R. Swindoll</t>
  </si>
  <si>
    <t>“Act as if what you do makes a difference. It does.” -William James</t>
  </si>
  <si>
    <t>"When the pain of an obstacle is too great, challenge yourself to be stronger." -</t>
  </si>
  <si>
    <t>“Even if you’re on the right track, you’ll get run over if you just sit there.” -Will Rogers</t>
  </si>
  <si>
    <t>“Very little is needed to make a happy life; it is all within yourself, in your way of thinking.” -Marcus Aurelius</t>
  </si>
  <si>
    <t>“Life is either a daring adventure or nothing at all.” —Helen Keller</t>
  </si>
  <si>
    <t>“The woman who follows the crowd will usually go no further than the crowd. The woman who walks alone is likely to find herself in places no one has been before.’ -Albert Einstein</t>
  </si>
  <si>
    <t>“Life’s like a movie, write your own ending. Keep believing, keep pretending.” -Jim Henson</t>
  </si>
  <si>
    <t>POSITIVE QUOTES</t>
  </si>
  <si>
    <t>“What is coming is better than what is gone.” -Unknown</t>
  </si>
  <si>
    <t>“Attitude is a choice. Happiness is a choice. Optimism is a choice. Kindness is a choice. Giving is a choice. Respect is a choice. Whatever choice you make, makes you. Choose wisely.” -Roy T. Bennett</t>
  </si>
  <si>
    <t>“Dwell on the beauty of life. Watch the stars, and see yourself running with them.” -Marcus Aurelius</t>
  </si>
  <si>
    <t>“Do something today that your future self will thank you for.” —Unknown</t>
  </si>
  <si>
    <t>“The greatest weapon against stress is the ability to choose one thought over another.” -William James</t>
  </si>
  <si>
    <t>“It takes nothing to join the crowd. It takes everything to stand alone.” -Hans F. Hansen</t>
  </si>
  <si>
    <t>“Your mind is powerful. When you fill it with positive thoughts your whole world will change.” -Unknown</t>
  </si>
  <si>
    <t>“Your only limit is your mind.” -Unknown</t>
  </si>
  <si>
    <t>“Stop being afraid of what can go wrong and start being positive about what can go right.” -Unknown</t>
  </si>
  <si>
    <t>“The difference between who you are and who you want to be is what you do.” -Unknown</t>
  </si>
  <si>
    <t>STARTING NEW YEAR</t>
  </si>
  <si>
    <t>“Some people want it to happen, some wish it would happen, others make it happen.” —Michael Jordan</t>
  </si>
  <si>
    <t>“If you don’t like the road you’re walking, start paving another one.” —Dolly Parton</t>
  </si>
  <si>
    <t>“In order to be irreplaceable, one must always be different.” —Coco Chanel</t>
  </si>
  <si>
    <t>“Doubt is a killer. You just have to know who you are and what you stand for.” —Jennifer Lopez</t>
  </si>
  <si>
    <t>“No one changes the world who isn’t obsessed.” —Billie Jean King</t>
  </si>
  <si>
    <t>“What you do makes a difference, and you have to decide what kind of difference you want to make.” —Jane Goodall</t>
  </si>
  <si>
    <t>“You’ll never get bored when you try something new. There’s really no limit to what you can do." —Dr. Seuss</t>
  </si>
  <si>
    <t>“People’s passion and desire for authenticity is strong.” —Constance Wu</t>
  </si>
  <si>
    <t>“I learned a long time ago that there is something worse than missing the goal, and that’s not pulling the trigger.” —Mia Hamm</t>
  </si>
  <si>
    <t>SUCCESS</t>
  </si>
  <si>
    <t>“The best revenge is massive success.” -Frank Sinatra</t>
  </si>
  <si>
    <t>“What’s on the other side of fear? Nothing.” -Jamie Foxx</t>
  </si>
  <si>
    <t>“Quitters never win. Winners never quit!” —Dr. Irene C. Kassorla</t>
  </si>
  <si>
    <t>“It’s not your salary that makes you rich, it’s your spending habits.” -Charles A. Jaffe</t>
  </si>
  <si>
    <t>“If there is no wind, row.” -Latin Proverb</t>
  </si>
  <si>
    <t>“It’s never too late for a new beginning in your life.” -Joyce Meyers</t>
  </si>
  <si>
    <t>“Action is the foundational key to all success.” -Pablo Picasso</t>
  </si>
  <si>
    <t>“I never dreamt of success. I worked for it.” -Estée Lauder</t>
  </si>
  <si>
    <t>“A goal is a dream with a deadline.” -Napoleon Hill</t>
  </si>
  <si>
    <t>WORK</t>
  </si>
  <si>
    <t>“Don’t say you don’t have enough time. You have exactly the same number of hours per day that were given to Helen Keller, Pasteur, Michelangelo, Mother Teresa, Leonardo da Vinci, Thomas Jefferson, and Albert Einstein.” -H. Jackson Brown Jr.</t>
  </si>
  <si>
    <t>“Hard work beats talent when talent doesn’t work hard.” -Tim Notke</t>
  </si>
  <si>
    <t>“If everything seems to be under control, you’re not going fast enough.” -Mario Andretti</t>
  </si>
  <si>
    <t>“Opportunity is missed by most people because it is dressed in overalls and looks like work.” -Thomas Edison</t>
  </si>
  <si>
    <t>“The only difference between ordinary and extraordinary is that little extra.” -Jimmy Johnson</t>
  </si>
  <si>
    <t>“The best way to appreciate your job is to imagine yourself without one.” -Oscar Wilde</t>
  </si>
  <si>
    <t>“Unsuccessful people make their decisions based on their current situations. Successful people make their decisions based on where they want to be.” -Benjamin Hardy</t>
  </si>
  <si>
    <t>“Never stop doing your best just because someone doesn’t give you credit.” -Kamari aka Lyrikal</t>
  </si>
  <si>
    <t>“Work hard for what you want because it won’t come to you without a fight. You have to be strong and courageous and know that you can do anything you put your mind to. If somebody puts you down or criticizes you, just keep on believing in yourself and turn it into something positive.” -Leah LaBelle</t>
  </si>
  <si>
    <t>motivational quotes for workQuote of the day for work</t>
  </si>
  <si>
    <t>“The miracle is not that we do this work, but that we are happy to do it.” -Mother Teresa</t>
  </si>
  <si>
    <t>“Never give up on a dream just because of the time it will take to accomplish it. The time will pass anyway.” -Earl Nightingale</t>
  </si>
  <si>
    <t>“If you work on something a little bit every day, you end up with something that is massive.” -Kenneth Goldsmith</t>
  </si>
  <si>
    <t>“The big secret in life is that there is no secret. Whatever your goal, you can get there if you’re willing to work.” -Oprah Winfrey</t>
  </si>
  <si>
    <t>“If you cannot do great things, do small things in a great way.” -Napoleon Hill</t>
  </si>
  <si>
    <t>“Never allow a person to tell you no who doesn’t have the power to say yes.” -Eleanor Roosevelt</t>
  </si>
  <si>
    <t>“At any given moment you have the power to say: this is not how the story is going to end.” -Unknown</t>
  </si>
  <si>
    <t>“Amateus sit around and wait for inspiration. The rest of us just get up and go to work.” -Stephen King</t>
  </si>
  <si>
    <t>“Your work is going to fill a large part of your life, and the only way to be truly satisfied is to do what you believe is great work. And the only way to do great work is to love what you do. If you haven’t found it yet, keep looking. Don’t settle. As with all matters of the heart, you’ll know when you find it.” -Steve Jobs</t>
  </si>
  <si>
    <t>“Nothing will work unless you do.” -Maya Angelou</t>
  </si>
  <si>
    <t>YOU CAN DO IT</t>
  </si>
  <si>
    <t>“Do the best you can. No one can do more than that.” -John Wooden</t>
  </si>
  <si>
    <t>“Do what you can, with what you have, where you are.” -Theodore Roosevelt</t>
  </si>
  <si>
    <t>‘It’s never too late to be what you might’ve been.” -George Eliot</t>
  </si>
  <si>
    <t>“If you can dream it, you can do it.” -Walt Disney</t>
  </si>
  <si>
    <t>“Trust yourself that you can do it and get it.” -Baz Luhrmann</t>
  </si>
  <si>
    <t>“Don’t let what you can’t do interfere with what you can do.” -Unknown</t>
  </si>
  <si>
    <t>“You can do anything you set your mind to.” -Benjamin Franklin</t>
  </si>
  <si>
    <t>“All we can do is the best we can do.” -David Axelrod</t>
  </si>
  <si>
    <t>“You never know what you can do until you try.” -William Cobbett</t>
  </si>
  <si>
    <t>“Twenty years from now you’ll be more disappointed by the things you did not do than the ones you did.” -Mark Twain</t>
  </si>
  <si>
    <t>Questionnaire Type</t>
  </si>
  <si>
    <t>Countries</t>
  </si>
  <si>
    <t>Find DB where Loc info is</t>
  </si>
  <si>
    <t>United States</t>
  </si>
  <si>
    <t>LACA COMPLIANCE</t>
  </si>
  <si>
    <t>Nicole Aguilar</t>
  </si>
  <si>
    <t xml:space="preserve"> 732 694 1420 </t>
  </si>
  <si>
    <t>Nickole.aguilarnavarro@westernunion.com</t>
  </si>
  <si>
    <t xml:space="preserve">roruiz </t>
  </si>
  <si>
    <t xml:space="preserve">Ronald Ruiz Gomez </t>
  </si>
  <si>
    <t>732 694 1420</t>
  </si>
  <si>
    <t>Ronald.Ruiz@westernunion.com</t>
  </si>
  <si>
    <t>Compliance Officer ll</t>
  </si>
  <si>
    <t>enter manually</t>
  </si>
  <si>
    <t>Ronald Ruiz Gomez</t>
  </si>
  <si>
    <t>Carlos Eduardo</t>
  </si>
  <si>
    <t>carlos.cedillo@progressa.mx</t>
  </si>
  <si>
    <t>10000002179028</t>
  </si>
  <si>
    <t>BODESA SAPI DE CV OUTBOUND</t>
  </si>
  <si>
    <t>TIENDA MUEBLERIA EL BODEGON AY</t>
  </si>
  <si>
    <t>MX02X</t>
  </si>
  <si>
    <t>HIDALGO EJE ORIENTE 163</t>
  </si>
  <si>
    <t>CENTRO</t>
  </si>
  <si>
    <t>AYOTLAN</t>
  </si>
  <si>
    <t>JALISCO</t>
  </si>
  <si>
    <t>Retail</t>
  </si>
  <si>
    <t>ABDP ABMT DRDP ELPU MBLM MTRN MTRW MXND QCSS QPAY RMSB RMSP RMSS</t>
  </si>
  <si>
    <t>BODESA SAPI DE CV</t>
  </si>
  <si>
    <t>MXV2W</t>
  </si>
  <si>
    <t>VME580355</t>
  </si>
  <si>
    <t>VGMX</t>
  </si>
  <si>
    <t>MX02W</t>
  </si>
  <si>
    <t>AME900357</t>
  </si>
  <si>
    <t>ABDP ABMT DRDP ELPU MBLM MTRN MTRW MXND QCSH QCSP RMSB RMSP RMSS</t>
  </si>
  <si>
    <t>MXO2W</t>
  </si>
  <si>
    <t>OME100359</t>
  </si>
  <si>
    <t>ABDP ABMT DRDP ELPU MBLM MTRN MTRW MXND QCSH RMSB RMSP RMSS</t>
  </si>
  <si>
    <t>AME920355 &amp; VME580355 &amp; AME900357 &amp; OME100359</t>
  </si>
  <si>
    <t>Carlos Eduardo
carlos.cedillo@progressa.mx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</si>
</sst>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F800]dddd\,\ mmmm\ dd\,\ yyyy"/>
  </numFmts>
  <fonts count="93">
    <font>
      <sz val="11"/>
      <color theme="1"/>
      <name val="Calibri"/>
      <family val="2"/>
      <scheme val="minor"/>
    </font>
    <font>
      <b/>
      <sz val="10"/>
      <name val="PP Eiko Italic Black)"/>
    </font>
    <font>
      <b/>
      <sz val="11"/>
      <name val="Calibri"/>
      <family val="2"/>
      <scheme val="minor"/>
    </font>
    <font>
      <sz val="11"/>
      <name val="Calibri"/>
      <family val="2"/>
      <scheme val="minor"/>
    </font>
    <font>
      <u/>
      <sz val="11"/>
      <name val="Calibri"/>
      <family val="2"/>
      <scheme val="minor"/>
    </font>
    <font>
      <u/>
      <sz val="11"/>
      <color theme="10"/>
      <name val="Calibri"/>
      <family val="2"/>
      <scheme val="minor"/>
    </font>
    <font>
      <b/>
      <sz val="9"/>
      <name val="PP Eiko Italic Black)"/>
    </font>
    <font>
      <b/>
      <sz val="12"/>
      <name val="Calibri"/>
      <family val="2"/>
      <scheme val="minor"/>
    </font>
    <font>
      <sz val="10"/>
      <name val="Calibri"/>
      <family val="2"/>
      <scheme val="minor"/>
    </font>
    <font>
      <b/>
      <sz val="9"/>
      <color indexed="81"/>
      <name val="Tahoma"/>
      <family val="2"/>
    </font>
    <font>
      <b/>
      <sz val="10"/>
      <name val="Calibri"/>
      <family val="2"/>
      <scheme val="minor"/>
    </font>
    <font>
      <b/>
      <sz val="8"/>
      <name val="Calibri"/>
      <family val="2"/>
      <scheme val="minor"/>
    </font>
    <font>
      <sz val="9"/>
      <color theme="1"/>
      <name val="Calibri"/>
      <family val="2"/>
      <scheme val="minor"/>
    </font>
    <font>
      <b/>
      <sz val="11"/>
      <color theme="1"/>
      <name val="Calibri"/>
      <family val="2"/>
      <scheme val="minor"/>
    </font>
    <font>
      <b/>
      <sz val="13"/>
      <name val="Calibri"/>
      <family val="2"/>
      <scheme val="minor"/>
    </font>
    <font>
      <b/>
      <sz val="14"/>
      <name val="Calibri"/>
      <family val="2"/>
      <scheme val="minor"/>
    </font>
    <font>
      <b/>
      <sz val="10"/>
      <color theme="0"/>
      <name val="Calibri"/>
      <family val="2"/>
      <scheme val="minor"/>
    </font>
    <font>
      <b/>
      <sz val="9"/>
      <color theme="1"/>
      <name val="Calibri"/>
      <family val="2"/>
      <scheme val="minor"/>
    </font>
    <font>
      <b/>
      <sz val="12"/>
      <color theme="1"/>
      <name val="Calibri"/>
      <family val="2"/>
      <scheme val="minor"/>
    </font>
    <font>
      <b/>
      <sz val="12"/>
      <name val="PP Eiko Italic Black)"/>
    </font>
    <font>
      <b/>
      <sz val="11"/>
      <name val="PP Eiko Italic Black)"/>
    </font>
    <font>
      <sz val="10"/>
      <color theme="1"/>
      <name val="Calibri"/>
      <family val="2"/>
      <scheme val="minor"/>
    </font>
    <font>
      <sz val="10"/>
      <color theme="0"/>
      <name val="Calibri"/>
      <family val="2"/>
      <scheme val="minor"/>
    </font>
    <font>
      <sz val="11"/>
      <color rgb="FF9C0006"/>
      <name val="Calibri"/>
      <family val="2"/>
      <scheme val="minor"/>
    </font>
    <font>
      <b/>
      <sz val="10"/>
      <color rgb="FF9C0006"/>
      <name val="Calibri"/>
      <family val="2"/>
      <scheme val="minor"/>
    </font>
    <font>
      <sz val="11"/>
      <color rgb="FF006100"/>
      <name val="Calibri"/>
      <family val="2"/>
      <scheme val="minor"/>
    </font>
    <font>
      <sz val="11"/>
      <color rgb="FF9C5700"/>
      <name val="Calibri"/>
      <family val="2"/>
      <scheme val="minor"/>
    </font>
    <font>
      <b/>
      <sz val="11"/>
      <color rgb="FF3F3F3F"/>
      <name val="Calibri"/>
      <family val="2"/>
      <scheme val="minor"/>
    </font>
    <font>
      <b/>
      <sz val="9"/>
      <color theme="8" tint="-0.249977111117893"/>
      <name val="Calibri"/>
      <family val="2"/>
      <scheme val="minor"/>
    </font>
    <font>
      <sz val="9"/>
      <name val="Calibri"/>
      <family val="2"/>
      <scheme val="minor"/>
    </font>
    <font>
      <sz val="8"/>
      <name val="Calibri"/>
      <family val="2"/>
      <scheme val="minor"/>
    </font>
    <font>
      <sz val="9"/>
      <color rgb="FFFF0000"/>
      <name val="Calibri"/>
      <family val="2"/>
      <scheme val="minor"/>
    </font>
    <font>
      <b/>
      <sz val="18"/>
      <name val="Calibri"/>
      <family val="2"/>
      <scheme val="minor"/>
    </font>
    <font>
      <b/>
      <sz val="16"/>
      <name val="Calibri"/>
      <family val="2"/>
      <scheme val="minor"/>
    </font>
    <font>
      <u/>
      <sz val="10"/>
      <color theme="8" tint="-0.249977111117893"/>
      <name val="Calibri"/>
      <family val="2"/>
      <scheme val="minor"/>
    </font>
    <font>
      <sz val="10"/>
      <name val="Arial"/>
      <family val="2"/>
    </font>
    <font>
      <b/>
      <sz val="11"/>
      <color theme="0"/>
      <name val="Calibri"/>
      <family val="2"/>
      <scheme val="minor"/>
    </font>
    <font>
      <sz val="11"/>
      <color theme="0"/>
      <name val="Calibri"/>
      <family val="2"/>
      <scheme val="minor"/>
    </font>
    <font>
      <b/>
      <sz val="11"/>
      <color rgb="FFFF0000"/>
      <name val="Calibri"/>
      <family val="2"/>
      <scheme val="minor"/>
    </font>
    <font>
      <sz val="11"/>
      <color rgb="FFFF0000"/>
      <name val="Calibri"/>
      <family val="2"/>
      <scheme val="minor"/>
    </font>
    <font>
      <b/>
      <sz val="18"/>
      <color theme="1"/>
      <name val="Calibri"/>
      <family val="2"/>
      <scheme val="minor"/>
    </font>
    <font>
      <b/>
      <sz val="9"/>
      <name val="Calibri"/>
      <family val="2"/>
      <scheme val="minor"/>
    </font>
    <font>
      <sz val="9"/>
      <color theme="0"/>
      <name val="Calibri"/>
      <family val="2"/>
      <scheme val="minor"/>
    </font>
    <font>
      <sz val="11"/>
      <color theme="1"/>
      <name val="Calibri"/>
      <family val="2"/>
      <scheme val="minor"/>
    </font>
    <font>
      <sz val="9.6999999999999993"/>
      <color theme="1"/>
      <name val="Calibri"/>
      <family val="2"/>
      <scheme val="minor"/>
    </font>
    <font>
      <sz val="10"/>
      <color rgb="FF000000"/>
      <name val="Calibri"/>
      <family val="2"/>
      <scheme val="minor"/>
    </font>
    <font>
      <sz val="10"/>
      <color rgb="FF000000"/>
      <name val="Calibri"/>
      <family val="2"/>
      <charset val="2"/>
      <scheme val="minor"/>
    </font>
    <font>
      <sz val="8"/>
      <color rgb="FF000000"/>
      <name val="Symbol"/>
      <family val="1"/>
      <charset val="2"/>
    </font>
    <font>
      <sz val="10"/>
      <color rgb="FF000000"/>
      <name val="Symbol"/>
      <family val="1"/>
      <charset val="2"/>
    </font>
    <font>
      <b/>
      <sz val="10"/>
      <color rgb="FF000000"/>
      <name val="Calibri"/>
      <family val="2"/>
      <scheme val="minor"/>
    </font>
    <font>
      <sz val="6"/>
      <color rgb="FF000000"/>
      <name val="Calibri"/>
      <family val="2"/>
      <scheme val="minor"/>
    </font>
    <font>
      <b/>
      <sz val="10"/>
      <color rgb="FF000000"/>
      <name val="Symbol"/>
      <family val="1"/>
      <charset val="2"/>
    </font>
    <font>
      <sz val="10"/>
      <color rgb="FF000000"/>
      <name val="Calibri"/>
      <family val="1"/>
      <charset val="2"/>
      <scheme val="minor"/>
    </font>
    <font>
      <sz val="4"/>
      <color rgb="FF000000"/>
      <name val="Calibri"/>
      <family val="2"/>
      <scheme val="minor"/>
    </font>
    <font>
      <b/>
      <sz val="10"/>
      <color theme="1"/>
      <name val="Calibri"/>
      <family val="2"/>
      <scheme val="minor"/>
    </font>
    <font>
      <sz val="9.6999999999999993"/>
      <color rgb="FF000000"/>
      <name val="Calibri"/>
      <family val="2"/>
      <scheme val="minor"/>
    </font>
    <font>
      <b/>
      <sz val="9.6999999999999993"/>
      <color rgb="FF000000"/>
      <name val="Calibri"/>
      <family val="2"/>
      <scheme val="minor"/>
    </font>
    <font>
      <b/>
      <sz val="8"/>
      <color theme="1"/>
      <name val="Calibri"/>
      <family val="2"/>
      <scheme val="minor"/>
    </font>
    <font>
      <sz val="5"/>
      <color rgb="FF000000"/>
      <name val="Calibri"/>
      <family val="2"/>
      <scheme val="minor"/>
    </font>
    <font>
      <b/>
      <sz val="5"/>
      <color rgb="FF000000"/>
      <name val="Calibri"/>
      <family val="2"/>
      <scheme val="minor"/>
    </font>
    <font>
      <sz val="8"/>
      <color theme="1"/>
      <name val="Calibri"/>
      <family val="2"/>
      <scheme val="minor"/>
    </font>
    <font>
      <sz val="5"/>
      <color theme="1"/>
      <name val="Calibri"/>
      <family val="2"/>
      <scheme val="minor"/>
    </font>
    <font>
      <sz val="9.5"/>
      <color theme="1"/>
      <name val="Calibri"/>
      <family val="2"/>
      <scheme val="minor"/>
    </font>
    <font>
      <sz val="9.6999999999999993"/>
      <name val="Calibri"/>
      <family val="2"/>
      <scheme val="minor"/>
    </font>
    <font>
      <u/>
      <sz val="10"/>
      <name val="Calibri"/>
      <family val="2"/>
      <scheme val="minor"/>
    </font>
    <font>
      <u/>
      <sz val="9.6999999999999993"/>
      <name val="Calibri"/>
      <family val="2"/>
      <scheme val="minor"/>
    </font>
    <font>
      <sz val="8"/>
      <color theme="0" tint="-0.499984740745262"/>
      <name val="Times New Roman"/>
      <family val="1"/>
    </font>
    <font>
      <b/>
      <sz val="9"/>
      <color rgb="FF000000"/>
      <name val="Calibri"/>
      <family val="2"/>
    </font>
    <font>
      <b/>
      <sz val="9"/>
      <color theme="1"/>
      <name val="Calibri"/>
      <family val="2"/>
    </font>
    <font>
      <b/>
      <sz val="9"/>
      <color theme="0"/>
      <name val="Calibri"/>
      <family val="2"/>
      <scheme val="minor"/>
    </font>
    <font>
      <b/>
      <sz val="7"/>
      <color theme="0"/>
      <name val="Calibri"/>
      <family val="2"/>
      <scheme val="minor"/>
    </font>
    <font>
      <b/>
      <sz val="10"/>
      <color rgb="FF000000"/>
      <name val="Calibri"/>
      <family val="1"/>
      <charset val="2"/>
      <scheme val="minor"/>
    </font>
    <font>
      <sz val="10"/>
      <color rgb="FFFF0000"/>
      <name val="Calibri"/>
      <family val="2"/>
      <scheme val="minor"/>
    </font>
    <font>
      <sz val="18"/>
      <color rgb="FFFF0000"/>
      <name val="Calibri"/>
      <family val="2"/>
      <scheme val="minor"/>
    </font>
    <font>
      <sz val="10"/>
      <color rgb="FF000000"/>
      <name val="Segoe UI"/>
      <family val="2"/>
    </font>
    <font>
      <b/>
      <sz val="11"/>
      <color rgb="FF9C0006"/>
      <name val="Calibri"/>
      <family val="2"/>
      <scheme val="minor"/>
    </font>
    <font>
      <sz val="12"/>
      <name val="Calibri"/>
      <family val="2"/>
      <scheme val="minor"/>
    </font>
    <font>
      <sz val="14"/>
      <color theme="1"/>
      <name val="Calibri"/>
      <family val="2"/>
      <scheme val="minor"/>
    </font>
    <font>
      <sz val="12"/>
      <color theme="1"/>
      <name val="Calibri"/>
      <family val="2"/>
      <scheme val="minor"/>
    </font>
    <font>
      <b/>
      <i/>
      <sz val="10"/>
      <name val="Calibri"/>
      <family val="2"/>
      <scheme val="minor"/>
    </font>
    <font>
      <sz val="8"/>
      <color theme="1"/>
      <name val="Calibri"/>
      <family val="2"/>
    </font>
    <font>
      <b/>
      <sz val="9.5"/>
      <color theme="1"/>
      <name val="Calibri"/>
      <family val="2"/>
      <scheme val="minor"/>
    </font>
    <font>
      <b/>
      <sz val="20"/>
      <color theme="1"/>
      <name val="Calibri"/>
      <family val="2"/>
      <scheme val="minor"/>
    </font>
    <font>
      <sz val="12"/>
      <color rgb="FF006100"/>
      <name val="Calibri"/>
      <family val="2"/>
      <scheme val="minor"/>
    </font>
    <font>
      <b/>
      <u/>
      <sz val="14"/>
      <name val="Calibri"/>
      <family val="2"/>
      <scheme val="minor"/>
    </font>
    <font>
      <u/>
      <sz val="11"/>
      <color theme="0"/>
      <name val="Calibri"/>
      <family val="2"/>
      <scheme val="minor"/>
    </font>
    <font>
      <b/>
      <sz val="10"/>
      <color theme="4" tint="-0.249977111117893"/>
      <name val="Calibri"/>
      <family val="2"/>
      <scheme val="minor"/>
    </font>
    <font>
      <b/>
      <sz val="16"/>
      <color theme="0"/>
      <name val="Calibri"/>
      <family val="2"/>
      <scheme val="minor"/>
    </font>
    <font>
      <sz val="24"/>
      <color theme="0"/>
      <name val="Calibri"/>
      <family val="2"/>
      <scheme val="minor"/>
    </font>
    <font>
      <sz val="10"/>
      <color rgb="FF545454"/>
      <name val="Calibri"/>
      <family val="2"/>
      <scheme val="minor"/>
    </font>
    <font>
      <sz val="9"/>
      <color indexed="81"/>
      <name val="Tahoma"/>
      <family val="2"/>
    </font>
    <font>
      <b/>
      <sz val="12"/>
      <name val="Aptos"/>
      <family val="2"/>
      <charset val="1"/>
    </font>
    <font>
      <sz val="11"/>
      <color theme="1"/>
      <name val="Aptos"/>
      <family val="2"/>
    </font>
  </fonts>
  <fills count="40">
    <fill>
      <patternFill patternType="none"/>
    </fill>
    <fill>
      <patternFill patternType="gray125"/>
    </fill>
    <fill>
      <patternFill patternType="solid">
        <fgColor rgb="FFFEDD00"/>
        <bgColor theme="0"/>
      </patternFill>
    </fill>
    <fill>
      <patternFill patternType="solid">
        <fgColor theme="0"/>
        <bgColor theme="7" tint="0.79998168889431442"/>
      </patternFill>
    </fill>
    <fill>
      <patternFill patternType="lightTrellis">
        <fgColor theme="0"/>
        <bgColor rgb="FFF9CF00"/>
      </patternFill>
    </fill>
    <fill>
      <patternFill patternType="solid">
        <fgColor theme="0"/>
        <bgColor indexed="64"/>
      </patternFill>
    </fill>
    <fill>
      <patternFill patternType="solid">
        <fgColor rgb="FFF9CF00"/>
        <bgColor indexed="64"/>
      </patternFill>
    </fill>
    <fill>
      <patternFill patternType="solid">
        <fgColor rgb="FFFEDD00"/>
        <bgColor theme="7"/>
      </patternFill>
    </fill>
    <fill>
      <patternFill patternType="solid">
        <fgColor rgb="FFFEDD00"/>
        <bgColor indexed="64"/>
      </patternFill>
    </fill>
    <fill>
      <patternFill patternType="solid">
        <fgColor rgb="FFFFFF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FFC7CE"/>
      </patternFill>
    </fill>
    <fill>
      <patternFill patternType="solid">
        <fgColor theme="7"/>
        <bgColor theme="7"/>
      </patternFill>
    </fill>
    <fill>
      <patternFill patternType="solid">
        <fgColor rgb="FFFFFF00"/>
        <bgColor theme="7"/>
      </patternFill>
    </fill>
    <fill>
      <patternFill patternType="solid">
        <fgColor rgb="FFC6EFCE"/>
      </patternFill>
    </fill>
    <fill>
      <patternFill patternType="solid">
        <fgColor rgb="FFFFEB9C"/>
      </patternFill>
    </fill>
    <fill>
      <patternFill patternType="solid">
        <fgColor rgb="FFF2F2F2"/>
      </patternFill>
    </fill>
    <fill>
      <patternFill patternType="solid">
        <fgColor theme="2" tint="-0.249977111117893"/>
        <bgColor indexed="64"/>
      </patternFill>
    </fill>
    <fill>
      <gradientFill degree="270">
        <stop position="0">
          <color theme="0" tint="-5.0965910824915313E-2"/>
        </stop>
        <stop position="1">
          <color rgb="FFC1C0BB"/>
        </stop>
      </gradientFill>
    </fill>
    <fill>
      <patternFill patternType="solid">
        <fgColor theme="4"/>
        <bgColor theme="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2" tint="-0.499984740745262"/>
        <bgColor indexed="64"/>
      </patternFill>
    </fill>
    <fill>
      <patternFill patternType="solid">
        <fgColor theme="4" tint="0.79998168889431442"/>
        <bgColor theme="4" tint="0.79998168889431442"/>
      </patternFill>
    </fill>
    <fill>
      <patternFill patternType="solid">
        <fgColor rgb="FFFFDA65"/>
        <bgColor indexed="64"/>
      </patternFill>
    </fill>
    <fill>
      <patternFill patternType="solid">
        <fgColor theme="7" tint="0.79998168889431442"/>
        <bgColor indexed="64"/>
      </patternFill>
    </fill>
    <fill>
      <patternFill patternType="solid">
        <fgColor theme="5"/>
        <bgColor theme="5"/>
      </patternFill>
    </fill>
    <fill>
      <gradientFill degree="90">
        <stop position="0">
          <color rgb="FFE7E7E5"/>
        </stop>
        <stop position="1">
          <color rgb="FF9099A2"/>
        </stop>
      </gradientFill>
    </fill>
    <fill>
      <patternFill patternType="solid">
        <fgColor theme="1"/>
        <bgColor indexed="64"/>
      </patternFill>
    </fill>
    <fill>
      <patternFill patternType="solid">
        <fgColor rgb="FFDAF1FE"/>
        <bgColor indexed="64"/>
      </patternFill>
    </fill>
    <fill>
      <patternFill patternType="solid">
        <fgColor rgb="FF515151"/>
        <bgColor indexed="64"/>
      </patternFill>
    </fill>
    <fill>
      <patternFill patternType="solid">
        <fgColor theme="8" tint="0.79998168889431442"/>
        <bgColor indexed="64"/>
      </patternFill>
    </fill>
    <fill>
      <patternFill patternType="solid">
        <fgColor rgb="FFFF5757"/>
        <bgColor indexed="64"/>
      </patternFill>
    </fill>
  </fills>
  <borders count="85">
    <border>
      <left/>
      <right/>
      <top/>
      <bottom/>
      <diagonal/>
    </border>
    <border>
      <left style="medium">
        <color indexed="64"/>
      </left>
      <right style="medium">
        <color indexed="64"/>
      </right>
      <top style="medium">
        <color indexed="64"/>
      </top>
      <bottom style="medium">
        <color indexed="64"/>
      </bottom>
      <diagonal/>
    </border>
    <border>
      <left/>
      <right style="thin">
        <color theme="6"/>
      </right>
      <top/>
      <bottom style="medium">
        <color indexed="64"/>
      </bottom>
      <diagonal/>
    </border>
    <border>
      <left style="thin">
        <color theme="6"/>
      </left>
      <right style="thin">
        <color theme="6"/>
      </right>
      <top/>
      <bottom style="medium">
        <color indexed="64"/>
      </bottom>
      <diagonal/>
    </border>
    <border>
      <left style="thin">
        <color theme="6"/>
      </left>
      <right style="medium">
        <color indexed="64"/>
      </right>
      <top/>
      <bottom style="medium">
        <color indexed="64"/>
      </bottom>
      <diagonal/>
    </border>
    <border>
      <left style="thin">
        <color theme="6"/>
      </left>
      <right style="thin">
        <color theme="6"/>
      </right>
      <top/>
      <bottom style="medium">
        <color theme="6"/>
      </bottom>
      <diagonal/>
    </border>
    <border>
      <left style="thin">
        <color theme="6"/>
      </left>
      <right/>
      <top/>
      <bottom style="medium">
        <color theme="6"/>
      </bottom>
      <diagonal/>
    </border>
    <border>
      <left/>
      <right style="thin">
        <color theme="6"/>
      </right>
      <top style="thin">
        <color theme="6"/>
      </top>
      <bottom/>
      <diagonal/>
    </border>
    <border>
      <left style="thin">
        <color theme="6"/>
      </left>
      <right style="thin">
        <color theme="6"/>
      </right>
      <top style="thin">
        <color theme="6"/>
      </top>
      <bottom/>
      <diagonal/>
    </border>
    <border>
      <left style="thin">
        <color theme="6"/>
      </left>
      <right style="medium">
        <color indexed="64"/>
      </right>
      <top style="thin">
        <color theme="6"/>
      </top>
      <bottom/>
      <diagonal/>
    </border>
    <border>
      <left style="thin">
        <color theme="6"/>
      </left>
      <right/>
      <top style="thin">
        <color theme="6"/>
      </top>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top/>
      <bottom style="thin">
        <color theme="0" tint="-0.14996795556505021"/>
      </bottom>
      <diagonal/>
    </border>
    <border>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medium">
        <color indexed="64"/>
      </right>
      <top style="thin">
        <color theme="0" tint="-0.14996795556505021"/>
      </top>
      <bottom/>
      <diagonal/>
    </border>
    <border>
      <left/>
      <right/>
      <top style="thin">
        <color theme="0" tint="-0.14996795556505021"/>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theme="6"/>
      </right>
      <top style="medium">
        <color indexed="64"/>
      </top>
      <bottom style="medium">
        <color indexed="64"/>
      </bottom>
      <diagonal/>
    </border>
    <border>
      <left style="medium">
        <color indexed="64"/>
      </left>
      <right/>
      <top style="medium">
        <color indexed="64"/>
      </top>
      <bottom/>
      <diagonal/>
    </border>
    <border>
      <left style="thin">
        <color theme="6"/>
      </left>
      <right style="thin">
        <color theme="6"/>
      </right>
      <top style="medium">
        <color indexed="64"/>
      </top>
      <bottom style="medium">
        <color indexed="64"/>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style="medium">
        <color indexed="64"/>
      </left>
      <right style="medium">
        <color indexed="64"/>
      </right>
      <top style="thin">
        <color theme="6"/>
      </top>
      <bottom style="medium">
        <color indexed="64"/>
      </bottom>
      <diagonal/>
    </border>
    <border>
      <left style="thin">
        <color theme="6"/>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right/>
      <top style="medium">
        <color indexed="64"/>
      </top>
      <bottom style="medium">
        <color indexed="64"/>
      </bottom>
      <diagonal/>
    </border>
    <border>
      <left style="medium">
        <color indexed="64"/>
      </left>
      <right style="thin">
        <color theme="0" tint="-0.14996795556505021"/>
      </right>
      <top style="medium">
        <color indexed="64"/>
      </top>
      <bottom/>
      <diagonal/>
    </border>
    <border>
      <left style="thin">
        <color theme="0" tint="-0.14996795556505021"/>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rgb="FF3F3F3F"/>
      </left>
      <right style="thin">
        <color rgb="FF3F3F3F"/>
      </right>
      <top style="thin">
        <color rgb="FF3F3F3F"/>
      </top>
      <bottom style="thin">
        <color rgb="FF3F3F3F"/>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medium">
        <color indexed="64"/>
      </left>
      <right style="medium">
        <color indexed="64"/>
      </right>
      <top style="medium">
        <color indexed="64"/>
      </top>
      <bottom/>
      <diagonal/>
    </border>
    <border>
      <left style="thin">
        <color rgb="FF7F7F7F"/>
      </left>
      <right style="thin">
        <color rgb="FF7F7F7F"/>
      </right>
      <top style="thin">
        <color rgb="FF7F7F7F"/>
      </top>
      <bottom style="thin">
        <color rgb="FF7F7F7F"/>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theme="7" tint="0.39997558519241921"/>
      </left>
      <right/>
      <top/>
      <bottom style="thin">
        <color theme="7" tint="0.39997558519241921"/>
      </bottom>
      <diagonal/>
    </border>
    <border>
      <left/>
      <right/>
      <top/>
      <bottom style="thin">
        <color theme="7" tint="0.39997558519241921"/>
      </bottom>
      <diagonal/>
    </border>
    <border>
      <left/>
      <right style="thin">
        <color theme="7" tint="0.39997558519241921"/>
      </right>
      <top/>
      <bottom style="thin">
        <color theme="7" tint="0.39997558519241921"/>
      </bottom>
      <diagonal/>
    </border>
    <border>
      <left style="double">
        <color rgb="FF3F3F3F"/>
      </left>
      <right style="double">
        <color rgb="FF3F3F3F"/>
      </right>
      <top style="double">
        <color rgb="FF3F3F3F"/>
      </top>
      <bottom style="double">
        <color rgb="FF3F3F3F"/>
      </bottom>
      <diagonal/>
    </border>
    <border>
      <left style="thin">
        <color theme="4" tint="0.39997558519241921"/>
      </left>
      <right style="thin">
        <color theme="4" tint="0.39997558519241921"/>
      </right>
      <top style="thin">
        <color theme="4" tint="0.39997558519241921"/>
      </top>
      <bottom/>
      <diagonal/>
    </border>
    <border>
      <left/>
      <right style="thin">
        <color theme="4" tint="0.39997558519241921"/>
      </right>
      <top/>
      <bottom/>
      <diagonal/>
    </border>
    <border>
      <left style="thin">
        <color theme="4" tint="0.39997558519241921"/>
      </left>
      <right/>
      <top/>
      <bottom/>
      <diagonal/>
    </border>
    <border>
      <left/>
      <right style="thin">
        <color theme="4" tint="0.39997558519241921"/>
      </right>
      <top style="thin">
        <color theme="4" tint="0.39997558519241921"/>
      </top>
      <bottom/>
      <diagonal/>
    </border>
    <border>
      <left style="thin">
        <color theme="4" tint="0.39997558519241921"/>
      </left>
      <right/>
      <top style="thin">
        <color theme="4" tint="0.39997558519241921"/>
      </top>
      <bottom/>
      <diagonal/>
    </border>
    <border>
      <left style="thin">
        <color theme="4" tint="0.39997558519241921"/>
      </left>
      <right style="thin">
        <color theme="4" tint="0.39997558519241921"/>
      </right>
      <top/>
      <bottom/>
      <diagonal/>
    </border>
    <border>
      <left/>
      <right/>
      <top style="thin">
        <color theme="5" tint="0.39997558519241921"/>
      </top>
      <bottom style="thin">
        <color theme="5" tint="0.39997558519241921"/>
      </bottom>
      <diagonal/>
    </border>
    <border>
      <left style="thin">
        <color theme="5" tint="0.39997558519241921"/>
      </left>
      <right/>
      <top/>
      <bottom style="thin">
        <color theme="5" tint="0.39997558519241921"/>
      </bottom>
      <diagonal/>
    </border>
    <border>
      <left/>
      <right/>
      <top/>
      <bottom style="thin">
        <color theme="5" tint="0.39997558519241921"/>
      </bottom>
      <diagonal/>
    </border>
    <border>
      <left/>
      <right style="thin">
        <color theme="5" tint="0.39997558519241921"/>
      </right>
      <top/>
      <bottom style="thin">
        <color theme="5" tint="0.39997558519241921"/>
      </bottom>
      <diagonal/>
    </border>
    <border>
      <left style="thin">
        <color theme="4" tint="0.39997558519241921"/>
      </left>
      <right/>
      <top style="thin">
        <color theme="4" tint="0.39997558519241921"/>
      </top>
      <bottom style="thin">
        <color theme="4" tint="0.39997558519241921"/>
      </bottom>
      <diagonal/>
    </border>
    <border>
      <left/>
      <right style="thin">
        <color indexed="64"/>
      </right>
      <top style="medium">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thin">
        <color indexed="64"/>
      </bottom>
      <diagonal/>
    </border>
    <border>
      <left/>
      <right/>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top style="thin">
        <color theme="7" tint="0.39997558519241921"/>
      </top>
      <bottom style="thin">
        <color theme="7" tint="0.39997558519241921"/>
      </bottom>
      <diagonal/>
    </border>
  </borders>
  <cellStyleXfs count="7">
    <xf numFmtId="0" fontId="0" fillId="0" borderId="0"/>
    <xf numFmtId="0" fontId="5" fillId="0" borderId="0" applyNumberFormat="0" applyFill="0" applyBorder="0" applyAlignment="0" applyProtection="0"/>
    <xf numFmtId="0" fontId="23" fillId="12" borderId="0" applyNumberFormat="0" applyBorder="0" applyAlignment="0" applyProtection="0"/>
    <xf numFmtId="0" fontId="25" fillId="15" borderId="0" applyNumberFormat="0" applyBorder="0" applyAlignment="0" applyProtection="0"/>
    <xf numFmtId="0" fontId="26" fillId="16" borderId="0" applyNumberFormat="0" applyBorder="0" applyAlignment="0" applyProtection="0"/>
    <xf numFmtId="0" fontId="27" fillId="17" borderId="42" applyNumberFormat="0" applyAlignment="0" applyProtection="0"/>
    <xf numFmtId="9" fontId="43" fillId="0" borderId="0" applyFont="0" applyFill="0" applyBorder="0" applyAlignment="0" applyProtection="0"/>
  </cellStyleXfs>
  <cellXfs count="619">
    <xf numFmtId="0" fontId="0" fillId="0" borderId="0" xfId="0"/>
    <xf numFmtId="0" fontId="1" fillId="3" borderId="1" xfId="0" applyFont="1" applyFill="1" applyBorder="1" applyAlignment="1" applyProtection="1">
      <alignment horizontal="center" vertical="center"/>
      <protection locked="0"/>
    </xf>
    <xf numFmtId="14" fontId="8" fillId="3" borderId="19" xfId="0" applyNumberFormat="1" applyFont="1" applyFill="1" applyBorder="1" applyAlignment="1" applyProtection="1">
      <alignment horizontal="center" vertical="center"/>
      <protection locked="0"/>
    </xf>
    <xf numFmtId="0" fontId="10" fillId="5" borderId="1" xfId="0" applyFont="1" applyFill="1" applyBorder="1" applyAlignment="1" applyProtection="1">
      <alignment horizontal="center" vertical="center"/>
      <protection locked="0"/>
    </xf>
    <xf numFmtId="0" fontId="8" fillId="5" borderId="27" xfId="0" applyFont="1" applyFill="1" applyBorder="1" applyAlignment="1" applyProtection="1">
      <alignment horizontal="center" vertical="center"/>
      <protection locked="0"/>
    </xf>
    <xf numFmtId="0" fontId="7" fillId="5" borderId="27" xfId="0" applyFont="1" applyFill="1" applyBorder="1" applyAlignment="1" applyProtection="1">
      <alignment horizontal="center" vertical="center"/>
      <protection locked="0"/>
    </xf>
    <xf numFmtId="0" fontId="15" fillId="5" borderId="27" xfId="0" applyFont="1" applyFill="1" applyBorder="1" applyAlignment="1" applyProtection="1">
      <alignment horizontal="center" vertical="center"/>
      <protection locked="0"/>
    </xf>
    <xf numFmtId="0" fontId="0" fillId="0" borderId="0" xfId="0" applyAlignment="1">
      <alignment horizontal="center"/>
    </xf>
    <xf numFmtId="0" fontId="0" fillId="9" borderId="31" xfId="0" applyFill="1" applyBorder="1"/>
    <xf numFmtId="0" fontId="0" fillId="9" borderId="0" xfId="0" applyFill="1"/>
    <xf numFmtId="0" fontId="0" fillId="9" borderId="32" xfId="0" applyFill="1" applyBorder="1"/>
    <xf numFmtId="0" fontId="12" fillId="9" borderId="0" xfId="0" applyFont="1" applyFill="1" applyAlignment="1" applyProtection="1">
      <alignment horizontal="center"/>
      <protection locked="0"/>
    </xf>
    <xf numFmtId="0" fontId="12" fillId="9" borderId="32" xfId="0" applyFont="1" applyFill="1" applyBorder="1" applyAlignment="1" applyProtection="1">
      <alignment horizontal="center"/>
      <protection locked="0"/>
    </xf>
    <xf numFmtId="0" fontId="0" fillId="9" borderId="24" xfId="0" applyFill="1" applyBorder="1"/>
    <xf numFmtId="0" fontId="12" fillId="9" borderId="25" xfId="0" applyFont="1" applyFill="1" applyBorder="1" applyAlignment="1" applyProtection="1">
      <alignment horizontal="center"/>
      <protection locked="0"/>
    </xf>
    <xf numFmtId="0" fontId="12" fillId="9" borderId="11" xfId="0" applyFont="1" applyFill="1" applyBorder="1" applyAlignment="1" applyProtection="1">
      <alignment horizontal="center"/>
      <protection locked="0"/>
    </xf>
    <xf numFmtId="0" fontId="0" fillId="9" borderId="33" xfId="0" applyFill="1" applyBorder="1" applyAlignment="1">
      <alignment horizontal="center"/>
    </xf>
    <xf numFmtId="0" fontId="17" fillId="0" borderId="1" xfId="0" applyFont="1" applyBorder="1" applyAlignment="1" applyProtection="1">
      <alignment horizontal="center" vertical="center"/>
      <protection locked="0"/>
    </xf>
    <xf numFmtId="0" fontId="13" fillId="0" borderId="29" xfId="0" applyFont="1" applyBorder="1" applyAlignment="1">
      <alignment horizontal="center"/>
    </xf>
    <xf numFmtId="0" fontId="13" fillId="0" borderId="1" xfId="0" applyFont="1" applyBorder="1" applyAlignment="1">
      <alignment horizontal="center"/>
    </xf>
    <xf numFmtId="0" fontId="0" fillId="9" borderId="33" xfId="0" applyFill="1" applyBorder="1"/>
    <xf numFmtId="0" fontId="0" fillId="9" borderId="12" xfId="0" applyFill="1" applyBorder="1"/>
    <xf numFmtId="0" fontId="0" fillId="9" borderId="11" xfId="0" applyFill="1" applyBorder="1"/>
    <xf numFmtId="0" fontId="3" fillId="9" borderId="32" xfId="0" applyFont="1" applyFill="1" applyBorder="1"/>
    <xf numFmtId="0" fontId="3" fillId="9" borderId="11" xfId="0" applyFont="1" applyFill="1" applyBorder="1"/>
    <xf numFmtId="0" fontId="2" fillId="0" borderId="1" xfId="0" applyFont="1" applyBorder="1" applyAlignment="1">
      <alignment horizontal="center" wrapText="1"/>
    </xf>
    <xf numFmtId="0" fontId="0" fillId="9" borderId="33" xfId="0" applyFill="1" applyBorder="1" applyAlignment="1">
      <alignment horizontal="left"/>
    </xf>
    <xf numFmtId="0" fontId="0" fillId="9" borderId="12" xfId="0" applyFill="1" applyBorder="1" applyAlignment="1">
      <alignment horizontal="left"/>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0" fontId="2" fillId="2" borderId="22" xfId="0" applyFont="1" applyFill="1" applyBorder="1" applyAlignment="1" applyProtection="1">
      <alignment horizontal="centerContinuous" vertical="center" wrapText="1"/>
      <protection locked="0"/>
    </xf>
    <xf numFmtId="0" fontId="2" fillId="2" borderId="28" xfId="0" applyFont="1" applyFill="1" applyBorder="1" applyAlignment="1" applyProtection="1">
      <alignment horizontal="centerContinuous" vertical="center" wrapText="1"/>
      <protection locked="0"/>
    </xf>
    <xf numFmtId="0" fontId="2" fillId="2" borderId="29" xfId="0" applyFont="1" applyFill="1" applyBorder="1" applyAlignment="1" applyProtection="1">
      <alignment horizontal="centerContinuous" vertical="center" wrapText="1"/>
      <protection locked="0"/>
    </xf>
    <xf numFmtId="0" fontId="2" fillId="2" borderId="30" xfId="0" applyFont="1" applyFill="1" applyBorder="1" applyAlignment="1" applyProtection="1">
      <alignment vertical="center" wrapText="1"/>
      <protection locked="0"/>
    </xf>
    <xf numFmtId="0" fontId="2" fillId="2" borderId="29" xfId="0" applyFont="1" applyFill="1" applyBorder="1" applyAlignment="1" applyProtection="1">
      <alignment vertical="center" wrapText="1"/>
      <protection locked="0"/>
    </xf>
    <xf numFmtId="0" fontId="0" fillId="9" borderId="0" xfId="0" applyFill="1" applyProtection="1">
      <protection locked="0"/>
    </xf>
    <xf numFmtId="0" fontId="0" fillId="0" borderId="0" xfId="0" applyAlignment="1" applyProtection="1">
      <alignment horizontal="center"/>
      <protection locked="0"/>
    </xf>
    <xf numFmtId="0" fontId="3" fillId="9" borderId="0" xfId="0" applyFont="1" applyFill="1" applyProtection="1">
      <protection locked="0"/>
    </xf>
    <xf numFmtId="0" fontId="1" fillId="2" borderId="2" xfId="0" applyFont="1" applyFill="1" applyBorder="1" applyAlignment="1" applyProtection="1">
      <alignment horizontal="center" vertical="center" wrapText="1"/>
      <protection locked="0"/>
    </xf>
    <xf numFmtId="0" fontId="1" fillId="2" borderId="3" xfId="0" applyFont="1" applyFill="1" applyBorder="1" applyAlignment="1" applyProtection="1">
      <alignment horizontal="center" vertical="center" wrapText="1"/>
      <protection locked="0"/>
    </xf>
    <xf numFmtId="0" fontId="1" fillId="2" borderId="4" xfId="0" applyFont="1" applyFill="1" applyBorder="1" applyAlignment="1" applyProtection="1">
      <alignment horizontal="center" vertical="center" wrapText="1"/>
      <protection locked="0"/>
    </xf>
    <xf numFmtId="0" fontId="2" fillId="4" borderId="5" xfId="0" applyFont="1" applyFill="1" applyBorder="1" applyAlignment="1" applyProtection="1">
      <alignment horizontal="center" vertical="center" wrapText="1"/>
      <protection locked="0"/>
    </xf>
    <xf numFmtId="0" fontId="2" fillId="4" borderId="6" xfId="0" applyFont="1" applyFill="1" applyBorder="1" applyAlignment="1" applyProtection="1">
      <alignment horizontal="center" vertical="center" wrapText="1"/>
      <protection locked="0"/>
    </xf>
    <xf numFmtId="14" fontId="3" fillId="5" borderId="7" xfId="0" applyNumberFormat="1" applyFont="1" applyFill="1" applyBorder="1" applyAlignment="1" applyProtection="1">
      <alignment horizontal="center" vertical="center"/>
      <protection locked="0"/>
    </xf>
    <xf numFmtId="1" fontId="3" fillId="5" borderId="8" xfId="0" applyNumberFormat="1" applyFont="1" applyFill="1" applyBorder="1" applyAlignment="1" applyProtection="1">
      <alignment horizontal="center" vertical="center"/>
      <protection locked="0"/>
    </xf>
    <xf numFmtId="1" fontId="2" fillId="5" borderId="8" xfId="0" applyNumberFormat="1" applyFont="1" applyFill="1" applyBorder="1" applyAlignment="1" applyProtection="1">
      <alignment horizontal="center" vertical="center"/>
      <protection locked="0"/>
    </xf>
    <xf numFmtId="0" fontId="2" fillId="5" borderId="8" xfId="0" applyFont="1" applyFill="1" applyBorder="1" applyAlignment="1" applyProtection="1">
      <alignment horizontal="center" vertical="center" wrapText="1"/>
      <protection locked="0"/>
    </xf>
    <xf numFmtId="0" fontId="2" fillId="5" borderId="8" xfId="0" applyFont="1" applyFill="1" applyBorder="1" applyAlignment="1" applyProtection="1">
      <alignment horizontal="center" vertical="center"/>
      <protection locked="0"/>
    </xf>
    <xf numFmtId="0" fontId="4" fillId="5" borderId="8" xfId="0" applyFont="1" applyFill="1" applyBorder="1" applyAlignment="1" applyProtection="1">
      <alignment horizontal="center" vertical="center" wrapText="1"/>
      <protection locked="0"/>
    </xf>
    <xf numFmtId="0" fontId="3" fillId="5" borderId="8" xfId="0" applyFont="1" applyFill="1" applyBorder="1" applyAlignment="1" applyProtection="1">
      <alignment vertical="center"/>
      <protection locked="0"/>
    </xf>
    <xf numFmtId="0" fontId="3" fillId="5" borderId="8" xfId="0" applyFont="1" applyFill="1" applyBorder="1" applyAlignment="1" applyProtection="1">
      <alignment horizontal="center" vertical="center"/>
      <protection locked="0"/>
    </xf>
    <xf numFmtId="0" fontId="4" fillId="5" borderId="8" xfId="1" applyFont="1" applyFill="1" applyBorder="1" applyAlignment="1" applyProtection="1">
      <alignment horizontal="center" vertical="center" wrapText="1"/>
      <protection locked="0"/>
    </xf>
    <xf numFmtId="0" fontId="3" fillId="5" borderId="8" xfId="0" applyFont="1" applyFill="1" applyBorder="1" applyAlignment="1" applyProtection="1">
      <alignment horizontal="center" vertical="center" wrapText="1"/>
      <protection locked="0"/>
    </xf>
    <xf numFmtId="0" fontId="3" fillId="5" borderId="9" xfId="0" applyFont="1" applyFill="1" applyBorder="1" applyAlignment="1" applyProtection="1">
      <alignment horizontal="center" vertical="center" wrapText="1"/>
      <protection locked="0"/>
    </xf>
    <xf numFmtId="0" fontId="4" fillId="5" borderId="8" xfId="1" applyFont="1" applyFill="1" applyBorder="1" applyAlignment="1" applyProtection="1">
      <alignment vertical="center"/>
      <protection locked="0"/>
    </xf>
    <xf numFmtId="0" fontId="4" fillId="5" borderId="10" xfId="1" applyFont="1" applyFill="1" applyBorder="1" applyAlignment="1" applyProtection="1">
      <alignment vertical="center"/>
      <protection locked="0"/>
    </xf>
    <xf numFmtId="0" fontId="1" fillId="7" borderId="18" xfId="0" applyFont="1" applyFill="1" applyBorder="1" applyAlignment="1" applyProtection="1">
      <alignment horizontal="center" vertical="center" wrapText="1"/>
      <protection locked="0"/>
    </xf>
    <xf numFmtId="14" fontId="0" fillId="0" borderId="0" xfId="0" applyNumberFormat="1" applyAlignment="1" applyProtection="1">
      <alignment horizontal="center"/>
      <protection locked="0"/>
    </xf>
    <xf numFmtId="0" fontId="14" fillId="2" borderId="1" xfId="0" applyFont="1" applyFill="1" applyBorder="1" applyAlignment="1" applyProtection="1">
      <alignment horizontal="center" vertical="center" wrapText="1"/>
      <protection locked="0"/>
    </xf>
    <xf numFmtId="0" fontId="6" fillId="2" borderId="11" xfId="0" applyFont="1" applyFill="1" applyBorder="1" applyAlignment="1" applyProtection="1">
      <alignment horizontal="center" vertical="center" wrapText="1"/>
      <protection locked="0"/>
    </xf>
    <xf numFmtId="0" fontId="6" fillId="2" borderId="12" xfId="0" applyFont="1" applyFill="1" applyBorder="1" applyAlignment="1" applyProtection="1">
      <alignment horizontal="center" vertical="center" wrapText="1"/>
      <protection locked="0"/>
    </xf>
    <xf numFmtId="0" fontId="2" fillId="6" borderId="13" xfId="0" applyFont="1" applyFill="1" applyBorder="1" applyAlignment="1" applyProtection="1">
      <alignment horizontal="center" vertical="center" wrapText="1"/>
      <protection locked="0"/>
    </xf>
    <xf numFmtId="164" fontId="7" fillId="5" borderId="17" xfId="0" applyNumberFormat="1"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wrapText="1"/>
      <protection hidden="1"/>
    </xf>
    <xf numFmtId="14" fontId="1" fillId="2" borderId="1" xfId="0" applyNumberFormat="1" applyFont="1" applyFill="1" applyBorder="1" applyAlignment="1" applyProtection="1">
      <alignment horizontal="center" vertical="center" wrapText="1"/>
      <protection hidden="1"/>
    </xf>
    <xf numFmtId="0" fontId="19" fillId="2" borderId="20" xfId="0" applyFont="1" applyFill="1" applyBorder="1" applyAlignment="1" applyProtection="1">
      <alignment horizontal="centerContinuous" vertical="center" wrapText="1"/>
      <protection hidden="1"/>
    </xf>
    <xf numFmtId="0" fontId="20" fillId="2" borderId="1" xfId="0" applyFont="1" applyFill="1" applyBorder="1" applyAlignment="1">
      <alignment horizontal="center" vertical="center" wrapText="1"/>
    </xf>
    <xf numFmtId="14" fontId="3" fillId="5" borderId="29" xfId="0" applyNumberFormat="1" applyFont="1" applyFill="1" applyBorder="1" applyAlignment="1" applyProtection="1">
      <alignment horizontal="center" vertical="center"/>
      <protection locked="0"/>
    </xf>
    <xf numFmtId="0" fontId="7" fillId="7" borderId="35" xfId="0" applyFont="1" applyFill="1" applyBorder="1" applyAlignment="1">
      <alignment horizontal="center" vertical="center" wrapText="1"/>
    </xf>
    <xf numFmtId="0" fontId="7" fillId="7" borderId="36" xfId="0" applyFont="1" applyFill="1" applyBorder="1" applyAlignment="1">
      <alignment horizontal="center" vertical="center" wrapText="1"/>
    </xf>
    <xf numFmtId="0" fontId="3" fillId="0" borderId="0" xfId="0" applyFont="1" applyProtection="1">
      <protection locked="0"/>
    </xf>
    <xf numFmtId="0" fontId="2" fillId="11" borderId="37" xfId="0" applyFont="1" applyFill="1" applyBorder="1" applyAlignment="1" applyProtection="1">
      <alignment horizontal="center" vertical="center" wrapText="1"/>
      <protection locked="0"/>
    </xf>
    <xf numFmtId="0" fontId="2" fillId="8" borderId="38" xfId="0" applyFont="1" applyFill="1" applyBorder="1" applyAlignment="1" applyProtection="1">
      <alignment horizontal="center" vertical="center" wrapText="1"/>
      <protection locked="0"/>
    </xf>
    <xf numFmtId="0" fontId="13" fillId="8" borderId="38" xfId="0" applyFont="1" applyFill="1" applyBorder="1" applyAlignment="1" applyProtection="1">
      <alignment horizontal="center" vertical="center" wrapText="1"/>
      <protection locked="0"/>
    </xf>
    <xf numFmtId="0" fontId="2" fillId="11" borderId="38" xfId="0" applyFont="1" applyFill="1" applyBorder="1" applyAlignment="1" applyProtection="1">
      <alignment horizontal="center" vertical="center" wrapText="1"/>
      <protection locked="0"/>
    </xf>
    <xf numFmtId="0" fontId="2" fillId="11" borderId="39" xfId="0" applyFont="1" applyFill="1" applyBorder="1" applyAlignment="1" applyProtection="1">
      <alignment horizontal="center" vertical="center" wrapText="1"/>
      <protection locked="0"/>
    </xf>
    <xf numFmtId="0" fontId="8" fillId="0" borderId="0" xfId="0" applyFont="1" applyAlignment="1" applyProtection="1">
      <alignment vertical="top" wrapText="1"/>
      <protection locked="0"/>
    </xf>
    <xf numFmtId="164" fontId="7" fillId="5" borderId="15" xfId="0" applyNumberFormat="1" applyFont="1" applyFill="1" applyBorder="1" applyAlignment="1" applyProtection="1">
      <alignment horizontal="center" vertical="center" wrapText="1"/>
      <protection hidden="1"/>
    </xf>
    <xf numFmtId="164" fontId="7" fillId="5" borderId="16" xfId="0" applyNumberFormat="1" applyFont="1" applyFill="1" applyBorder="1" applyAlignment="1" applyProtection="1">
      <alignment horizontal="center" vertical="center" wrapText="1"/>
      <protection hidden="1"/>
    </xf>
    <xf numFmtId="0" fontId="4" fillId="5" borderId="8" xfId="1" applyFont="1" applyFill="1" applyBorder="1" applyAlignment="1" applyProtection="1">
      <alignment horizontal="center" vertical="center"/>
      <protection locked="0"/>
    </xf>
    <xf numFmtId="0" fontId="2" fillId="13" borderId="40" xfId="0" applyFont="1" applyFill="1" applyBorder="1" applyAlignment="1">
      <alignment horizontal="center" vertical="center" wrapText="1"/>
    </xf>
    <xf numFmtId="0" fontId="23" fillId="12" borderId="41" xfId="2" applyBorder="1" applyAlignment="1">
      <alignment horizontal="center" vertical="center" wrapText="1"/>
    </xf>
    <xf numFmtId="0" fontId="2" fillId="13" borderId="41" xfId="0" applyFont="1" applyFill="1" applyBorder="1" applyAlignment="1">
      <alignment horizontal="center" vertical="center" wrapText="1"/>
    </xf>
    <xf numFmtId="0" fontId="24" fillId="12" borderId="41" xfId="2" applyFont="1" applyBorder="1" applyAlignment="1">
      <alignment horizontal="center" vertical="center" wrapText="1"/>
    </xf>
    <xf numFmtId="0" fontId="2" fillId="14" borderId="41" xfId="0" applyFont="1" applyFill="1" applyBorder="1" applyAlignment="1">
      <alignment horizontal="center" vertical="center" wrapText="1"/>
    </xf>
    <xf numFmtId="0" fontId="21" fillId="0" borderId="0" xfId="0" applyFont="1" applyProtection="1">
      <protection locked="0"/>
    </xf>
    <xf numFmtId="0" fontId="21" fillId="9" borderId="0" xfId="0" applyFont="1" applyFill="1" applyProtection="1">
      <protection locked="0"/>
    </xf>
    <xf numFmtId="0" fontId="17" fillId="0" borderId="21" xfId="0" applyFont="1" applyBorder="1" applyAlignment="1" applyProtection="1">
      <alignment horizontal="left"/>
      <protection locked="0"/>
    </xf>
    <xf numFmtId="0" fontId="28" fillId="0" borderId="26" xfId="0" applyFont="1" applyBorder="1" applyAlignment="1" applyProtection="1">
      <alignment horizontal="center"/>
      <protection locked="0"/>
    </xf>
    <xf numFmtId="0" fontId="17" fillId="0" borderId="31" xfId="0" applyFont="1" applyBorder="1" applyAlignment="1" applyProtection="1">
      <alignment horizontal="left"/>
      <protection locked="0"/>
    </xf>
    <xf numFmtId="0" fontId="28" fillId="0" borderId="0" xfId="0" applyFont="1" applyAlignment="1" applyProtection="1">
      <alignment horizontal="center"/>
      <protection locked="0"/>
    </xf>
    <xf numFmtId="0" fontId="28" fillId="0" borderId="32" xfId="0" applyFont="1" applyBorder="1" applyAlignment="1" applyProtection="1">
      <alignment horizontal="center"/>
      <protection locked="0"/>
    </xf>
    <xf numFmtId="0" fontId="12" fillId="0" borderId="0" xfId="0" applyFont="1" applyAlignment="1" applyProtection="1">
      <alignment horizontal="center"/>
      <protection locked="0"/>
    </xf>
    <xf numFmtId="0" fontId="12" fillId="0" borderId="32" xfId="0" applyFont="1" applyBorder="1" applyAlignment="1" applyProtection="1">
      <alignment horizontal="center"/>
      <protection locked="0"/>
    </xf>
    <xf numFmtId="0" fontId="17" fillId="0" borderId="24" xfId="0" applyFont="1" applyBorder="1" applyAlignment="1" applyProtection="1">
      <alignment horizontal="left"/>
      <protection locked="0"/>
    </xf>
    <xf numFmtId="0" fontId="28" fillId="0" borderId="25" xfId="0" applyFont="1" applyBorder="1" applyAlignment="1" applyProtection="1">
      <alignment horizontal="center"/>
      <protection locked="0"/>
    </xf>
    <xf numFmtId="0" fontId="12" fillId="0" borderId="11" xfId="0" applyFont="1" applyBorder="1" applyAlignment="1" applyProtection="1">
      <alignment horizontal="center"/>
      <protection locked="0"/>
    </xf>
    <xf numFmtId="0" fontId="23" fillId="12" borderId="0" xfId="2"/>
    <xf numFmtId="0" fontId="0" fillId="0" borderId="0" xfId="0" applyAlignment="1">
      <alignment horizontal="center" vertical="center" wrapText="1"/>
    </xf>
    <xf numFmtId="0" fontId="29" fillId="0" borderId="0" xfId="0" applyFont="1" applyProtection="1">
      <protection locked="0"/>
    </xf>
    <xf numFmtId="0" fontId="29" fillId="0" borderId="0" xfId="3" applyFont="1" applyFill="1" applyProtection="1">
      <protection locked="0"/>
    </xf>
    <xf numFmtId="0" fontId="12" fillId="0" borderId="0" xfId="0" applyFont="1"/>
    <xf numFmtId="0" fontId="11" fillId="0" borderId="0" xfId="5" applyFont="1" applyFill="1" applyBorder="1" applyAlignment="1" applyProtection="1">
      <alignment horizontal="center" vertical="center" wrapText="1"/>
      <protection locked="0"/>
    </xf>
    <xf numFmtId="0" fontId="3" fillId="0" borderId="0" xfId="0" applyFont="1"/>
    <xf numFmtId="0" fontId="3" fillId="0" borderId="0" xfId="2" applyFont="1" applyFill="1" applyProtection="1">
      <protection locked="0"/>
    </xf>
    <xf numFmtId="0" fontId="3" fillId="0" borderId="0" xfId="3" applyFont="1" applyFill="1" applyProtection="1">
      <protection locked="0"/>
    </xf>
    <xf numFmtId="0" fontId="11" fillId="0" borderId="47" xfId="5" applyFont="1" applyFill="1" applyBorder="1" applyAlignment="1">
      <alignment horizontal="center" vertical="center" wrapText="1"/>
    </xf>
    <xf numFmtId="0" fontId="11" fillId="0" borderId="48" xfId="5" applyFont="1" applyFill="1" applyBorder="1" applyAlignment="1">
      <alignment horizontal="center" vertical="center" wrapText="1"/>
    </xf>
    <xf numFmtId="1" fontId="28" fillId="9" borderId="0" xfId="0" applyNumberFormat="1" applyFont="1" applyFill="1" applyAlignment="1" applyProtection="1">
      <alignment horizontal="center"/>
      <protection locked="0"/>
    </xf>
    <xf numFmtId="0" fontId="28" fillId="9" borderId="23" xfId="0" applyFont="1" applyFill="1" applyBorder="1" applyAlignment="1" applyProtection="1">
      <alignment horizontal="center"/>
      <protection locked="0"/>
    </xf>
    <xf numFmtId="0" fontId="12" fillId="9" borderId="0" xfId="0" applyFont="1" applyFill="1" applyProtection="1">
      <protection locked="0"/>
    </xf>
    <xf numFmtId="0" fontId="12" fillId="9" borderId="21" xfId="0" applyFont="1" applyFill="1" applyBorder="1" applyProtection="1">
      <protection locked="0"/>
    </xf>
    <xf numFmtId="0" fontId="12" fillId="9" borderId="26" xfId="0" applyFont="1" applyFill="1" applyBorder="1" applyProtection="1">
      <protection locked="0"/>
    </xf>
    <xf numFmtId="0" fontId="12" fillId="9" borderId="31" xfId="0" applyFont="1" applyFill="1" applyBorder="1" applyProtection="1">
      <protection locked="0"/>
    </xf>
    <xf numFmtId="0" fontId="12" fillId="9" borderId="32" xfId="0" applyFont="1" applyFill="1" applyBorder="1" applyProtection="1">
      <protection locked="0"/>
    </xf>
    <xf numFmtId="0" fontId="12" fillId="9" borderId="24" xfId="0" applyFont="1" applyFill="1" applyBorder="1" applyProtection="1">
      <protection locked="0"/>
    </xf>
    <xf numFmtId="0" fontId="12" fillId="9" borderId="11" xfId="0" applyFont="1" applyFill="1" applyBorder="1" applyProtection="1">
      <protection locked="0"/>
    </xf>
    <xf numFmtId="0" fontId="17" fillId="0" borderId="1" xfId="0" applyFont="1" applyBorder="1" applyProtection="1">
      <protection locked="0"/>
    </xf>
    <xf numFmtId="0" fontId="12" fillId="0" borderId="49" xfId="0" applyFont="1" applyBorder="1" applyProtection="1">
      <protection locked="0"/>
    </xf>
    <xf numFmtId="0" fontId="12" fillId="0" borderId="23" xfId="0" applyFont="1" applyBorder="1" applyProtection="1">
      <protection locked="0"/>
    </xf>
    <xf numFmtId="0" fontId="12" fillId="0" borderId="26" xfId="0" applyFont="1" applyBorder="1" applyProtection="1">
      <protection locked="0"/>
    </xf>
    <xf numFmtId="0" fontId="12" fillId="0" borderId="33" xfId="0" applyFont="1" applyBorder="1" applyProtection="1">
      <protection locked="0"/>
    </xf>
    <xf numFmtId="0" fontId="12" fillId="0" borderId="0" xfId="0" applyFont="1" applyProtection="1">
      <protection locked="0"/>
    </xf>
    <xf numFmtId="0" fontId="12" fillId="0" borderId="32" xfId="0" applyFont="1" applyBorder="1" applyProtection="1">
      <protection locked="0"/>
    </xf>
    <xf numFmtId="0" fontId="12" fillId="0" borderId="31" xfId="0" applyFont="1" applyBorder="1" applyProtection="1">
      <protection locked="0"/>
    </xf>
    <xf numFmtId="0" fontId="12" fillId="0" borderId="12" xfId="0" applyFont="1" applyBorder="1" applyProtection="1">
      <protection locked="0"/>
    </xf>
    <xf numFmtId="0" fontId="12" fillId="0" borderId="24" xfId="0" applyFont="1" applyBorder="1" applyProtection="1">
      <protection locked="0"/>
    </xf>
    <xf numFmtId="0" fontId="12" fillId="0" borderId="25" xfId="0" applyFont="1" applyBorder="1" applyProtection="1">
      <protection locked="0"/>
    </xf>
    <xf numFmtId="0" fontId="12" fillId="0" borderId="11" xfId="0" applyFont="1" applyBorder="1" applyProtection="1">
      <protection locked="0"/>
    </xf>
    <xf numFmtId="0" fontId="12" fillId="0" borderId="33" xfId="0" applyFont="1" applyBorder="1" applyAlignment="1" applyProtection="1">
      <alignment horizontal="center" vertical="center"/>
      <protection locked="0"/>
    </xf>
    <xf numFmtId="0" fontId="31" fillId="9" borderId="0" xfId="0" applyFont="1" applyFill="1" applyProtection="1">
      <protection locked="0"/>
    </xf>
    <xf numFmtId="0" fontId="12" fillId="0" borderId="33" xfId="0" applyFont="1" applyBorder="1" applyAlignment="1" applyProtection="1">
      <alignment horizontal="center"/>
      <protection locked="0"/>
    </xf>
    <xf numFmtId="0" fontId="0" fillId="0" borderId="0" xfId="0" applyAlignment="1" applyProtection="1">
      <alignment horizontal="left"/>
      <protection locked="0"/>
    </xf>
    <xf numFmtId="0" fontId="21" fillId="9" borderId="0" xfId="0" applyFont="1" applyFill="1" applyAlignment="1" applyProtection="1">
      <alignment horizontal="center"/>
      <protection locked="0"/>
    </xf>
    <xf numFmtId="0" fontId="21" fillId="0" borderId="0" xfId="0" applyFont="1" applyAlignment="1" applyProtection="1">
      <alignment horizontal="center"/>
      <protection locked="0"/>
    </xf>
    <xf numFmtId="0" fontId="8" fillId="0" borderId="0" xfId="0" applyFont="1" applyAlignment="1" applyProtection="1">
      <alignment wrapText="1"/>
      <protection locked="0"/>
    </xf>
    <xf numFmtId="0" fontId="8" fillId="0" borderId="0" xfId="0" applyFont="1" applyAlignment="1" applyProtection="1">
      <alignment horizontal="center" vertical="center" wrapText="1"/>
      <protection locked="0"/>
    </xf>
    <xf numFmtId="0" fontId="8" fillId="0" borderId="0" xfId="0" applyFont="1" applyAlignment="1" applyProtection="1">
      <alignment horizontal="left" vertical="top" wrapText="1"/>
      <protection locked="0"/>
    </xf>
    <xf numFmtId="0" fontId="8" fillId="0" borderId="0" xfId="0" applyFont="1" applyAlignment="1" applyProtection="1">
      <alignment horizontal="center" wrapText="1"/>
      <protection locked="0"/>
    </xf>
    <xf numFmtId="0" fontId="0" fillId="9" borderId="21" xfId="0" applyFill="1" applyBorder="1"/>
    <xf numFmtId="0" fontId="0" fillId="9" borderId="26" xfId="0" applyFill="1" applyBorder="1"/>
    <xf numFmtId="0" fontId="12" fillId="0" borderId="0" xfId="0" applyFont="1" applyAlignment="1" applyProtection="1">
      <alignment horizontal="left" vertical="center"/>
      <protection locked="0"/>
    </xf>
    <xf numFmtId="0" fontId="17" fillId="0" borderId="0" xfId="0" applyFont="1" applyAlignment="1" applyProtection="1">
      <alignment horizontal="center" vertical="center"/>
      <protection locked="0"/>
    </xf>
    <xf numFmtId="14" fontId="0" fillId="0" borderId="0" xfId="0" applyNumberFormat="1"/>
    <xf numFmtId="0" fontId="0" fillId="0" borderId="0" xfId="0" applyAlignment="1">
      <alignment horizontal="center" vertical="center"/>
    </xf>
    <xf numFmtId="0" fontId="13" fillId="0" borderId="0" xfId="0" applyFont="1" applyAlignment="1">
      <alignment horizontal="center" vertical="center"/>
    </xf>
    <xf numFmtId="49" fontId="2" fillId="0" borderId="47" xfId="0" applyNumberFormat="1" applyFont="1" applyBorder="1"/>
    <xf numFmtId="0" fontId="2" fillId="0" borderId="47" xfId="0" applyFont="1" applyBorder="1"/>
    <xf numFmtId="49" fontId="3" fillId="0" borderId="51" xfId="0" applyNumberFormat="1" applyFont="1" applyBorder="1"/>
    <xf numFmtId="0" fontId="3" fillId="0" borderId="51" xfId="0" applyFont="1" applyBorder="1"/>
    <xf numFmtId="0" fontId="4" fillId="0" borderId="51" xfId="1" applyFont="1" applyFill="1" applyBorder="1"/>
    <xf numFmtId="49" fontId="3" fillId="0" borderId="52" xfId="0" applyNumberFormat="1" applyFont="1" applyBorder="1"/>
    <xf numFmtId="0" fontId="3" fillId="0" borderId="52" xfId="0" applyFont="1" applyBorder="1"/>
    <xf numFmtId="14" fontId="0" fillId="0" borderId="0" xfId="0" applyNumberFormat="1" applyProtection="1">
      <protection locked="0"/>
    </xf>
    <xf numFmtId="0" fontId="36" fillId="20" borderId="46" xfId="0" applyFont="1" applyFill="1" applyBorder="1" applyAlignment="1">
      <alignment horizontal="center" vertical="center" wrapText="1"/>
    </xf>
    <xf numFmtId="0" fontId="36" fillId="20" borderId="47" xfId="0" applyFont="1" applyFill="1" applyBorder="1" applyAlignment="1">
      <alignment horizontal="center" vertical="center" wrapText="1"/>
    </xf>
    <xf numFmtId="0" fontId="36" fillId="20" borderId="48" xfId="0" applyFont="1" applyFill="1" applyBorder="1" applyAlignment="1">
      <alignment horizontal="center" vertical="center" wrapText="1"/>
    </xf>
    <xf numFmtId="0" fontId="0" fillId="9" borderId="0" xfId="0" applyFill="1" applyAlignment="1">
      <alignment horizontal="center"/>
    </xf>
    <xf numFmtId="0" fontId="13" fillId="0" borderId="0" xfId="0" applyFont="1" applyAlignment="1">
      <alignment horizontal="center"/>
    </xf>
    <xf numFmtId="0" fontId="13" fillId="0" borderId="0" xfId="0" applyFont="1"/>
    <xf numFmtId="0" fontId="26" fillId="16" borderId="0" xfId="4" applyAlignment="1" applyProtection="1">
      <alignment horizontal="center" vertical="center" wrapText="1"/>
      <protection locked="0"/>
    </xf>
    <xf numFmtId="0" fontId="29" fillId="11" borderId="0" xfId="0" applyFont="1" applyFill="1" applyAlignment="1" applyProtection="1">
      <alignment horizontal="center" vertical="center" wrapText="1"/>
      <protection locked="0"/>
    </xf>
    <xf numFmtId="0" fontId="42" fillId="0" borderId="0" xfId="0" applyFont="1" applyAlignment="1" applyProtection="1">
      <alignment horizontal="center" vertical="center" wrapText="1"/>
      <protection locked="0"/>
    </xf>
    <xf numFmtId="0" fontId="0" fillId="23" borderId="0" xfId="0" applyFill="1"/>
    <xf numFmtId="0" fontId="0" fillId="24" borderId="0" xfId="0" applyFill="1"/>
    <xf numFmtId="0" fontId="29" fillId="0" borderId="0" xfId="0" applyFont="1" applyAlignment="1" applyProtection="1">
      <alignment horizontal="center" vertical="center" wrapText="1"/>
      <protection locked="0"/>
    </xf>
    <xf numFmtId="0" fontId="0" fillId="27" borderId="0" xfId="0" applyFill="1"/>
    <xf numFmtId="0" fontId="0" fillId="10" borderId="0" xfId="0" applyFill="1"/>
    <xf numFmtId="0" fontId="29" fillId="22" borderId="0" xfId="0" applyFont="1" applyFill="1" applyAlignment="1" applyProtection="1">
      <alignment horizontal="center" vertical="center" wrapText="1"/>
      <protection locked="0"/>
    </xf>
    <xf numFmtId="0" fontId="41" fillId="22" borderId="0" xfId="0" applyFont="1" applyFill="1" applyAlignment="1" applyProtection="1">
      <alignment horizontal="center" vertical="center" wrapText="1"/>
      <protection locked="0"/>
    </xf>
    <xf numFmtId="0" fontId="29" fillId="22" borderId="0" xfId="2" applyFont="1" applyFill="1" applyAlignment="1" applyProtection="1">
      <alignment horizontal="center" vertical="center" wrapText="1"/>
      <protection locked="0"/>
    </xf>
    <xf numFmtId="0" fontId="29" fillId="0" borderId="0" xfId="2" applyFont="1" applyFill="1" applyAlignment="1" applyProtection="1">
      <alignment horizontal="center" vertical="center" wrapText="1"/>
      <protection locked="0"/>
    </xf>
    <xf numFmtId="0" fontId="2" fillId="0" borderId="5" xfId="0" applyFont="1" applyBorder="1" applyAlignment="1">
      <alignment horizontal="center" vertical="center" wrapText="1"/>
    </xf>
    <xf numFmtId="0" fontId="38" fillId="9" borderId="5" xfId="0" applyFont="1" applyFill="1" applyBorder="1" applyAlignment="1">
      <alignment horizontal="center" vertical="center" wrapText="1"/>
    </xf>
    <xf numFmtId="0" fontId="38" fillId="24" borderId="5" xfId="0" applyFont="1" applyFill="1" applyBorder="1" applyAlignment="1">
      <alignment horizontal="center" vertical="center" wrapText="1"/>
    </xf>
    <xf numFmtId="0" fontId="2" fillId="9" borderId="5" xfId="0" applyFont="1" applyFill="1" applyBorder="1" applyAlignment="1">
      <alignment horizontal="center" vertical="center" wrapText="1"/>
    </xf>
    <xf numFmtId="0" fontId="0" fillId="0" borderId="0" xfId="0" applyAlignment="1">
      <alignment horizontal="left"/>
    </xf>
    <xf numFmtId="0" fontId="13" fillId="0" borderId="0" xfId="0" applyFont="1" applyAlignment="1" applyProtection="1">
      <alignment horizontal="left"/>
      <protection locked="0"/>
    </xf>
    <xf numFmtId="0" fontId="2" fillId="0" borderId="0" xfId="0" applyFont="1" applyAlignment="1" applyProtection="1">
      <alignment horizontal="left"/>
      <protection locked="0"/>
    </xf>
    <xf numFmtId="0" fontId="13" fillId="0" borderId="0" xfId="0" applyFont="1" applyAlignment="1" applyProtection="1">
      <alignment horizontal="left" vertical="center"/>
      <protection locked="0"/>
    </xf>
    <xf numFmtId="1" fontId="0" fillId="0" borderId="0" xfId="0" applyNumberFormat="1" applyAlignment="1">
      <alignment horizontal="center"/>
    </xf>
    <xf numFmtId="0" fontId="18" fillId="9" borderId="0" xfId="0" applyFont="1" applyFill="1" applyAlignment="1">
      <alignment horizontal="center"/>
    </xf>
    <xf numFmtId="0" fontId="18" fillId="9" borderId="0" xfId="0" applyFont="1" applyFill="1" applyAlignment="1" applyProtection="1">
      <alignment horizontal="center" vertical="center" wrapText="1"/>
      <protection locked="0"/>
    </xf>
    <xf numFmtId="0" fontId="2" fillId="0" borderId="0" xfId="0" applyFont="1" applyAlignment="1" applyProtection="1">
      <alignment horizontal="center" vertical="center"/>
      <protection locked="0"/>
    </xf>
    <xf numFmtId="0" fontId="3" fillId="0" borderId="0" xfId="0" applyFont="1" applyAlignment="1">
      <alignment horizontal="left"/>
    </xf>
    <xf numFmtId="0" fontId="3" fillId="9" borderId="0" xfId="0" applyFont="1" applyFill="1"/>
    <xf numFmtId="0" fontId="39" fillId="0" borderId="0" xfId="0" applyFont="1"/>
    <xf numFmtId="0" fontId="12" fillId="0" borderId="0" xfId="0" applyFont="1" applyAlignment="1" applyProtection="1">
      <alignment horizontal="left"/>
      <protection locked="0"/>
    </xf>
    <xf numFmtId="14" fontId="12" fillId="0" borderId="0" xfId="0" applyNumberFormat="1" applyFont="1" applyProtection="1">
      <protection locked="0"/>
    </xf>
    <xf numFmtId="0" fontId="31" fillId="9" borderId="0" xfId="0" applyFont="1" applyFill="1" applyAlignment="1" applyProtection="1">
      <alignment horizontal="center" vertical="center"/>
      <protection locked="0"/>
    </xf>
    <xf numFmtId="0" fontId="67" fillId="0" borderId="0" xfId="0" applyFont="1" applyAlignment="1" applyProtection="1">
      <alignment horizontal="left"/>
      <protection locked="0"/>
    </xf>
    <xf numFmtId="0" fontId="17" fillId="0" borderId="0" xfId="0" applyFont="1" applyAlignment="1" applyProtection="1">
      <alignment horizontal="left"/>
      <protection locked="0"/>
    </xf>
    <xf numFmtId="0" fontId="67" fillId="0" borderId="0" xfId="0" applyFont="1" applyAlignment="1" applyProtection="1">
      <alignment horizontal="left" vertical="top" wrapText="1"/>
      <protection locked="0"/>
    </xf>
    <xf numFmtId="0" fontId="12" fillId="0" borderId="0" xfId="0" applyFont="1" applyAlignment="1" applyProtection="1">
      <alignment horizontal="left" vertical="top"/>
      <protection locked="0"/>
    </xf>
    <xf numFmtId="0" fontId="67" fillId="0" borderId="0" xfId="0" applyFont="1" applyProtection="1">
      <protection locked="0"/>
    </xf>
    <xf numFmtId="0" fontId="17" fillId="0" borderId="0" xfId="0" applyFont="1" applyProtection="1">
      <protection locked="0"/>
    </xf>
    <xf numFmtId="14" fontId="67" fillId="0" borderId="0" xfId="0" applyNumberFormat="1" applyFont="1" applyProtection="1">
      <protection locked="0"/>
    </xf>
    <xf numFmtId="0" fontId="68" fillId="0" borderId="0" xfId="0" applyFont="1" applyAlignment="1" applyProtection="1">
      <alignment horizontal="left"/>
      <protection locked="0"/>
    </xf>
    <xf numFmtId="0" fontId="68" fillId="0" borderId="0" xfId="0" applyFont="1" applyAlignment="1" applyProtection="1">
      <alignment horizontal="left" vertical="center"/>
      <protection locked="0"/>
    </xf>
    <xf numFmtId="0" fontId="68" fillId="0" borderId="0" xfId="0" applyFont="1" applyAlignment="1" applyProtection="1">
      <alignment horizontal="left" vertical="top"/>
      <protection locked="0"/>
    </xf>
    <xf numFmtId="0" fontId="68" fillId="0" borderId="0" xfId="0" applyFont="1" applyAlignment="1" applyProtection="1">
      <alignment vertical="center"/>
      <protection locked="0"/>
    </xf>
    <xf numFmtId="14" fontId="68" fillId="0" borderId="0" xfId="0" applyNumberFormat="1" applyFont="1" applyAlignment="1" applyProtection="1">
      <alignment vertical="center"/>
      <protection locked="0"/>
    </xf>
    <xf numFmtId="0" fontId="12" fillId="0" borderId="0" xfId="0" applyFont="1" applyAlignment="1" applyProtection="1">
      <alignment vertical="center" wrapText="1"/>
      <protection locked="0"/>
    </xf>
    <xf numFmtId="0" fontId="69" fillId="29" borderId="51" xfId="0" applyFont="1" applyFill="1" applyBorder="1" applyAlignment="1" applyProtection="1">
      <alignment horizontal="center" vertical="center" wrapText="1"/>
      <protection locked="0"/>
    </xf>
    <xf numFmtId="0" fontId="70" fillId="29" borderId="51" xfId="0" applyFont="1" applyFill="1" applyBorder="1" applyAlignment="1" applyProtection="1">
      <alignment horizontal="center" vertical="center" wrapText="1"/>
      <protection locked="0"/>
    </xf>
    <xf numFmtId="0" fontId="12" fillId="0" borderId="0" xfId="0" applyFont="1" applyAlignment="1" applyProtection="1">
      <alignment horizontal="center" vertical="center" wrapText="1"/>
      <protection locked="0"/>
    </xf>
    <xf numFmtId="164" fontId="12" fillId="0" borderId="0" xfId="0" applyNumberFormat="1" applyFont="1" applyAlignment="1" applyProtection="1">
      <alignment horizontal="center" vertical="center" wrapText="1"/>
      <protection locked="0"/>
    </xf>
    <xf numFmtId="0" fontId="31" fillId="0" borderId="0" xfId="0" applyFont="1" applyProtection="1">
      <protection locked="0"/>
    </xf>
    <xf numFmtId="164" fontId="12" fillId="0" borderId="0" xfId="0" applyNumberFormat="1" applyFont="1" applyProtection="1">
      <protection locked="0"/>
    </xf>
    <xf numFmtId="164" fontId="12" fillId="0" borderId="0" xfId="0" applyNumberFormat="1" applyFont="1" applyAlignment="1" applyProtection="1">
      <alignment wrapText="1"/>
      <protection locked="0"/>
    </xf>
    <xf numFmtId="0" fontId="52" fillId="0" borderId="0" xfId="0" applyFont="1" applyAlignment="1" applyProtection="1">
      <alignment vertical="top"/>
      <protection locked="0"/>
    </xf>
    <xf numFmtId="0" fontId="45" fillId="0" borderId="0" xfId="0" applyFont="1" applyAlignment="1" applyProtection="1">
      <alignment vertical="top"/>
      <protection locked="0"/>
    </xf>
    <xf numFmtId="0" fontId="52" fillId="0" borderId="0" xfId="0" applyFont="1" applyAlignment="1" applyProtection="1">
      <alignment vertical="center"/>
      <protection locked="0"/>
    </xf>
    <xf numFmtId="0" fontId="45" fillId="0" borderId="0" xfId="0" applyFont="1" applyAlignment="1" applyProtection="1">
      <alignment vertical="center"/>
      <protection locked="0"/>
    </xf>
    <xf numFmtId="0" fontId="71" fillId="0" borderId="0" xfId="0" applyFont="1" applyAlignment="1" applyProtection="1">
      <alignment vertical="center"/>
      <protection locked="0"/>
    </xf>
    <xf numFmtId="0" fontId="49" fillId="0" borderId="0" xfId="0" applyFont="1" applyAlignment="1" applyProtection="1">
      <alignment vertical="center"/>
      <protection locked="0"/>
    </xf>
    <xf numFmtId="0" fontId="13" fillId="31" borderId="0" xfId="0" applyFont="1" applyFill="1" applyAlignment="1">
      <alignment horizontal="center"/>
    </xf>
    <xf numFmtId="0" fontId="72" fillId="9" borderId="0" xfId="0" applyFont="1" applyFill="1" applyAlignment="1">
      <alignment horizontal="center" vertical="center"/>
    </xf>
    <xf numFmtId="0" fontId="21" fillId="0" borderId="0" xfId="0" applyFont="1" applyAlignment="1">
      <alignment horizontal="center" vertical="center"/>
    </xf>
    <xf numFmtId="0" fontId="21" fillId="0" borderId="0" xfId="0" applyFont="1" applyAlignment="1">
      <alignment horizontal="left" vertical="center"/>
    </xf>
    <xf numFmtId="0" fontId="21" fillId="0" borderId="0" xfId="0" applyFont="1" applyAlignment="1">
      <alignment vertical="center"/>
    </xf>
    <xf numFmtId="0" fontId="36" fillId="20" borderId="57" xfId="0" applyFont="1" applyFill="1" applyBorder="1" applyAlignment="1">
      <alignment horizontal="center" vertical="center"/>
    </xf>
    <xf numFmtId="0" fontId="2" fillId="0" borderId="58" xfId="0" applyFont="1" applyBorder="1" applyAlignment="1">
      <alignment horizontal="center" vertical="center"/>
    </xf>
    <xf numFmtId="0" fontId="2" fillId="0" borderId="59" xfId="0" applyFont="1" applyBorder="1" applyAlignment="1">
      <alignment horizontal="center" vertical="center"/>
    </xf>
    <xf numFmtId="0" fontId="29" fillId="0" borderId="0" xfId="0" applyFont="1" applyAlignment="1" applyProtection="1">
      <alignment horizontal="center" vertical="center"/>
      <protection locked="0"/>
    </xf>
    <xf numFmtId="0" fontId="73" fillId="9" borderId="0" xfId="0" applyFont="1" applyFill="1" applyAlignment="1">
      <alignment horizontal="center" vertical="center"/>
    </xf>
    <xf numFmtId="0" fontId="36" fillId="20" borderId="46" xfId="0" applyFont="1" applyFill="1" applyBorder="1"/>
    <xf numFmtId="0" fontId="36" fillId="20" borderId="47" xfId="0" applyFont="1" applyFill="1" applyBorder="1"/>
    <xf numFmtId="0" fontId="36" fillId="20" borderId="48" xfId="0" applyFont="1" applyFill="1" applyBorder="1"/>
    <xf numFmtId="49" fontId="0" fillId="0" borderId="0" xfId="0" applyNumberFormat="1" applyAlignment="1">
      <alignment horizontal="left"/>
    </xf>
    <xf numFmtId="0" fontId="5" fillId="0" borderId="0" xfId="1" applyBorder="1" applyAlignment="1">
      <alignment horizontal="left"/>
    </xf>
    <xf numFmtId="0" fontId="3" fillId="0" borderId="60" xfId="0" applyFont="1" applyBorder="1"/>
    <xf numFmtId="0" fontId="3" fillId="0" borderId="61" xfId="0" applyFont="1" applyBorder="1"/>
    <xf numFmtId="22" fontId="0" fillId="21" borderId="1" xfId="0" applyNumberFormat="1" applyFill="1" applyBorder="1" applyAlignment="1">
      <alignment horizontal="center"/>
    </xf>
    <xf numFmtId="14" fontId="0" fillId="31" borderId="0" xfId="0" applyNumberFormat="1" applyFill="1" applyAlignment="1">
      <alignment horizontal="center"/>
    </xf>
    <xf numFmtId="0" fontId="12" fillId="32" borderId="0" xfId="0" applyFont="1" applyFill="1"/>
    <xf numFmtId="0" fontId="0" fillId="32" borderId="0" xfId="0" applyFill="1"/>
    <xf numFmtId="0" fontId="5" fillId="0" borderId="0" xfId="1" applyAlignment="1">
      <alignment horizontal="left"/>
    </xf>
    <xf numFmtId="14" fontId="0" fillId="0" borderId="0" xfId="0" applyNumberFormat="1" applyAlignment="1">
      <alignment horizontal="center"/>
    </xf>
    <xf numFmtId="0" fontId="0" fillId="0" borderId="0" xfId="0" quotePrefix="1" applyAlignment="1">
      <alignment horizontal="left"/>
    </xf>
    <xf numFmtId="0" fontId="23" fillId="12" borderId="0" xfId="2" applyAlignment="1"/>
    <xf numFmtId="0" fontId="0" fillId="0" borderId="0" xfId="0" applyAlignment="1">
      <alignment horizontal="left" vertical="center"/>
    </xf>
    <xf numFmtId="0" fontId="5" fillId="0" borderId="0" xfId="1" applyAlignment="1">
      <alignment horizontal="left" vertical="center"/>
    </xf>
    <xf numFmtId="0" fontId="23" fillId="12" borderId="57" xfId="2" applyBorder="1" applyAlignment="1">
      <alignment horizontal="left" vertical="center"/>
    </xf>
    <xf numFmtId="49" fontId="23" fillId="12" borderId="0" xfId="2" applyNumberFormat="1" applyAlignment="1">
      <alignment wrapText="1"/>
    </xf>
    <xf numFmtId="9" fontId="0" fillId="0" borderId="0" xfId="6" applyFont="1" applyAlignment="1"/>
    <xf numFmtId="14" fontId="23" fillId="12" borderId="56" xfId="2" applyNumberFormat="1" applyBorder="1" applyAlignment="1"/>
    <xf numFmtId="0" fontId="74" fillId="0" borderId="0" xfId="0" applyFont="1"/>
    <xf numFmtId="0" fontId="23" fillId="12" borderId="0" xfId="2" applyAlignment="1">
      <alignment horizontal="center" vertical="center"/>
    </xf>
    <xf numFmtId="0" fontId="2" fillId="0" borderId="0" xfId="0" applyFont="1"/>
    <xf numFmtId="49" fontId="0" fillId="0" borderId="0" xfId="0" quotePrefix="1" applyNumberFormat="1" applyAlignment="1">
      <alignment horizontal="left"/>
    </xf>
    <xf numFmtId="164" fontId="0" fillId="0" borderId="0" xfId="0" applyNumberFormat="1" applyAlignment="1">
      <alignment horizontal="left"/>
    </xf>
    <xf numFmtId="0" fontId="5" fillId="0" borderId="0" xfId="1" applyAlignment="1"/>
    <xf numFmtId="0" fontId="0" fillId="0" borderId="57" xfId="0" applyBorder="1"/>
    <xf numFmtId="0" fontId="0" fillId="30" borderId="57" xfId="0" applyFill="1" applyBorder="1"/>
    <xf numFmtId="0" fontId="3" fillId="0" borderId="58" xfId="0" applyFont="1" applyBorder="1"/>
    <xf numFmtId="0" fontId="3" fillId="0" borderId="59" xfId="0" applyFont="1" applyBorder="1"/>
    <xf numFmtId="0" fontId="39" fillId="9" borderId="0" xfId="0" applyFont="1" applyFill="1"/>
    <xf numFmtId="0" fontId="0" fillId="30" borderId="62" xfId="0" applyFill="1" applyBorder="1"/>
    <xf numFmtId="0" fontId="0" fillId="9" borderId="57" xfId="0" applyFill="1" applyBorder="1"/>
    <xf numFmtId="0" fontId="21" fillId="0" borderId="0" xfId="0" applyFont="1" applyAlignment="1" applyProtection="1">
      <alignment horizontal="left" vertical="top"/>
      <protection locked="0"/>
    </xf>
    <xf numFmtId="0" fontId="21" fillId="0" borderId="0" xfId="0" applyFont="1" applyAlignment="1" applyProtection="1">
      <alignment horizontal="left" vertical="top" wrapText="1"/>
      <protection locked="0"/>
    </xf>
    <xf numFmtId="0" fontId="75" fillId="9" borderId="63" xfId="2" applyFont="1" applyFill="1" applyBorder="1" applyAlignment="1">
      <alignment horizontal="center" vertical="center" wrapText="1"/>
    </xf>
    <xf numFmtId="0" fontId="36" fillId="33" borderId="64" xfId="0" applyFont="1" applyFill="1" applyBorder="1" applyAlignment="1">
      <alignment horizontal="center" vertical="center" wrapText="1"/>
    </xf>
    <xf numFmtId="0" fontId="36" fillId="33" borderId="65" xfId="0" applyFont="1" applyFill="1" applyBorder="1" applyAlignment="1">
      <alignment horizontal="center" vertical="center" wrapText="1"/>
    </xf>
    <xf numFmtId="0" fontId="75" fillId="9" borderId="65" xfId="2" applyFont="1" applyFill="1" applyBorder="1" applyAlignment="1">
      <alignment horizontal="center" vertical="center" wrapText="1"/>
    </xf>
    <xf numFmtId="0" fontId="36" fillId="33" borderId="66" xfId="0" applyFont="1" applyFill="1" applyBorder="1" applyAlignment="1">
      <alignment horizontal="center" vertical="center" wrapText="1"/>
    </xf>
    <xf numFmtId="0" fontId="13" fillId="0" borderId="0" xfId="0" applyFont="1" applyAlignment="1">
      <alignment horizontal="center" vertical="center" wrapText="1"/>
    </xf>
    <xf numFmtId="0" fontId="0" fillId="26" borderId="0" xfId="0" applyFill="1" applyAlignment="1">
      <alignment horizontal="center"/>
    </xf>
    <xf numFmtId="0" fontId="0" fillId="0" borderId="0" xfId="0" applyProtection="1">
      <protection hidden="1"/>
    </xf>
    <xf numFmtId="0" fontId="76" fillId="5" borderId="0" xfId="0" applyFont="1" applyFill="1" applyAlignment="1" applyProtection="1">
      <alignment horizontal="center" vertical="center" wrapText="1"/>
      <protection hidden="1"/>
    </xf>
    <xf numFmtId="0" fontId="32" fillId="19" borderId="0" xfId="0" applyFont="1" applyFill="1" applyAlignment="1" applyProtection="1">
      <alignment horizontal="centerContinuous" vertical="center" wrapText="1"/>
      <protection hidden="1"/>
    </xf>
    <xf numFmtId="0" fontId="33" fillId="19" borderId="0" xfId="0" applyFont="1" applyFill="1" applyAlignment="1" applyProtection="1">
      <alignment horizontal="centerContinuous" vertical="center" wrapText="1"/>
      <protection hidden="1"/>
    </xf>
    <xf numFmtId="0" fontId="0" fillId="0" borderId="0" xfId="0" applyAlignment="1" applyProtection="1">
      <alignment vertical="center"/>
      <protection hidden="1"/>
    </xf>
    <xf numFmtId="0" fontId="7" fillId="19" borderId="0" xfId="0" applyFont="1" applyFill="1" applyAlignment="1" applyProtection="1">
      <alignment horizontal="right" vertical="center" wrapText="1"/>
      <protection hidden="1"/>
    </xf>
    <xf numFmtId="0" fontId="7" fillId="19" borderId="0" xfId="0" applyFont="1" applyFill="1" applyAlignment="1" applyProtection="1">
      <alignment horizontal="right" vertical="center"/>
      <protection hidden="1"/>
    </xf>
    <xf numFmtId="0" fontId="8" fillId="19" borderId="0" xfId="0" applyFont="1" applyFill="1" applyAlignment="1" applyProtection="1">
      <alignment horizontal="center" vertical="center"/>
      <protection hidden="1"/>
    </xf>
    <xf numFmtId="14" fontId="8" fillId="19" borderId="0" xfId="0" applyNumberFormat="1" applyFont="1" applyFill="1" applyAlignment="1" applyProtection="1">
      <alignment horizontal="center" vertical="center"/>
      <protection hidden="1"/>
    </xf>
    <xf numFmtId="0" fontId="34" fillId="19" borderId="0" xfId="1" applyNumberFormat="1" applyFont="1" applyFill="1" applyBorder="1" applyAlignment="1" applyProtection="1">
      <alignment horizontal="left" vertical="center"/>
      <protection hidden="1"/>
    </xf>
    <xf numFmtId="1" fontId="33" fillId="19" borderId="0" xfId="0" applyNumberFormat="1" applyFont="1" applyFill="1" applyAlignment="1" applyProtection="1">
      <alignment horizontal="center" vertical="center" wrapText="1"/>
      <protection hidden="1"/>
    </xf>
    <xf numFmtId="0" fontId="35" fillId="19" borderId="0" xfId="0" applyFont="1" applyFill="1" applyAlignment="1" applyProtection="1">
      <alignment horizontal="center" vertical="center"/>
      <protection hidden="1"/>
    </xf>
    <xf numFmtId="164" fontId="8" fillId="19" borderId="0" xfId="0" applyNumberFormat="1" applyFont="1" applyFill="1" applyAlignment="1" applyProtection="1">
      <alignment horizontal="left" vertical="center"/>
      <protection hidden="1"/>
    </xf>
    <xf numFmtId="164" fontId="8" fillId="19" borderId="0" xfId="0" applyNumberFormat="1" applyFont="1" applyFill="1" applyAlignment="1" applyProtection="1">
      <alignment horizontal="center" vertical="center"/>
      <protection hidden="1"/>
    </xf>
    <xf numFmtId="0" fontId="77" fillId="18" borderId="0" xfId="0" applyFont="1" applyFill="1" applyAlignment="1" applyProtection="1">
      <alignment horizontal="center" vertical="center" wrapText="1"/>
      <protection hidden="1"/>
    </xf>
    <xf numFmtId="0" fontId="77" fillId="34" borderId="0" xfId="0" applyFont="1" applyFill="1" applyAlignment="1" applyProtection="1">
      <alignment horizontal="center" vertical="center" wrapText="1"/>
      <protection hidden="1"/>
    </xf>
    <xf numFmtId="0" fontId="7" fillId="0" borderId="0" xfId="0" applyFont="1" applyAlignment="1" applyProtection="1">
      <alignment horizontal="center" vertical="center" wrapText="1"/>
      <protection hidden="1"/>
    </xf>
    <xf numFmtId="0" fontId="76" fillId="0" borderId="0" xfId="0" applyFont="1" applyAlignment="1" applyProtection="1">
      <alignment horizontal="center" vertical="center" wrapText="1"/>
      <protection hidden="1"/>
    </xf>
    <xf numFmtId="0" fontId="76" fillId="0" borderId="0" xfId="0" applyFont="1" applyAlignment="1" applyProtection="1">
      <alignment horizontal="left" vertical="center" wrapText="1"/>
      <protection hidden="1"/>
    </xf>
    <xf numFmtId="0" fontId="3" fillId="0" borderId="0" xfId="0" applyFont="1" applyAlignment="1" applyProtection="1">
      <alignment horizontal="center" vertical="center" wrapText="1"/>
      <protection hidden="1"/>
    </xf>
    <xf numFmtId="164" fontId="76" fillId="0" borderId="0" xfId="0" applyNumberFormat="1" applyFont="1" applyAlignment="1" applyProtection="1">
      <alignment horizontal="center" vertical="center" wrapText="1"/>
      <protection hidden="1"/>
    </xf>
    <xf numFmtId="0" fontId="3" fillId="0" borderId="0" xfId="0" applyFont="1" applyAlignment="1" applyProtection="1">
      <alignment horizontal="left" vertical="center" wrapText="1"/>
      <protection hidden="1"/>
    </xf>
    <xf numFmtId="0" fontId="3" fillId="0" borderId="0" xfId="0" applyFont="1" applyAlignment="1" applyProtection="1">
      <alignment horizontal="center" vertical="center"/>
      <protection hidden="1"/>
    </xf>
    <xf numFmtId="0" fontId="76" fillId="0" borderId="0" xfId="0" applyFont="1" applyAlignment="1" applyProtection="1">
      <alignment vertical="center" wrapText="1"/>
      <protection hidden="1"/>
    </xf>
    <xf numFmtId="0" fontId="78" fillId="0" borderId="0" xfId="0" applyFont="1" applyAlignment="1" applyProtection="1">
      <alignment horizontal="center" vertical="center" wrapText="1"/>
      <protection hidden="1"/>
    </xf>
    <xf numFmtId="0" fontId="76" fillId="5" borderId="0" xfId="0" applyFont="1" applyFill="1" applyAlignment="1" applyProtection="1">
      <alignment vertical="top" wrapText="1"/>
      <protection hidden="1"/>
    </xf>
    <xf numFmtId="0" fontId="76" fillId="5" borderId="0" xfId="0" applyFont="1" applyFill="1" applyAlignment="1" applyProtection="1">
      <alignment horizontal="center" vertical="top" wrapText="1"/>
      <protection hidden="1"/>
    </xf>
    <xf numFmtId="0" fontId="76" fillId="5" borderId="0" xfId="0" applyFont="1" applyFill="1" applyAlignment="1" applyProtection="1">
      <alignment horizontal="left" vertical="top" wrapText="1"/>
      <protection hidden="1"/>
    </xf>
    <xf numFmtId="0" fontId="8" fillId="0" borderId="0" xfId="0" applyFont="1" applyAlignment="1" applyProtection="1">
      <alignment horizontal="center" vertical="center" wrapText="1"/>
      <protection hidden="1"/>
    </xf>
    <xf numFmtId="0" fontId="8" fillId="0" borderId="0" xfId="0" applyFont="1" applyAlignment="1" applyProtection="1">
      <alignment horizontal="left" vertical="top" wrapText="1"/>
      <protection hidden="1"/>
    </xf>
    <xf numFmtId="0" fontId="8" fillId="0" borderId="0" xfId="0" applyFont="1" applyAlignment="1" applyProtection="1">
      <alignment vertical="top" wrapText="1"/>
      <protection hidden="1"/>
    </xf>
    <xf numFmtId="0" fontId="8" fillId="0" borderId="0" xfId="0" applyFont="1" applyAlignment="1" applyProtection="1">
      <alignment wrapText="1"/>
      <protection hidden="1"/>
    </xf>
    <xf numFmtId="14" fontId="8" fillId="0" borderId="0" xfId="0" applyNumberFormat="1" applyFont="1" applyAlignment="1" applyProtection="1">
      <alignment horizontal="left" vertical="top" wrapText="1"/>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1" fontId="35" fillId="19" borderId="0" xfId="0" applyNumberFormat="1" applyFont="1" applyFill="1" applyAlignment="1" applyProtection="1">
      <alignment horizontal="center" vertical="center"/>
      <protection hidden="1"/>
    </xf>
    <xf numFmtId="0" fontId="41" fillId="20" borderId="67" xfId="0" applyFont="1" applyFill="1" applyBorder="1" applyAlignment="1">
      <alignment horizontal="center" vertical="center" wrapText="1"/>
    </xf>
    <xf numFmtId="0" fontId="0" fillId="26" borderId="40" xfId="0" applyFill="1" applyBorder="1"/>
    <xf numFmtId="0" fontId="0" fillId="26" borderId="40" xfId="0" applyFill="1" applyBorder="1" applyAlignment="1">
      <alignment horizontal="left" vertical="top"/>
    </xf>
    <xf numFmtId="0" fontId="21" fillId="0" borderId="11" xfId="0" applyFont="1" applyBorder="1" applyAlignment="1">
      <alignment horizontal="left" vertical="center" indent="1"/>
    </xf>
    <xf numFmtId="14" fontId="0" fillId="26" borderId="40" xfId="0" applyNumberFormat="1" applyFill="1" applyBorder="1"/>
    <xf numFmtId="0" fontId="57" fillId="0" borderId="26" xfId="0" applyFont="1" applyBorder="1" applyAlignment="1">
      <alignment vertical="top" wrapText="1"/>
    </xf>
    <xf numFmtId="0" fontId="0" fillId="35" borderId="29" xfId="0" applyFill="1" applyBorder="1"/>
    <xf numFmtId="0" fontId="0" fillId="35" borderId="34" xfId="0" applyFill="1" applyBorder="1"/>
    <xf numFmtId="0" fontId="0" fillId="35" borderId="30" xfId="0" applyFill="1" applyBorder="1"/>
    <xf numFmtId="0" fontId="21" fillId="0" borderId="12" xfId="0" applyFont="1" applyBorder="1" applyAlignment="1">
      <alignment horizontal="left" vertical="center" indent="1"/>
    </xf>
    <xf numFmtId="0" fontId="57" fillId="0" borderId="49" xfId="0" applyFont="1" applyBorder="1" applyAlignment="1">
      <alignment vertical="top" wrapText="1"/>
    </xf>
    <xf numFmtId="0" fontId="0" fillId="26" borderId="40" xfId="0" applyFill="1" applyBorder="1" applyAlignment="1">
      <alignment horizontal="left" vertical="top" wrapText="1"/>
    </xf>
    <xf numFmtId="0" fontId="17" fillId="0" borderId="69" xfId="0" applyFont="1" applyBorder="1" applyAlignment="1">
      <alignment vertical="top" wrapText="1"/>
    </xf>
    <xf numFmtId="0" fontId="17" fillId="0" borderId="70" xfId="0" applyFont="1" applyBorder="1" applyAlignment="1">
      <alignment vertical="top" wrapText="1"/>
    </xf>
    <xf numFmtId="0" fontId="17" fillId="0" borderId="70" xfId="0" applyFont="1" applyBorder="1" applyAlignment="1">
      <alignment vertical="justify" wrapText="1"/>
    </xf>
    <xf numFmtId="0" fontId="13" fillId="0" borderId="71" xfId="0" applyFont="1" applyBorder="1" applyAlignment="1">
      <alignment horizontal="left" vertical="top" indent="1"/>
    </xf>
    <xf numFmtId="0" fontId="0" fillId="0" borderId="72" xfId="0" applyBorder="1"/>
    <xf numFmtId="0" fontId="12" fillId="0" borderId="40" xfId="0" applyFont="1" applyBorder="1" applyAlignment="1">
      <alignment horizontal="center" vertical="center" wrapText="1"/>
    </xf>
    <xf numFmtId="0" fontId="21" fillId="0" borderId="73" xfId="0" applyFont="1" applyBorder="1"/>
    <xf numFmtId="0" fontId="21" fillId="0" borderId="40" xfId="0" applyFont="1" applyBorder="1"/>
    <xf numFmtId="0" fontId="0" fillId="26" borderId="40" xfId="0" applyFill="1" applyBorder="1" applyAlignment="1">
      <alignment wrapText="1"/>
    </xf>
    <xf numFmtId="0" fontId="21" fillId="0" borderId="73" xfId="0" applyFont="1" applyBorder="1" applyAlignment="1">
      <alignment horizontal="left" vertical="center"/>
    </xf>
    <xf numFmtId="0" fontId="21" fillId="0" borderId="40" xfId="0" applyFont="1" applyBorder="1" applyAlignment="1">
      <alignment horizontal="left" vertical="center"/>
    </xf>
    <xf numFmtId="0" fontId="12" fillId="18" borderId="40" xfId="0" applyFont="1" applyFill="1" applyBorder="1" applyAlignment="1">
      <alignment horizontal="center" vertical="center" wrapText="1"/>
    </xf>
    <xf numFmtId="0" fontId="21" fillId="36" borderId="75" xfId="0" applyFont="1" applyFill="1" applyBorder="1"/>
    <xf numFmtId="0" fontId="21" fillId="36" borderId="76" xfId="0" applyFont="1" applyFill="1" applyBorder="1"/>
    <xf numFmtId="0" fontId="21" fillId="0" borderId="73" xfId="0" applyFont="1" applyBorder="1" applyAlignment="1">
      <alignment vertical="center"/>
    </xf>
    <xf numFmtId="0" fontId="21" fillId="0" borderId="40" xfId="0" applyFont="1" applyBorder="1" applyAlignment="1">
      <alignment vertical="center"/>
    </xf>
    <xf numFmtId="0" fontId="21" fillId="36" borderId="78" xfId="0" applyFont="1" applyFill="1" applyBorder="1"/>
    <xf numFmtId="0" fontId="21" fillId="36" borderId="79" xfId="0" applyFont="1" applyFill="1" applyBorder="1"/>
    <xf numFmtId="0" fontId="17" fillId="26" borderId="81" xfId="0" applyFont="1" applyFill="1" applyBorder="1" applyAlignment="1">
      <alignment horizontal="center"/>
    </xf>
    <xf numFmtId="0" fontId="13" fillId="26" borderId="82" xfId="0" applyFont="1" applyFill="1" applyBorder="1"/>
    <xf numFmtId="0" fontId="13" fillId="26" borderId="83" xfId="0" applyFont="1" applyFill="1" applyBorder="1" applyAlignment="1">
      <alignment horizontal="center"/>
    </xf>
    <xf numFmtId="0" fontId="13" fillId="26" borderId="0" xfId="0" applyFont="1" applyFill="1" applyAlignment="1">
      <alignment horizontal="center" vertical="center"/>
    </xf>
    <xf numFmtId="0" fontId="0" fillId="26" borderId="0" xfId="0" applyFill="1"/>
    <xf numFmtId="0" fontId="0" fillId="26" borderId="0" xfId="0" applyFill="1" applyAlignment="1">
      <alignment horizontal="left" vertical="top" wrapText="1"/>
    </xf>
    <xf numFmtId="0" fontId="0" fillId="26" borderId="0" xfId="0" applyFill="1" applyAlignment="1">
      <alignment horizontal="left" vertical="top"/>
    </xf>
    <xf numFmtId="0" fontId="37" fillId="5" borderId="0" xfId="0" applyFont="1" applyFill="1"/>
    <xf numFmtId="0" fontId="13" fillId="0" borderId="0" xfId="0" applyFont="1" applyAlignment="1">
      <alignment horizontal="left" vertical="center" indent="17"/>
    </xf>
    <xf numFmtId="0" fontId="13" fillId="0" borderId="0" xfId="0" applyFont="1" applyAlignment="1">
      <alignment vertical="center"/>
    </xf>
    <xf numFmtId="0" fontId="76" fillId="0" borderId="0" xfId="0" applyFont="1" applyAlignment="1" applyProtection="1">
      <alignment horizontal="center" vertical="center" wrapText="1"/>
      <protection locked="0"/>
    </xf>
    <xf numFmtId="22" fontId="0" fillId="9" borderId="0" xfId="0" applyNumberFormat="1" applyFill="1"/>
    <xf numFmtId="14" fontId="29" fillId="0" borderId="0" xfId="3" applyNumberFormat="1" applyFont="1" applyFill="1" applyProtection="1">
      <protection locked="0"/>
    </xf>
    <xf numFmtId="0" fontId="5" fillId="0" borderId="0" xfId="1"/>
    <xf numFmtId="0" fontId="37" fillId="0" borderId="0" xfId="0" applyFont="1" applyProtection="1">
      <protection locked="0"/>
    </xf>
    <xf numFmtId="0" fontId="36" fillId="0" borderId="0" xfId="0" applyFont="1"/>
    <xf numFmtId="0" fontId="85" fillId="0" borderId="0" xfId="1" applyFont="1"/>
    <xf numFmtId="0" fontId="25" fillId="15" borderId="0" xfId="3"/>
    <xf numFmtId="0" fontId="29" fillId="0" borderId="0" xfId="0" applyFont="1"/>
    <xf numFmtId="0" fontId="29" fillId="0" borderId="0" xfId="2" applyFont="1" applyFill="1" applyAlignment="1" applyProtection="1">
      <alignment horizontal="center"/>
      <protection locked="0"/>
    </xf>
    <xf numFmtId="0" fontId="29" fillId="0" borderId="0" xfId="2" applyFont="1" applyFill="1"/>
    <xf numFmtId="0" fontId="8" fillId="0" borderId="0" xfId="0" applyFont="1" applyProtection="1">
      <protection locked="0"/>
    </xf>
    <xf numFmtId="0" fontId="8" fillId="0" borderId="0" xfId="0" applyFont="1" applyAlignment="1" applyProtection="1">
      <alignment vertical="center"/>
      <protection locked="0"/>
    </xf>
    <xf numFmtId="0" fontId="11" fillId="0" borderId="0" xfId="0" applyFont="1" applyAlignment="1" applyProtection="1">
      <alignment horizontal="left" vertical="center" wrapText="1"/>
      <protection locked="0"/>
    </xf>
    <xf numFmtId="0" fontId="30" fillId="0" borderId="0" xfId="0" applyFont="1" applyProtection="1">
      <protection locked="0"/>
    </xf>
    <xf numFmtId="0" fontId="11" fillId="0" borderId="0" xfId="0" applyFont="1" applyAlignment="1" applyProtection="1">
      <alignment horizontal="center" vertical="center" wrapText="1"/>
      <protection locked="0"/>
    </xf>
    <xf numFmtId="0" fontId="3" fillId="0" borderId="0" xfId="0" applyFont="1" applyAlignment="1" applyProtection="1">
      <alignment horizontal="center" vertical="center"/>
      <protection locked="0"/>
    </xf>
    <xf numFmtId="0" fontId="3" fillId="0" borderId="0" xfId="0" applyFont="1" applyAlignment="1" applyProtection="1">
      <alignment vertical="center"/>
      <protection locked="0"/>
    </xf>
    <xf numFmtId="0" fontId="30" fillId="0" borderId="0" xfId="0" applyFont="1" applyAlignment="1" applyProtection="1">
      <alignment horizontal="center"/>
      <protection locked="0"/>
    </xf>
    <xf numFmtId="0" fontId="30" fillId="0" borderId="0" xfId="0" applyFont="1"/>
    <xf numFmtId="0" fontId="3" fillId="0" borderId="0" xfId="0" applyFont="1" applyAlignment="1" applyProtection="1">
      <alignment horizontal="center"/>
      <protection locked="0"/>
    </xf>
    <xf numFmtId="0" fontId="2" fillId="0" borderId="0" xfId="0" applyFont="1" applyProtection="1">
      <protection locked="0"/>
    </xf>
    <xf numFmtId="0" fontId="2" fillId="0" borderId="0" xfId="0" applyFont="1" applyAlignment="1" applyProtection="1">
      <alignment horizontal="center"/>
      <protection locked="0"/>
    </xf>
    <xf numFmtId="0" fontId="11" fillId="0" borderId="46" xfId="0" applyFont="1" applyBorder="1" applyAlignment="1">
      <alignment horizontal="left" vertical="center" wrapText="1"/>
    </xf>
    <xf numFmtId="0" fontId="8" fillId="0" borderId="0" xfId="0" applyFont="1" applyAlignment="1" applyProtection="1">
      <alignment horizontal="center"/>
      <protection locked="0"/>
    </xf>
    <xf numFmtId="0" fontId="8" fillId="0" borderId="0" xfId="0" applyFont="1" applyAlignment="1" applyProtection="1">
      <alignment horizontal="center" vertical="center"/>
      <protection locked="0"/>
    </xf>
    <xf numFmtId="0" fontId="29" fillId="0" borderId="0" xfId="0" applyFont="1" applyAlignment="1">
      <alignment horizontal="center"/>
    </xf>
    <xf numFmtId="0" fontId="30" fillId="0" borderId="0" xfId="5" applyFont="1" applyFill="1" applyBorder="1" applyAlignment="1" applyProtection="1">
      <alignment horizontal="center" vertical="center" wrapText="1"/>
      <protection locked="0"/>
    </xf>
    <xf numFmtId="0" fontId="8" fillId="0" borderId="0" xfId="5" applyFont="1" applyFill="1" applyBorder="1" applyAlignment="1" applyProtection="1">
      <alignment horizontal="center" vertical="center" wrapText="1"/>
      <protection locked="0"/>
    </xf>
    <xf numFmtId="0" fontId="8" fillId="8" borderId="0" xfId="0" applyFont="1" applyFill="1" applyAlignment="1" applyProtection="1">
      <alignment vertical="center"/>
      <protection locked="0"/>
    </xf>
    <xf numFmtId="0" fontId="11" fillId="21" borderId="0" xfId="0" applyFont="1" applyFill="1" applyAlignment="1" applyProtection="1">
      <alignment horizontal="left" vertical="center" wrapText="1"/>
      <protection locked="0"/>
    </xf>
    <xf numFmtId="0" fontId="11" fillId="21" borderId="0" xfId="5" applyFont="1" applyFill="1" applyBorder="1" applyAlignment="1" applyProtection="1">
      <alignment horizontal="center" vertical="center" wrapText="1"/>
      <protection locked="0"/>
    </xf>
    <xf numFmtId="0" fontId="8" fillId="8" borderId="0" xfId="0" applyFont="1" applyFill="1" applyAlignment="1" applyProtection="1">
      <alignment horizontal="center" vertical="center"/>
      <protection locked="0"/>
    </xf>
    <xf numFmtId="0" fontId="8" fillId="8" borderId="0" xfId="0" applyFont="1" applyFill="1" applyProtection="1">
      <protection locked="0"/>
    </xf>
    <xf numFmtId="0" fontId="0" fillId="0" borderId="33" xfId="0" applyBorder="1" applyAlignment="1">
      <alignment horizontal="center"/>
    </xf>
    <xf numFmtId="0" fontId="0" fillId="0" borderId="12" xfId="0" applyBorder="1" applyAlignment="1">
      <alignment horizontal="center"/>
    </xf>
    <xf numFmtId="0" fontId="3" fillId="0" borderId="0" xfId="0" applyFont="1" applyAlignment="1">
      <alignment horizontal="center" vertical="center" wrapText="1"/>
    </xf>
    <xf numFmtId="14" fontId="29" fillId="0" borderId="0" xfId="0" applyNumberFormat="1" applyFont="1" applyProtection="1">
      <protection locked="0"/>
    </xf>
    <xf numFmtId="0" fontId="29" fillId="0" borderId="0" xfId="0" applyFont="1" applyAlignment="1" applyProtection="1">
      <alignment horizontal="center"/>
      <protection locked="0"/>
    </xf>
    <xf numFmtId="0" fontId="29" fillId="0" borderId="84" xfId="0" applyFont="1" applyBorder="1"/>
    <xf numFmtId="0" fontId="2" fillId="0" borderId="47" xfId="0" applyFont="1" applyBorder="1" applyAlignment="1">
      <alignment horizontal="center" vertical="center" wrapText="1"/>
    </xf>
    <xf numFmtId="0" fontId="3" fillId="0" borderId="0" xfId="4" applyFont="1" applyFill="1" applyAlignment="1">
      <alignment horizontal="center" vertical="center" wrapText="1"/>
    </xf>
    <xf numFmtId="0" fontId="3" fillId="0" borderId="0" xfId="2" applyFont="1" applyFill="1"/>
    <xf numFmtId="0" fontId="8" fillId="0" borderId="0" xfId="0" applyFont="1"/>
    <xf numFmtId="14" fontId="3" fillId="0" borderId="0" xfId="2" applyNumberFormat="1" applyFont="1" applyFill="1" applyAlignment="1">
      <alignment horizontal="center"/>
    </xf>
    <xf numFmtId="0" fontId="3" fillId="0" borderId="0" xfId="2" applyFont="1" applyFill="1" applyAlignment="1"/>
    <xf numFmtId="0" fontId="3" fillId="0" borderId="0" xfId="2" applyFont="1" applyFill="1" applyAlignment="1" applyProtection="1">
      <protection locked="0"/>
    </xf>
    <xf numFmtId="0" fontId="2" fillId="0" borderId="53" xfId="0" applyFont="1" applyBorder="1" applyAlignment="1">
      <alignment horizontal="center" vertical="center" wrapText="1"/>
    </xf>
    <xf numFmtId="0" fontId="2" fillId="0" borderId="54" xfId="0" applyFont="1" applyBorder="1" applyAlignment="1">
      <alignment horizontal="center" vertical="center" wrapText="1"/>
    </xf>
    <xf numFmtId="0" fontId="2" fillId="0" borderId="54" xfId="4" applyFont="1" applyFill="1" applyBorder="1" applyAlignment="1">
      <alignment horizontal="center" vertical="center" wrapText="1"/>
    </xf>
    <xf numFmtId="0" fontId="2" fillId="0" borderId="55" xfId="0" applyFont="1" applyBorder="1" applyAlignment="1">
      <alignment horizontal="center" vertical="center" wrapText="1"/>
    </xf>
    <xf numFmtId="14" fontId="3" fillId="0" borderId="0" xfId="2" applyNumberFormat="1" applyFont="1" applyFill="1" applyProtection="1">
      <protection locked="0"/>
    </xf>
    <xf numFmtId="14" fontId="3" fillId="0" borderId="0" xfId="0" applyNumberFormat="1" applyFont="1"/>
    <xf numFmtId="14" fontId="3" fillId="0" borderId="0" xfId="0" applyNumberFormat="1" applyFont="1" applyAlignment="1">
      <alignment horizontal="center" vertical="center" wrapText="1"/>
    </xf>
    <xf numFmtId="14" fontId="29" fillId="0" borderId="0" xfId="0" applyNumberFormat="1" applyFont="1"/>
    <xf numFmtId="14" fontId="29" fillId="0" borderId="0" xfId="2" applyNumberFormat="1" applyFont="1" applyFill="1" applyAlignment="1">
      <alignment horizontal="center"/>
    </xf>
    <xf numFmtId="0" fontId="3" fillId="0" borderId="0" xfId="0" applyFont="1" applyAlignment="1">
      <alignment horizontal="center" vertical="center"/>
    </xf>
    <xf numFmtId="0" fontId="29" fillId="0" borderId="50" xfId="2" applyFont="1" applyFill="1" applyBorder="1"/>
    <xf numFmtId="14" fontId="29" fillId="0" borderId="0" xfId="2" applyNumberFormat="1" applyFont="1" applyFill="1"/>
    <xf numFmtId="0" fontId="29" fillId="0" borderId="0" xfId="2" applyFont="1" applyFill="1" applyBorder="1"/>
    <xf numFmtId="0" fontId="2" fillId="0" borderId="53" xfId="0" applyFont="1" applyBorder="1" applyAlignment="1">
      <alignment horizontal="center" vertical="center"/>
    </xf>
    <xf numFmtId="0" fontId="2" fillId="0" borderId="54" xfId="0" applyFont="1" applyBorder="1" applyAlignment="1">
      <alignment horizontal="center" vertical="center"/>
    </xf>
    <xf numFmtId="0" fontId="2" fillId="0" borderId="54" xfId="4" applyFont="1" applyFill="1" applyBorder="1" applyAlignment="1">
      <alignment horizontal="center" vertical="center"/>
    </xf>
    <xf numFmtId="0" fontId="2" fillId="0" borderId="55" xfId="0" applyFont="1" applyBorder="1" applyAlignment="1">
      <alignment horizontal="center" vertical="center"/>
    </xf>
    <xf numFmtId="0" fontId="2" fillId="0" borderId="46" xfId="0" applyFont="1" applyBorder="1" applyAlignment="1">
      <alignment horizontal="center" vertical="center" wrapText="1"/>
    </xf>
    <xf numFmtId="0" fontId="2" fillId="0" borderId="47" xfId="4" applyFont="1" applyFill="1" applyBorder="1" applyAlignment="1">
      <alignment horizontal="center" vertical="center" wrapText="1"/>
    </xf>
    <xf numFmtId="0" fontId="2" fillId="0" borderId="48" xfId="0" applyFont="1" applyBorder="1" applyAlignment="1">
      <alignment horizontal="center" vertical="center" wrapText="1"/>
    </xf>
    <xf numFmtId="0" fontId="29" fillId="0" borderId="0" xfId="2" applyFont="1" applyFill="1" applyAlignment="1"/>
    <xf numFmtId="0" fontId="41" fillId="0" borderId="0" xfId="0" applyFont="1"/>
    <xf numFmtId="0" fontId="2" fillId="0" borderId="0" xfId="0" applyFont="1" applyAlignment="1">
      <alignment horizontal="center" vertical="center" wrapText="1"/>
    </xf>
    <xf numFmtId="0" fontId="2" fillId="0" borderId="0" xfId="4" applyFont="1" applyFill="1" applyBorder="1" applyAlignment="1">
      <alignment horizontal="center" vertical="center" wrapText="1"/>
    </xf>
    <xf numFmtId="0" fontId="13" fillId="5" borderId="14" xfId="0" applyFont="1" applyFill="1" applyBorder="1" applyAlignment="1" applyProtection="1">
      <alignment vertical="center"/>
      <protection locked="0"/>
    </xf>
    <xf numFmtId="0" fontId="22" fillId="37" borderId="21" xfId="0" applyFont="1" applyFill="1" applyBorder="1" applyAlignment="1" applyProtection="1">
      <alignment horizontal="centerContinuous"/>
      <protection locked="0"/>
    </xf>
    <xf numFmtId="0" fontId="22" fillId="37" borderId="23" xfId="0" applyFont="1" applyFill="1" applyBorder="1" applyAlignment="1" applyProtection="1">
      <alignment horizontal="centerContinuous"/>
      <protection locked="0"/>
    </xf>
    <xf numFmtId="0" fontId="22" fillId="37" borderId="23" xfId="0" applyFont="1" applyFill="1" applyBorder="1" applyAlignment="1" applyProtection="1">
      <alignment horizontal="centerContinuous" wrapText="1"/>
      <protection locked="0"/>
    </xf>
    <xf numFmtId="0" fontId="22" fillId="37" borderId="26" xfId="0" applyFont="1" applyFill="1" applyBorder="1" applyAlignment="1" applyProtection="1">
      <alignment horizontal="centerContinuous"/>
      <protection locked="0"/>
    </xf>
    <xf numFmtId="0" fontId="69" fillId="37" borderId="31" xfId="0" applyFont="1" applyFill="1" applyBorder="1" applyAlignment="1" applyProtection="1">
      <alignment horizontal="right" vertical="center" wrapText="1" indent="1"/>
      <protection locked="0"/>
    </xf>
    <xf numFmtId="1" fontId="42" fillId="37" borderId="0" xfId="0" applyNumberFormat="1" applyFont="1" applyFill="1" applyAlignment="1" applyProtection="1">
      <alignment horizontal="left" vertical="center" indent="1"/>
      <protection locked="0"/>
    </xf>
    <xf numFmtId="0" fontId="42" fillId="37" borderId="0" xfId="0" applyFont="1" applyFill="1" applyAlignment="1" applyProtection="1">
      <alignment horizontal="left" vertical="center" wrapText="1"/>
      <protection locked="0"/>
    </xf>
    <xf numFmtId="0" fontId="22" fillId="37" borderId="0" xfId="0" applyFont="1" applyFill="1" applyProtection="1">
      <protection locked="0"/>
    </xf>
    <xf numFmtId="0" fontId="16" fillId="37" borderId="0" xfId="0" applyFont="1" applyFill="1" applyAlignment="1" applyProtection="1">
      <alignment horizontal="right" vertical="center"/>
      <protection locked="0"/>
    </xf>
    <xf numFmtId="0" fontId="42" fillId="37" borderId="0" xfId="0" applyFont="1" applyFill="1" applyAlignment="1" applyProtection="1">
      <alignment horizontal="left" vertical="center" indent="1"/>
      <protection locked="0"/>
    </xf>
    <xf numFmtId="0" fontId="37" fillId="37" borderId="32" xfId="0" applyFont="1" applyFill="1" applyBorder="1" applyAlignment="1" applyProtection="1">
      <alignment horizontal="center" vertical="center"/>
      <protection locked="0"/>
    </xf>
    <xf numFmtId="0" fontId="36" fillId="37" borderId="32" xfId="0" applyFont="1" applyFill="1" applyBorder="1" applyAlignment="1" applyProtection="1">
      <alignment horizontal="center" vertical="center"/>
      <protection locked="0"/>
    </xf>
    <xf numFmtId="0" fontId="69" fillId="37" borderId="24" xfId="0" applyFont="1" applyFill="1" applyBorder="1" applyAlignment="1" applyProtection="1">
      <alignment horizontal="right" vertical="center" wrapText="1" indent="1"/>
      <protection locked="0"/>
    </xf>
    <xf numFmtId="1" fontId="42" fillId="37" borderId="25" xfId="0" applyNumberFormat="1" applyFont="1" applyFill="1" applyBorder="1" applyAlignment="1" applyProtection="1">
      <alignment horizontal="left" vertical="center" indent="1"/>
      <protection locked="0"/>
    </xf>
    <xf numFmtId="0" fontId="42" fillId="37" borderId="25" xfId="0" applyFont="1" applyFill="1" applyBorder="1" applyAlignment="1" applyProtection="1">
      <alignment horizontal="left" vertical="center" wrapText="1"/>
      <protection locked="0"/>
    </xf>
    <xf numFmtId="0" fontId="22" fillId="37" borderId="25" xfId="0" applyFont="1" applyFill="1" applyBorder="1" applyProtection="1">
      <protection locked="0"/>
    </xf>
    <xf numFmtId="0" fontId="16" fillId="37" borderId="25" xfId="0" applyFont="1" applyFill="1" applyBorder="1" applyAlignment="1" applyProtection="1">
      <alignment horizontal="right" vertical="center" wrapText="1"/>
      <protection locked="0"/>
    </xf>
    <xf numFmtId="0" fontId="36" fillId="37" borderId="11" xfId="0" applyFont="1" applyFill="1" applyBorder="1" applyAlignment="1" applyProtection="1">
      <alignment horizontal="left" vertical="top" wrapText="1"/>
      <protection locked="0"/>
    </xf>
    <xf numFmtId="0" fontId="3" fillId="8" borderId="0" xfId="0" applyFont="1" applyFill="1"/>
    <xf numFmtId="0" fontId="39" fillId="8" borderId="0" xfId="0" applyFont="1" applyFill="1"/>
    <xf numFmtId="0" fontId="12" fillId="23" borderId="0" xfId="0" applyFont="1" applyFill="1"/>
    <xf numFmtId="0" fontId="12" fillId="8" borderId="0" xfId="0" applyFont="1" applyFill="1"/>
    <xf numFmtId="0" fontId="0" fillId="8" borderId="0" xfId="0" applyFill="1"/>
    <xf numFmtId="9" fontId="12" fillId="0" borderId="0" xfId="6" applyFont="1" applyFill="1"/>
    <xf numFmtId="0" fontId="30" fillId="38" borderId="0" xfId="0" applyFont="1" applyFill="1" applyProtection="1">
      <protection locked="0"/>
    </xf>
    <xf numFmtId="0" fontId="30" fillId="38" borderId="0" xfId="0" applyFont="1" applyFill="1"/>
    <xf numFmtId="0" fontId="29" fillId="38" borderId="0" xfId="0" applyFont="1" applyFill="1" applyAlignment="1">
      <alignment horizontal="center"/>
    </xf>
    <xf numFmtId="0" fontId="29" fillId="38" borderId="0" xfId="0" applyFont="1" applyFill="1"/>
    <xf numFmtId="0" fontId="11" fillId="38" borderId="0" xfId="0" applyFont="1" applyFill="1" applyProtection="1">
      <protection locked="0"/>
    </xf>
    <xf numFmtId="0" fontId="60" fillId="38" borderId="0" xfId="0" applyFont="1" applyFill="1"/>
    <xf numFmtId="0" fontId="57" fillId="38" borderId="0" xfId="0" applyFont="1" applyFill="1"/>
    <xf numFmtId="0" fontId="30" fillId="38" borderId="0" xfId="0" applyFont="1" applyFill="1" applyAlignment="1" applyProtection="1">
      <alignment horizontal="center"/>
      <protection locked="0"/>
    </xf>
    <xf numFmtId="0" fontId="7" fillId="8" borderId="1" xfId="0" applyFont="1" applyFill="1" applyBorder="1" applyAlignment="1" applyProtection="1">
      <alignment horizontal="center" vertical="center" wrapText="1"/>
      <protection locked="0"/>
    </xf>
    <xf numFmtId="0" fontId="3" fillId="9" borderId="33" xfId="0" applyFont="1" applyFill="1" applyBorder="1" applyAlignment="1">
      <alignment horizontal="center"/>
    </xf>
    <xf numFmtId="0" fontId="87" fillId="37" borderId="23" xfId="0" applyFont="1" applyFill="1" applyBorder="1" applyAlignment="1" applyProtection="1">
      <alignment horizontal="centerContinuous" vertical="center" wrapText="1"/>
      <protection locked="0"/>
    </xf>
    <xf numFmtId="0" fontId="88" fillId="37" borderId="32" xfId="0" applyFont="1" applyFill="1" applyBorder="1" applyAlignment="1" applyProtection="1">
      <alignment horizontal="center" vertical="center"/>
      <protection locked="0"/>
    </xf>
    <xf numFmtId="0" fontId="89" fillId="37" borderId="25" xfId="0" applyFont="1" applyFill="1" applyBorder="1" applyProtection="1">
      <protection locked="0"/>
    </xf>
    <xf numFmtId="0" fontId="23" fillId="12" borderId="56" xfId="2" applyBorder="1"/>
    <xf numFmtId="1" fontId="8" fillId="19" borderId="0" xfId="0" applyNumberFormat="1" applyFont="1" applyFill="1" applyAlignment="1" applyProtection="1">
      <alignment horizontal="center" vertical="center"/>
      <protection hidden="1"/>
    </xf>
    <xf numFmtId="14" fontId="8" fillId="19" borderId="0" xfId="0" applyNumberFormat="1" applyFont="1" applyFill="1" applyAlignment="1" applyProtection="1">
      <alignment horizontal="left" vertical="center"/>
      <protection hidden="1"/>
    </xf>
    <xf numFmtId="0" fontId="79" fillId="19" borderId="0" xfId="0" applyFont="1" applyFill="1" applyAlignment="1" applyProtection="1">
      <alignment horizontal="center" vertical="center" wrapText="1"/>
      <protection hidden="1"/>
    </xf>
    <xf numFmtId="14" fontId="89" fillId="19" borderId="0" xfId="0" applyNumberFormat="1" applyFont="1" applyFill="1" applyAlignment="1" applyProtection="1">
      <alignment horizontal="center" vertical="center"/>
      <protection hidden="1"/>
    </xf>
    <xf numFmtId="0" fontId="21" fillId="0" borderId="0" xfId="0" applyFont="1"/>
    <xf numFmtId="0" fontId="23" fillId="12" borderId="0" xfId="2" applyAlignment="1">
      <alignment horizontal="center" vertical="center" wrapText="1"/>
    </xf>
    <xf numFmtId="0" fontId="29" fillId="0" borderId="0" xfId="0" applyFont="1" applyAlignment="1">
      <alignment wrapText="1"/>
    </xf>
    <xf numFmtId="0" fontId="29" fillId="39" borderId="0" xfId="0" applyFont="1" applyFill="1" applyAlignment="1">
      <alignment wrapText="1"/>
    </xf>
    <xf numFmtId="0" fontId="91" fillId="5" borderId="8" xfId="0" applyFont="1" applyFill="1" applyBorder="1" applyAlignment="1" applyProtection="1">
      <alignment vertical="center"/>
      <protection locked="0"/>
    </xf>
    <xf numFmtId="0" fontId="29" fillId="0" borderId="50" xfId="0" applyFont="1" applyBorder="1"/>
    <xf numFmtId="0" fontId="41" fillId="9" borderId="0" xfId="0" applyFont="1" applyFill="1"/>
    <xf numFmtId="0" fontId="16" fillId="37" borderId="0" xfId="0" applyFont="1" applyFill="1" applyAlignment="1" applyProtection="1">
      <alignment horizontal="center" vertical="center" wrapText="1"/>
      <protection locked="0"/>
    </xf>
    <xf numFmtId="0" fontId="92" fillId="5" borderId="15" xfId="1" applyFont="1" applyFill="1" applyBorder="1" applyAlignment="1" applyProtection="1">
      <alignment vertical="center"/>
      <protection locked="0"/>
    </xf>
    <xf numFmtId="0" fontId="84" fillId="2" borderId="30" xfId="1" applyFont="1" applyFill="1" applyBorder="1" applyAlignment="1" applyProtection="1">
      <alignment horizontal="center" vertical="center" wrapText="1"/>
      <protection locked="0"/>
    </xf>
    <xf numFmtId="0" fontId="84" fillId="2" borderId="34" xfId="1" applyFont="1" applyFill="1" applyBorder="1" applyAlignment="1" applyProtection="1">
      <alignment horizontal="center" vertical="center" wrapText="1"/>
      <protection locked="0"/>
    </xf>
    <xf numFmtId="0" fontId="84" fillId="2" borderId="29" xfId="1" applyFont="1" applyFill="1" applyBorder="1" applyAlignment="1" applyProtection="1">
      <alignment horizontal="center" vertical="center" wrapText="1"/>
      <protection locked="0"/>
    </xf>
    <xf numFmtId="0" fontId="0" fillId="9" borderId="0" xfId="0" applyFill="1" applyAlignment="1">
      <alignment horizontal="center"/>
    </xf>
    <xf numFmtId="0" fontId="66" fillId="0" borderId="0" xfId="0" applyFont="1" applyAlignment="1" applyProtection="1">
      <alignment horizontal="left" vertical="center"/>
      <protection locked="0"/>
    </xf>
    <xf numFmtId="0" fontId="66" fillId="0" borderId="0" xfId="0" applyFont="1" applyAlignment="1" applyProtection="1">
      <alignment horizontal="left" vertical="center" wrapText="1"/>
      <protection locked="0"/>
    </xf>
    <xf numFmtId="0" fontId="12" fillId="0" borderId="0" xfId="0" applyFont="1" applyAlignment="1" applyProtection="1">
      <alignment horizontal="center"/>
      <protection locked="0"/>
    </xf>
    <xf numFmtId="0" fontId="67" fillId="0" borderId="0" xfId="0" applyFont="1" applyAlignment="1" applyProtection="1">
      <alignment horizontal="center" wrapText="1"/>
      <protection locked="0"/>
    </xf>
    <xf numFmtId="0" fontId="68" fillId="0" borderId="0" xfId="0" applyFont="1" applyAlignment="1" applyProtection="1">
      <alignment horizontal="center" vertical="center"/>
      <protection locked="0"/>
    </xf>
    <xf numFmtId="0" fontId="68" fillId="0" borderId="47" xfId="0" applyFont="1" applyBorder="1" applyAlignment="1" applyProtection="1">
      <alignment horizontal="center" vertical="center"/>
      <protection locked="0"/>
    </xf>
    <xf numFmtId="0" fontId="21" fillId="0" borderId="0" xfId="0" applyFont="1" applyAlignment="1" applyProtection="1">
      <alignment horizontal="left" vertical="top"/>
      <protection locked="0"/>
    </xf>
    <xf numFmtId="0" fontId="60" fillId="0" borderId="0" xfId="0" applyFont="1" applyAlignment="1" applyProtection="1">
      <alignment horizontal="left" vertical="center" wrapText="1"/>
      <protection locked="0"/>
    </xf>
    <xf numFmtId="0" fontId="66" fillId="0" borderId="0" xfId="0" applyFont="1" applyAlignment="1" applyProtection="1">
      <alignment horizontal="left" vertical="top" wrapText="1"/>
      <protection locked="0"/>
    </xf>
    <xf numFmtId="14" fontId="66" fillId="0" borderId="0" xfId="0" applyNumberFormat="1" applyFont="1" applyAlignment="1" applyProtection="1">
      <alignment horizontal="left" vertical="top" wrapText="1"/>
      <protection locked="0"/>
    </xf>
    <xf numFmtId="14" fontId="66" fillId="0" borderId="0" xfId="0" applyNumberFormat="1" applyFont="1" applyAlignment="1" applyProtection="1">
      <alignment horizontal="left" vertical="center"/>
      <protection locked="0"/>
    </xf>
    <xf numFmtId="0" fontId="10" fillId="0" borderId="0" xfId="0" applyFont="1" applyAlignment="1" applyProtection="1">
      <alignment horizontal="left" vertical="center"/>
      <protection locked="0"/>
    </xf>
    <xf numFmtId="0" fontId="12" fillId="0" borderId="0" xfId="0" applyFont="1" applyAlignment="1" applyProtection="1">
      <alignment horizontal="left"/>
      <protection locked="0"/>
    </xf>
    <xf numFmtId="0" fontId="21" fillId="0" borderId="0" xfId="0" applyFont="1" applyAlignment="1" applyProtection="1">
      <alignment horizontal="left"/>
      <protection locked="0"/>
    </xf>
    <xf numFmtId="14" fontId="10" fillId="0" borderId="0" xfId="0" applyNumberFormat="1" applyFont="1" applyAlignment="1" applyProtection="1">
      <alignment horizontal="left" vertical="center"/>
      <protection locked="0"/>
    </xf>
    <xf numFmtId="0" fontId="8" fillId="0" borderId="0" xfId="0" applyFont="1" applyAlignment="1" applyProtection="1">
      <alignment horizontal="left" vertical="center"/>
      <protection locked="0"/>
    </xf>
    <xf numFmtId="0" fontId="64" fillId="0" borderId="0" xfId="1" applyFont="1" applyAlignment="1" applyProtection="1">
      <alignment horizontal="left" vertical="center"/>
      <protection locked="0"/>
    </xf>
    <xf numFmtId="14" fontId="8" fillId="0" borderId="0" xfId="0" applyNumberFormat="1" applyFont="1" applyAlignment="1" applyProtection="1">
      <alignment horizontal="left" vertical="center"/>
      <protection locked="0"/>
    </xf>
    <xf numFmtId="0" fontId="63" fillId="0" borderId="0" xfId="0" applyFont="1" applyAlignment="1" applyProtection="1">
      <alignment horizontal="left" vertical="center"/>
      <protection locked="0"/>
    </xf>
    <xf numFmtId="14" fontId="64" fillId="0" borderId="0" xfId="1" applyNumberFormat="1" applyFont="1" applyAlignment="1" applyProtection="1">
      <alignment horizontal="left" vertical="center"/>
      <protection locked="0"/>
    </xf>
    <xf numFmtId="0" fontId="65" fillId="0" borderId="0" xfId="1" applyFont="1" applyAlignment="1" applyProtection="1">
      <alignment horizontal="left" vertical="center"/>
      <protection locked="0"/>
    </xf>
    <xf numFmtId="0" fontId="21" fillId="0" borderId="0" xfId="0" applyFont="1" applyAlignment="1" applyProtection="1">
      <alignment horizontal="center"/>
      <protection locked="0"/>
    </xf>
    <xf numFmtId="0" fontId="21" fillId="0" borderId="0" xfId="0" applyFont="1" applyProtection="1">
      <protection locked="0"/>
    </xf>
    <xf numFmtId="14" fontId="21" fillId="0" borderId="0" xfId="0" applyNumberFormat="1" applyFont="1" applyProtection="1">
      <protection locked="0"/>
    </xf>
    <xf numFmtId="0" fontId="44" fillId="0" borderId="0" xfId="0" applyFont="1" applyAlignment="1" applyProtection="1">
      <alignment horizontal="left"/>
      <protection locked="0"/>
    </xf>
    <xf numFmtId="14" fontId="21" fillId="0" borderId="0" xfId="0" applyNumberFormat="1" applyFont="1" applyAlignment="1" applyProtection="1">
      <alignment horizontal="left"/>
      <protection locked="0"/>
    </xf>
    <xf numFmtId="14" fontId="12" fillId="0" borderId="0" xfId="0" applyNumberFormat="1" applyFont="1" applyAlignment="1" applyProtection="1">
      <alignment horizontal="center"/>
      <protection locked="0"/>
    </xf>
    <xf numFmtId="0" fontId="21" fillId="0" borderId="0" xfId="0" applyFont="1" applyAlignment="1" applyProtection="1">
      <alignment horizontal="justify" vertical="top" wrapText="1"/>
      <protection locked="0"/>
    </xf>
    <xf numFmtId="0" fontId="21" fillId="0" borderId="0" xfId="0" applyFont="1" applyAlignment="1" applyProtection="1">
      <alignment horizontal="justify" vertical="center" wrapText="1"/>
      <protection locked="0"/>
    </xf>
    <xf numFmtId="0" fontId="45" fillId="0" borderId="0" xfId="0" applyFont="1" applyAlignment="1" applyProtection="1">
      <alignment horizontal="left" vertical="top" wrapText="1"/>
      <protection locked="0"/>
    </xf>
    <xf numFmtId="0" fontId="21" fillId="0" borderId="0" xfId="0" applyFont="1" applyAlignment="1" applyProtection="1">
      <alignment horizontal="left" vertical="top" wrapText="1"/>
      <protection locked="0"/>
    </xf>
    <xf numFmtId="14" fontId="21" fillId="0" borderId="0" xfId="0" applyNumberFormat="1" applyFont="1" applyAlignment="1" applyProtection="1">
      <alignment horizontal="left" vertical="top" wrapText="1"/>
      <protection locked="0"/>
    </xf>
    <xf numFmtId="0" fontId="62" fillId="0" borderId="0" xfId="0" applyFont="1" applyAlignment="1" applyProtection="1">
      <alignment horizontal="left" wrapText="1"/>
      <protection locked="0"/>
    </xf>
    <xf numFmtId="0" fontId="21" fillId="0" borderId="0" xfId="0" applyFont="1" applyAlignment="1" applyProtection="1">
      <alignment horizontal="justify" wrapText="1"/>
      <protection locked="0"/>
    </xf>
    <xf numFmtId="0" fontId="44" fillId="0" borderId="0" xfId="0" applyFont="1" applyAlignment="1" applyProtection="1">
      <alignment horizontal="justify" vertical="top" wrapText="1"/>
      <protection locked="0"/>
    </xf>
    <xf numFmtId="0" fontId="45" fillId="0" borderId="0" xfId="0" applyFont="1" applyAlignment="1" applyProtection="1">
      <alignment horizontal="justify" vertical="top" wrapText="1"/>
      <protection locked="0"/>
    </xf>
    <xf numFmtId="0" fontId="45" fillId="0" borderId="0" xfId="0" applyFont="1" applyAlignment="1" applyProtection="1">
      <alignment horizontal="left" vertical="top" wrapText="1" indent="2"/>
      <protection locked="0"/>
    </xf>
    <xf numFmtId="0" fontId="55" fillId="0" borderId="0" xfId="0" applyFont="1" applyAlignment="1" applyProtection="1">
      <alignment horizontal="justify" vertical="distributed" wrapText="1"/>
      <protection locked="0"/>
    </xf>
    <xf numFmtId="0" fontId="45" fillId="0" borderId="0" xfId="0" applyFont="1" applyAlignment="1" applyProtection="1">
      <alignment horizontal="left" wrapText="1"/>
      <protection locked="0"/>
    </xf>
    <xf numFmtId="0" fontId="45" fillId="0" borderId="0" xfId="0" applyFont="1" applyAlignment="1" applyProtection="1">
      <alignment horizontal="justify" wrapText="1"/>
      <protection locked="0"/>
    </xf>
    <xf numFmtId="0" fontId="62" fillId="0" borderId="0" xfId="0" applyFont="1" applyAlignment="1" applyProtection="1">
      <alignment horizontal="left" vertical="top" wrapText="1"/>
      <protection locked="0"/>
    </xf>
    <xf numFmtId="1" fontId="10" fillId="0" borderId="0" xfId="0" applyNumberFormat="1" applyFont="1" applyAlignment="1" applyProtection="1">
      <alignment horizontal="left" vertical="center"/>
      <protection locked="0"/>
    </xf>
    <xf numFmtId="14" fontId="10" fillId="0" borderId="0" xfId="0" applyNumberFormat="1" applyFont="1" applyAlignment="1" applyProtection="1">
      <alignment horizontal="right"/>
      <protection locked="0"/>
    </xf>
    <xf numFmtId="14" fontId="21" fillId="0" borderId="0" xfId="0" applyNumberFormat="1" applyFont="1" applyAlignment="1" applyProtection="1">
      <alignment horizontal="justify" wrapText="1"/>
      <protection locked="0"/>
    </xf>
    <xf numFmtId="0" fontId="21" fillId="0" borderId="0" xfId="0" applyFont="1" applyAlignment="1" applyProtection="1">
      <alignment horizontal="left" vertical="center"/>
      <protection locked="0"/>
    </xf>
    <xf numFmtId="0" fontId="21" fillId="0" borderId="0" xfId="0" applyFont="1" applyAlignment="1" applyProtection="1">
      <alignment horizontal="left" wrapText="1"/>
      <protection locked="0"/>
    </xf>
    <xf numFmtId="0" fontId="44" fillId="0" borderId="0" xfId="0" applyFont="1" applyAlignment="1" applyProtection="1">
      <alignment horizontal="justify" vertical="center" wrapText="1"/>
      <protection locked="0"/>
    </xf>
    <xf numFmtId="0" fontId="46" fillId="0" borderId="0" xfId="0" applyFont="1" applyAlignment="1" applyProtection="1">
      <alignment horizontal="justify" vertical="center" wrapText="1"/>
      <protection locked="0"/>
    </xf>
    <xf numFmtId="0" fontId="52" fillId="0" borderId="0" xfId="0" applyFont="1" applyAlignment="1" applyProtection="1">
      <alignment horizontal="justify" vertical="center" wrapText="1"/>
      <protection locked="0"/>
    </xf>
    <xf numFmtId="14" fontId="45" fillId="0" borderId="0" xfId="0" applyNumberFormat="1" applyFont="1" applyAlignment="1" applyProtection="1">
      <alignment horizontal="justify" vertical="top" wrapText="1"/>
      <protection locked="0"/>
    </xf>
    <xf numFmtId="0" fontId="54" fillId="0" borderId="0" xfId="0" applyFont="1" applyAlignment="1" applyProtection="1">
      <alignment horizontal="justify" vertical="top" wrapText="1"/>
      <protection locked="0"/>
    </xf>
    <xf numFmtId="0" fontId="45" fillId="0" borderId="0" xfId="0" applyFont="1" applyAlignment="1" applyProtection="1">
      <alignment horizontal="left" vertical="center" wrapText="1"/>
      <protection locked="0"/>
    </xf>
    <xf numFmtId="0" fontId="21" fillId="0" borderId="0" xfId="0" applyFont="1" applyAlignment="1" applyProtection="1">
      <alignment horizontal="justify" vertical="justify" wrapText="1"/>
      <protection locked="0"/>
    </xf>
    <xf numFmtId="14" fontId="21" fillId="0" borderId="0" xfId="0" applyNumberFormat="1" applyFont="1" applyAlignment="1" applyProtection="1">
      <alignment horizontal="justify" vertical="justify" wrapText="1"/>
      <protection locked="0"/>
    </xf>
    <xf numFmtId="0" fontId="32" fillId="28" borderId="0" xfId="0" applyFont="1" applyFill="1" applyAlignment="1" applyProtection="1">
      <alignment horizontal="center" vertical="center" wrapText="1"/>
      <protection locked="0"/>
    </xf>
    <xf numFmtId="0" fontId="40" fillId="11" borderId="0" xfId="0" applyFont="1" applyFill="1" applyAlignment="1">
      <alignment horizontal="center" vertical="center" wrapText="1"/>
    </xf>
    <xf numFmtId="0" fontId="40" fillId="26" borderId="0" xfId="0" applyFont="1" applyFill="1" applyAlignment="1">
      <alignment horizontal="center" vertical="center" wrapText="1"/>
    </xf>
    <xf numFmtId="0" fontId="40" fillId="25" borderId="0" xfId="0" applyFont="1" applyFill="1" applyAlignment="1">
      <alignment horizontal="center" vertical="center" wrapText="1"/>
    </xf>
    <xf numFmtId="0" fontId="40" fillId="21" borderId="0" xfId="2" applyFont="1" applyFill="1" applyAlignment="1" applyProtection="1">
      <alignment horizontal="center" vertical="center"/>
      <protection locked="0"/>
    </xf>
    <xf numFmtId="0" fontId="32" fillId="22" borderId="0" xfId="0" applyFont="1" applyFill="1" applyAlignment="1" applyProtection="1">
      <alignment horizontal="center" vertical="center" wrapText="1"/>
      <protection locked="0"/>
    </xf>
    <xf numFmtId="0" fontId="2" fillId="0" borderId="30" xfId="0" applyFont="1" applyBorder="1" applyAlignment="1">
      <alignment horizontal="center" wrapText="1"/>
    </xf>
    <xf numFmtId="0" fontId="2" fillId="0" borderId="34" xfId="0" applyFont="1" applyBorder="1" applyAlignment="1">
      <alignment horizontal="center" wrapText="1"/>
    </xf>
    <xf numFmtId="0" fontId="2" fillId="0" borderId="29" xfId="0" applyFont="1" applyBorder="1" applyAlignment="1">
      <alignment horizontal="center" wrapText="1"/>
    </xf>
    <xf numFmtId="0" fontId="0" fillId="0" borderId="30" xfId="0" applyBorder="1" applyAlignment="1">
      <alignment horizontal="center"/>
    </xf>
    <xf numFmtId="0" fontId="0" fillId="0" borderId="29" xfId="0" applyBorder="1" applyAlignment="1">
      <alignment horizontal="center"/>
    </xf>
    <xf numFmtId="0" fontId="17" fillId="0" borderId="30" xfId="0" applyFont="1" applyBorder="1" applyAlignment="1" applyProtection="1">
      <alignment horizontal="center"/>
      <protection locked="0"/>
    </xf>
    <xf numFmtId="0" fontId="17" fillId="0" borderId="34" xfId="0" applyFont="1" applyBorder="1" applyAlignment="1" applyProtection="1">
      <alignment horizontal="center"/>
      <protection locked="0"/>
    </xf>
    <xf numFmtId="0" fontId="17" fillId="0" borderId="29" xfId="0" applyFont="1" applyBorder="1" applyAlignment="1" applyProtection="1">
      <alignment horizontal="center"/>
      <protection locked="0"/>
    </xf>
    <xf numFmtId="0" fontId="13" fillId="0" borderId="30" xfId="0" applyFont="1" applyBorder="1" applyAlignment="1">
      <alignment horizontal="center"/>
    </xf>
    <xf numFmtId="0" fontId="13" fillId="0" borderId="29" xfId="0" applyFont="1" applyBorder="1" applyAlignment="1">
      <alignment horizontal="center"/>
    </xf>
    <xf numFmtId="0" fontId="8" fillId="8" borderId="37" xfId="0" applyFont="1" applyFill="1" applyBorder="1" applyAlignment="1" applyProtection="1">
      <alignment horizontal="center" vertical="center" wrapText="1"/>
      <protection locked="0"/>
    </xf>
    <xf numFmtId="0" fontId="8" fillId="8" borderId="38" xfId="0" applyFont="1" applyFill="1" applyBorder="1" applyAlignment="1" applyProtection="1">
      <alignment horizontal="center" vertical="center"/>
      <protection locked="0"/>
    </xf>
    <xf numFmtId="0" fontId="8" fillId="8" borderId="39" xfId="0" applyFont="1" applyFill="1" applyBorder="1" applyAlignment="1" applyProtection="1">
      <alignment horizontal="center" vertical="center"/>
      <protection locked="0"/>
    </xf>
    <xf numFmtId="0" fontId="3" fillId="8" borderId="37" xfId="2" applyFont="1" applyFill="1" applyBorder="1" applyAlignment="1" applyProtection="1">
      <alignment horizontal="center" vertical="center" wrapText="1"/>
      <protection locked="0"/>
    </xf>
    <xf numFmtId="0" fontId="3" fillId="8" borderId="38" xfId="2" applyFont="1" applyFill="1" applyBorder="1" applyAlignment="1" applyProtection="1">
      <alignment horizontal="center" vertical="center" wrapText="1"/>
      <protection locked="0"/>
    </xf>
    <xf numFmtId="0" fontId="3" fillId="8" borderId="39" xfId="2" applyFont="1" applyFill="1" applyBorder="1" applyAlignment="1" applyProtection="1">
      <alignment horizontal="center" vertical="center" wrapText="1"/>
      <protection locked="0"/>
    </xf>
    <xf numFmtId="0" fontId="8" fillId="8" borderId="38" xfId="0" applyFont="1" applyFill="1" applyBorder="1" applyAlignment="1" applyProtection="1">
      <alignment horizontal="center" vertical="center" wrapText="1"/>
      <protection locked="0"/>
    </xf>
    <xf numFmtId="0" fontId="8" fillId="8" borderId="39" xfId="0" applyFont="1" applyFill="1" applyBorder="1" applyAlignment="1" applyProtection="1">
      <alignment horizontal="center" vertical="center" wrapText="1"/>
      <protection locked="0"/>
    </xf>
    <xf numFmtId="0" fontId="8" fillId="8" borderId="30" xfId="5" applyFont="1" applyFill="1" applyBorder="1" applyAlignment="1" applyProtection="1">
      <alignment horizontal="center" vertical="center" wrapText="1"/>
      <protection locked="0"/>
    </xf>
    <xf numFmtId="0" fontId="8" fillId="8" borderId="34" xfId="5" applyFont="1" applyFill="1" applyBorder="1" applyAlignment="1" applyProtection="1">
      <alignment horizontal="center" vertical="center" wrapText="1"/>
      <protection locked="0"/>
    </xf>
    <xf numFmtId="0" fontId="8" fillId="8" borderId="29" xfId="5" applyFont="1" applyFill="1" applyBorder="1" applyAlignment="1" applyProtection="1">
      <alignment horizontal="center" vertical="center" wrapText="1"/>
      <protection locked="0"/>
    </xf>
    <xf numFmtId="0" fontId="2" fillId="8" borderId="30" xfId="2" applyFont="1" applyFill="1" applyBorder="1" applyAlignment="1" applyProtection="1">
      <alignment horizontal="center" vertical="center" wrapText="1"/>
      <protection locked="0"/>
    </xf>
    <xf numFmtId="0" fontId="2" fillId="8" borderId="34" xfId="2" applyFont="1" applyFill="1" applyBorder="1" applyAlignment="1" applyProtection="1">
      <alignment horizontal="center" vertical="center" wrapText="1"/>
      <protection locked="0"/>
    </xf>
    <xf numFmtId="0" fontId="2" fillId="8" borderId="29" xfId="2" applyFont="1" applyFill="1" applyBorder="1" applyAlignment="1" applyProtection="1">
      <alignment horizontal="center" vertical="center" wrapText="1"/>
      <protection locked="0"/>
    </xf>
    <xf numFmtId="0" fontId="10" fillId="8" borderId="30" xfId="5" applyFont="1" applyFill="1" applyBorder="1" applyAlignment="1" applyProtection="1">
      <alignment horizontal="center" vertical="center" wrapText="1"/>
      <protection locked="0"/>
    </xf>
    <xf numFmtId="0" fontId="10" fillId="8" borderId="34" xfId="5" applyFont="1" applyFill="1" applyBorder="1" applyAlignment="1" applyProtection="1">
      <alignment horizontal="center" vertical="center" wrapText="1"/>
      <protection locked="0"/>
    </xf>
    <xf numFmtId="0" fontId="10" fillId="8" borderId="29" xfId="5" applyFont="1" applyFill="1" applyBorder="1" applyAlignment="1" applyProtection="1">
      <alignment horizontal="center" vertical="center" wrapText="1"/>
      <protection locked="0"/>
    </xf>
    <xf numFmtId="0" fontId="30" fillId="0" borderId="0" xfId="0" applyFont="1" applyProtection="1">
      <protection locked="0"/>
    </xf>
    <xf numFmtId="0" fontId="8" fillId="0" borderId="30" xfId="5" applyFont="1" applyFill="1" applyBorder="1" applyAlignment="1" applyProtection="1">
      <alignment horizontal="center" vertical="center" wrapText="1"/>
      <protection locked="0"/>
    </xf>
    <xf numFmtId="0" fontId="8" fillId="0" borderId="34" xfId="5" applyFont="1" applyFill="1" applyBorder="1" applyAlignment="1" applyProtection="1">
      <alignment horizontal="center" vertical="center" wrapText="1"/>
      <protection locked="0"/>
    </xf>
    <xf numFmtId="0" fontId="8" fillId="0" borderId="29" xfId="5" applyFont="1" applyFill="1" applyBorder="1" applyAlignment="1" applyProtection="1">
      <alignment horizontal="center" vertical="center" wrapText="1"/>
      <protection locked="0"/>
    </xf>
    <xf numFmtId="0" fontId="8" fillId="8" borderId="30" xfId="0" applyFont="1" applyFill="1" applyBorder="1" applyAlignment="1" applyProtection="1">
      <alignment horizontal="center" vertical="center" wrapText="1"/>
      <protection locked="0"/>
    </xf>
    <xf numFmtId="0" fontId="8" fillId="8" borderId="34" xfId="0" applyFont="1" applyFill="1" applyBorder="1" applyAlignment="1" applyProtection="1">
      <alignment horizontal="center" vertical="center" wrapText="1"/>
      <protection locked="0"/>
    </xf>
    <xf numFmtId="0" fontId="8" fillId="8" borderId="29" xfId="0" applyFont="1" applyFill="1" applyBorder="1" applyAlignment="1" applyProtection="1">
      <alignment horizontal="center" vertical="center" wrapText="1"/>
      <protection locked="0"/>
    </xf>
    <xf numFmtId="0" fontId="29" fillId="0" borderId="0" xfId="0" applyFont="1" applyAlignment="1" applyProtection="1">
      <alignment horizontal="center" wrapText="1"/>
      <protection locked="0"/>
    </xf>
    <xf numFmtId="0" fontId="8" fillId="0" borderId="43" xfId="5" applyFont="1" applyFill="1" applyBorder="1" applyAlignment="1" applyProtection="1">
      <alignment horizontal="center" vertical="center" wrapText="1"/>
      <protection locked="0"/>
    </xf>
    <xf numFmtId="0" fontId="8" fillId="0" borderId="44" xfId="5" applyFont="1" applyFill="1" applyBorder="1" applyAlignment="1" applyProtection="1">
      <alignment horizontal="center" vertical="center" wrapText="1"/>
      <protection locked="0"/>
    </xf>
    <xf numFmtId="0" fontId="8" fillId="0" borderId="45" xfId="5" applyFont="1" applyFill="1" applyBorder="1" applyAlignment="1" applyProtection="1">
      <alignment horizontal="center" vertical="center" wrapText="1"/>
      <protection locked="0"/>
    </xf>
    <xf numFmtId="0" fontId="10" fillId="8" borderId="30" xfId="0" applyFont="1" applyFill="1" applyBorder="1" applyAlignment="1" applyProtection="1">
      <alignment horizontal="center" vertical="center" wrapText="1"/>
      <protection locked="0"/>
    </xf>
    <xf numFmtId="0" fontId="10" fillId="8" borderId="34" xfId="0" applyFont="1" applyFill="1" applyBorder="1" applyAlignment="1" applyProtection="1">
      <alignment horizontal="center" vertical="center" wrapText="1"/>
      <protection locked="0"/>
    </xf>
    <xf numFmtId="0" fontId="10" fillId="8" borderId="29" xfId="0" applyFont="1" applyFill="1" applyBorder="1" applyAlignment="1" applyProtection="1">
      <alignment horizontal="center" vertical="center" wrapText="1"/>
      <protection locked="0"/>
    </xf>
    <xf numFmtId="0" fontId="62" fillId="0" borderId="40" xfId="0" applyFont="1" applyBorder="1" applyAlignment="1">
      <alignment horizontal="left" wrapText="1"/>
    </xf>
    <xf numFmtId="0" fontId="81" fillId="36" borderId="77" xfId="0" applyFont="1" applyFill="1" applyBorder="1" applyAlignment="1">
      <alignment horizontal="left" wrapText="1"/>
    </xf>
    <xf numFmtId="0" fontId="81" fillId="36" borderId="76" xfId="0" applyFont="1" applyFill="1" applyBorder="1" applyAlignment="1">
      <alignment horizontal="left" wrapText="1"/>
    </xf>
    <xf numFmtId="0" fontId="21" fillId="0" borderId="24" xfId="0" applyFont="1" applyBorder="1" applyAlignment="1">
      <alignment horizontal="left" vertical="center" indent="1"/>
    </xf>
    <xf numFmtId="0" fontId="21" fillId="0" borderId="25" xfId="0" applyFont="1" applyBorder="1" applyAlignment="1">
      <alignment horizontal="left" vertical="center" indent="1"/>
    </xf>
    <xf numFmtId="0" fontId="21" fillId="0" borderId="11" xfId="0" applyFont="1" applyBorder="1" applyAlignment="1">
      <alignment horizontal="left" vertical="center" indent="1"/>
    </xf>
    <xf numFmtId="0" fontId="57" fillId="0" borderId="21" xfId="0" applyFont="1" applyBorder="1" applyAlignment="1">
      <alignment horizontal="left" vertical="top" wrapText="1"/>
    </xf>
    <xf numFmtId="0" fontId="57" fillId="0" borderId="23" xfId="0" applyFont="1" applyBorder="1" applyAlignment="1">
      <alignment horizontal="left" vertical="top" wrapText="1"/>
    </xf>
    <xf numFmtId="0" fontId="57" fillId="0" borderId="26" xfId="0" applyFont="1" applyBorder="1" applyAlignment="1">
      <alignment horizontal="left" vertical="top" wrapText="1"/>
    </xf>
    <xf numFmtId="0" fontId="13" fillId="0" borderId="74" xfId="0" applyFont="1" applyBorder="1" applyAlignment="1">
      <alignment horizontal="center" vertical="center" wrapText="1"/>
    </xf>
    <xf numFmtId="0" fontId="13" fillId="0" borderId="40" xfId="0" applyFont="1" applyBorder="1" applyAlignment="1">
      <alignment horizontal="left" vertical="center" wrapText="1" indent="1"/>
    </xf>
    <xf numFmtId="0" fontId="13" fillId="0" borderId="74" xfId="0" applyFont="1" applyBorder="1" applyAlignment="1">
      <alignment horizontal="center" vertical="center"/>
    </xf>
    <xf numFmtId="0" fontId="13" fillId="0" borderId="40" xfId="0" applyFont="1" applyBorder="1" applyAlignment="1">
      <alignment horizontal="left" wrapText="1" indent="1"/>
    </xf>
    <xf numFmtId="0" fontId="62" fillId="0" borderId="40" xfId="0" applyFont="1" applyBorder="1" applyAlignment="1">
      <alignment horizontal="left" vertical="center" wrapText="1" indent="2"/>
    </xf>
    <xf numFmtId="0" fontId="62" fillId="0" borderId="77" xfId="0" applyFont="1" applyBorder="1" applyAlignment="1">
      <alignment horizontal="left" wrapText="1"/>
    </xf>
    <xf numFmtId="0" fontId="62" fillId="0" borderId="40" xfId="0" applyFont="1" applyBorder="1" applyAlignment="1">
      <alignment horizontal="left" wrapText="1" indent="2"/>
    </xf>
    <xf numFmtId="0" fontId="80" fillId="0" borderId="30" xfId="0" applyFont="1" applyBorder="1" applyAlignment="1">
      <alignment horizontal="left" vertical="top" wrapText="1"/>
    </xf>
    <xf numFmtId="0" fontId="60" fillId="0" borderId="34" xfId="0" applyFont="1" applyBorder="1" applyAlignment="1">
      <alignment horizontal="left" vertical="top"/>
    </xf>
    <xf numFmtId="0" fontId="60" fillId="0" borderId="29" xfId="0" applyFont="1" applyBorder="1" applyAlignment="1">
      <alignment horizontal="left" vertical="top"/>
    </xf>
    <xf numFmtId="0" fontId="57" fillId="0" borderId="68" xfId="0" applyFont="1" applyBorder="1" applyAlignment="1">
      <alignment horizontal="left" vertical="center"/>
    </xf>
    <xf numFmtId="0" fontId="57" fillId="0" borderId="38" xfId="0" applyFont="1" applyBorder="1" applyAlignment="1">
      <alignment horizontal="left" vertical="center"/>
    </xf>
    <xf numFmtId="0" fontId="57" fillId="0" borderId="39" xfId="0" applyFont="1" applyBorder="1" applyAlignment="1">
      <alignment horizontal="left" vertical="center"/>
    </xf>
    <xf numFmtId="0" fontId="57" fillId="0" borderId="37" xfId="0" applyFont="1" applyBorder="1" applyAlignment="1">
      <alignment horizontal="left" wrapText="1"/>
    </xf>
    <xf numFmtId="0" fontId="57" fillId="0" borderId="38" xfId="0" applyFont="1" applyBorder="1" applyAlignment="1">
      <alignment horizontal="left" wrapText="1"/>
    </xf>
    <xf numFmtId="0" fontId="13" fillId="26" borderId="82" xfId="0" applyFont="1" applyFill="1" applyBorder="1" applyAlignment="1">
      <alignment horizontal="left"/>
    </xf>
    <xf numFmtId="0" fontId="62" fillId="0" borderId="40" xfId="0" applyFont="1" applyBorder="1" applyAlignment="1">
      <alignment horizontal="left" vertical="top" wrapText="1"/>
    </xf>
    <xf numFmtId="0" fontId="62" fillId="0" borderId="77" xfId="0" applyFont="1" applyBorder="1" applyAlignment="1">
      <alignment horizontal="left" vertical="top" wrapText="1"/>
    </xf>
    <xf numFmtId="0" fontId="21" fillId="0" borderId="30" xfId="0" applyFont="1" applyBorder="1" applyAlignment="1">
      <alignment horizontal="justify" vertical="center" wrapText="1"/>
    </xf>
    <xf numFmtId="0" fontId="21" fillId="0" borderId="34" xfId="0" applyFont="1" applyBorder="1" applyAlignment="1">
      <alignment horizontal="justify" vertical="center" wrapText="1"/>
    </xf>
    <xf numFmtId="0" fontId="21" fillId="0" borderId="29" xfId="0" applyFont="1" applyBorder="1" applyAlignment="1">
      <alignment horizontal="justify" vertical="center" wrapText="1"/>
    </xf>
    <xf numFmtId="0" fontId="17" fillId="0" borderId="21" xfId="0" applyFont="1" applyBorder="1" applyAlignment="1">
      <alignment horizontal="left" vertical="top"/>
    </xf>
    <xf numFmtId="0" fontId="17" fillId="0" borderId="23" xfId="0" applyFont="1" applyBorder="1" applyAlignment="1">
      <alignment horizontal="left" vertical="top"/>
    </xf>
    <xf numFmtId="0" fontId="17" fillId="0" borderId="26" xfId="0" applyFont="1" applyBorder="1" applyAlignment="1">
      <alignment horizontal="left" vertical="top"/>
    </xf>
    <xf numFmtId="0" fontId="21" fillId="0" borderId="24" xfId="0" applyFont="1" applyBorder="1" applyAlignment="1">
      <alignment horizontal="center" vertical="center"/>
    </xf>
    <xf numFmtId="0" fontId="21" fillId="0" borderId="25" xfId="0" applyFont="1" applyBorder="1" applyAlignment="1">
      <alignment horizontal="center" vertical="center"/>
    </xf>
    <xf numFmtId="0" fontId="21" fillId="0" borderId="11" xfId="0" applyFont="1" applyBorder="1" applyAlignment="1">
      <alignment horizontal="center" vertical="center"/>
    </xf>
    <xf numFmtId="0" fontId="0" fillId="0" borderId="0" xfId="0" applyAlignment="1">
      <alignment horizontal="center" vertical="center" wrapText="1"/>
    </xf>
    <xf numFmtId="0" fontId="83" fillId="15" borderId="0" xfId="3" applyFont="1" applyAlignment="1">
      <alignment horizontal="center" vertical="center" wrapText="1"/>
    </xf>
    <xf numFmtId="0" fontId="82" fillId="0" borderId="0" xfId="0" applyFont="1" applyAlignment="1">
      <alignment horizontal="center" vertical="top" wrapText="1"/>
    </xf>
    <xf numFmtId="0" fontId="82" fillId="0" borderId="25" xfId="0" applyFont="1" applyBorder="1" applyAlignment="1">
      <alignment horizontal="center" vertical="top" wrapText="1"/>
    </xf>
    <xf numFmtId="0" fontId="17" fillId="26" borderId="80" xfId="0" applyFont="1" applyFill="1" applyBorder="1" applyAlignment="1">
      <alignment horizontal="center"/>
    </xf>
    <xf numFmtId="0" fontId="17" fillId="26" borderId="26" xfId="0" applyFont="1" applyFill="1" applyBorder="1" applyAlignment="1">
      <alignment horizontal="center"/>
    </xf>
    <xf numFmtId="0" fontId="21" fillId="0" borderId="25" xfId="0" applyFont="1" applyBorder="1" applyAlignment="1">
      <alignment horizontal="justify" vertical="top" wrapText="1"/>
    </xf>
    <xf numFmtId="0" fontId="0" fillId="0" borderId="0" xfId="0" applyAlignment="1">
      <alignment horizontal="center"/>
    </xf>
    <xf numFmtId="0" fontId="18" fillId="10" borderId="0" xfId="0" applyFont="1" applyFill="1" applyAlignment="1">
      <alignment horizontal="center" wrapText="1"/>
    </xf>
    <xf numFmtId="0" fontId="18" fillId="10" borderId="0" xfId="0" applyFont="1" applyFill="1" applyAlignment="1">
      <alignment horizontal="center"/>
    </xf>
  </cellXfs>
  <cellStyles count="7">
    <cellStyle name="Bad" xfId="2" builtinId="27"/>
    <cellStyle name="Good" xfId="3" builtinId="26"/>
    <cellStyle name="Hyperlink" xfId="1" builtinId="8"/>
    <cellStyle name="Neutral" xfId="4" builtinId="28"/>
    <cellStyle name="Normal" xfId="0" builtinId="0"/>
    <cellStyle name="Output" xfId="5" builtinId="21"/>
    <cellStyle name="Percent 2" xfId="6" xr:uid="{6A193B41-EAD7-4B3A-8D53-77908DAEFC26}"/>
  </cellStyles>
  <dxfs count="1025">
    <dxf>
      <border outline="0">
        <top style="thin">
          <color theme="5" tint="0.39997558519241921"/>
        </top>
      </border>
    </dxf>
    <dxf>
      <border outline="0">
        <bottom style="thin">
          <color theme="5" tint="0.39997558519241921"/>
        </bottom>
      </border>
    </dxf>
    <dxf>
      <font>
        <b/>
        <i val="0"/>
        <strike val="0"/>
        <condense val="0"/>
        <extend val="0"/>
        <outline val="0"/>
        <shadow val="0"/>
        <u val="none"/>
        <vertAlign val="baseline"/>
        <sz val="11"/>
        <color theme="0"/>
        <name val="Calibri"/>
        <family val="2"/>
        <scheme val="minor"/>
      </font>
      <fill>
        <patternFill patternType="solid">
          <fgColor theme="5"/>
          <bgColor theme="5"/>
        </patternFill>
      </fill>
      <alignment horizontal="center" vertical="center"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center" vertical="center" textRotation="0" wrapText="1" indent="0" justifyLastLine="0" shrinkToFit="0" readingOrder="0"/>
    </dxf>
    <dxf>
      <border outline="0">
        <top style="thin">
          <color theme="5" tint="0.39997558519241921"/>
        </top>
      </border>
    </dxf>
    <dxf>
      <border outline="0">
        <bottom style="thin">
          <color theme="5" tint="0.39997558519241921"/>
        </bottom>
      </border>
    </dxf>
    <dxf>
      <font>
        <b/>
        <i val="0"/>
        <strike val="0"/>
        <condense val="0"/>
        <extend val="0"/>
        <outline val="0"/>
        <shadow val="0"/>
        <u val="none"/>
        <vertAlign val="baseline"/>
        <sz val="11"/>
        <color theme="0"/>
        <name val="Calibri"/>
        <family val="2"/>
        <scheme val="minor"/>
      </font>
      <fill>
        <patternFill patternType="solid">
          <fgColor theme="5"/>
          <bgColor theme="5"/>
        </patternFill>
      </fill>
      <alignment horizontal="center" vertical="center"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center" textRotation="0" wrapText="0" indent="0" justifyLastLine="0" shrinkToFit="0" readingOrder="0"/>
    </dxf>
    <dxf>
      <numFmt numFmtId="0" formatCode="General"/>
      <alignment textRotation="0" wrapText="0" indent="0" justifyLastLine="0" shrinkToFit="0" readingOrder="0"/>
    </dxf>
    <dxf>
      <numFmt numFmtId="0" formatCode="General"/>
      <alignment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alignment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textRotation="0" wrapText="0" indent="0" justifyLastLine="0" shrinkToFit="0" readingOrder="0"/>
    </dxf>
    <dxf>
      <numFmt numFmtId="0" formatCode="General"/>
      <alignment textRotation="0" wrapText="0" indent="0" justifyLastLine="0" shrinkToFit="0" readingOrder="0"/>
    </dxf>
    <dxf>
      <numFmt numFmtId="0" formatCode="General"/>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numFmt numFmtId="0" formatCode="General"/>
      <alignment textRotation="0" wrapText="0" indent="0" justifyLastLine="0" shrinkToFit="0" readingOrder="0"/>
    </dxf>
    <dxf>
      <numFmt numFmtId="0" formatCode="General"/>
      <alignment textRotation="0" wrapText="0" indent="0" justifyLastLine="0" shrinkToFit="0" readingOrder="0"/>
    </dxf>
    <dxf>
      <numFmt numFmtId="0" formatCode="General"/>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numFmt numFmtId="0" formatCode="General"/>
      <alignment textRotation="0" wrapText="0" indent="0" justifyLastLine="0" shrinkToFit="0" readingOrder="0"/>
    </dxf>
    <dxf>
      <numFmt numFmtId="0" formatCode="General"/>
      <alignment textRotation="0" wrapText="0" indent="0" justifyLastLine="0" shrinkToFit="0" readingOrder="0"/>
    </dxf>
    <dxf>
      <numFmt numFmtId="0" formatCode="General"/>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numFmt numFmtId="0" formatCode="General"/>
      <alignment textRotation="0" wrapText="0" indent="0" justifyLastLine="0" shrinkToFit="0" readingOrder="0"/>
    </dxf>
    <dxf>
      <numFmt numFmtId="0" formatCode="General"/>
      <alignment textRotation="0" wrapText="0" indent="0" justifyLastLine="0" shrinkToFit="0" readingOrder="0"/>
    </dxf>
    <dxf>
      <numFmt numFmtId="0" formatCode="General"/>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numFmt numFmtId="0" formatCode="General"/>
      <alignment textRotation="0" wrapText="0" indent="0" justifyLastLine="0" shrinkToFit="0" readingOrder="0"/>
    </dxf>
    <dxf>
      <numFmt numFmtId="0" formatCode="General"/>
      <alignment textRotation="0" wrapText="0" indent="0" justifyLastLine="0" shrinkToFit="0" readingOrder="0"/>
    </dxf>
    <dxf>
      <numFmt numFmtId="0" formatCode="General"/>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color auto="1"/>
        <name val="Calibri"/>
        <family val="2"/>
        <scheme val="minor"/>
      </font>
      <fill>
        <patternFill patternType="none">
          <fgColor indexed="64"/>
          <bgColor auto="1"/>
        </patternFill>
      </fill>
      <alignment textRotation="0" wrapText="0" indent="0" justifyLastLine="0" shrinkToFit="0" readingOrder="0"/>
      <protection locked="0" hidden="0"/>
    </dxf>
    <dxf>
      <font>
        <strike val="0"/>
        <outline val="0"/>
        <shadow val="0"/>
        <u val="none"/>
        <vertAlign val="baseline"/>
        <color auto="1"/>
        <name val="Calibri"/>
        <family val="2"/>
        <scheme val="minor"/>
      </font>
      <fill>
        <patternFill patternType="none">
          <fgColor indexed="64"/>
          <bgColor auto="1"/>
        </patternFill>
      </fill>
      <alignment textRotation="0" wrapText="0" indent="0" justifyLastLine="0" shrinkToFit="0" readingOrder="0"/>
      <protection locked="0" hidden="0"/>
    </dxf>
    <dxf>
      <font>
        <strike val="0"/>
        <outline val="0"/>
        <shadow val="0"/>
        <u val="none"/>
        <vertAlign val="baseline"/>
        <color auto="1"/>
        <name val="Calibri"/>
        <family val="2"/>
        <scheme val="minor"/>
      </font>
      <fill>
        <patternFill patternType="none">
          <fgColor indexed="64"/>
          <bgColor auto="1"/>
        </patternFill>
      </fill>
      <alignment textRotation="0" wrapText="0" indent="0" justifyLastLine="0" shrinkToFit="0" readingOrder="0"/>
      <protection locked="0" hidden="0"/>
    </dxf>
    <dxf>
      <font>
        <strike val="0"/>
        <outline val="0"/>
        <shadow val="0"/>
        <u val="none"/>
        <vertAlign val="baseline"/>
        <color auto="1"/>
        <name val="Calibri"/>
        <family val="2"/>
        <scheme val="minor"/>
      </font>
      <fill>
        <patternFill patternType="none">
          <fgColor indexed="64"/>
          <bgColor auto="1"/>
        </patternFill>
      </fill>
      <alignment textRotation="0" wrapText="0" indent="0" justifyLastLine="0" shrinkToFit="0" readingOrder="0"/>
      <protection locked="0" hidden="0"/>
    </dxf>
    <dxf>
      <font>
        <strike val="0"/>
        <outline val="0"/>
        <shadow val="0"/>
        <u val="none"/>
        <vertAlign val="baseline"/>
        <color auto="1"/>
        <name val="Calibri"/>
        <family val="2"/>
        <scheme val="minor"/>
      </font>
      <fill>
        <patternFill patternType="none">
          <fgColor indexed="64"/>
          <bgColor auto="1"/>
        </patternFill>
      </fill>
      <alignment textRotation="0" wrapText="0" indent="0" justifyLastLine="0" shrinkToFit="0" readingOrder="0"/>
      <protection locked="0" hidden="0"/>
    </dxf>
    <dxf>
      <font>
        <strike val="0"/>
        <outline val="0"/>
        <shadow val="0"/>
        <u val="none"/>
        <vertAlign val="baseline"/>
        <sz val="9"/>
        <color auto="1"/>
        <name val="Calibri"/>
        <family val="2"/>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textRotation="0" wrapText="0" indent="0" justifyLastLine="0" shrinkToFit="0" readingOrder="0"/>
      <border diagonalUp="0" diagonalDown="0" outline="0">
        <left style="thin">
          <color theme="4" tint="0.39997558519241921"/>
        </left>
        <right/>
        <top style="thin">
          <color theme="4" tint="0.39997558519241921"/>
        </top>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textRotation="0" wrapText="0" indent="0" justifyLastLine="0" shrinkToFit="0" readingOrder="0"/>
      <border diagonalUp="0" diagonalDown="0" outline="0">
        <left/>
        <right style="thin">
          <color theme="4" tint="0.39997558519241921"/>
        </right>
        <top style="thin">
          <color theme="4" tint="0.39997558519241921"/>
        </top>
        <bottom/>
      </border>
    </dxf>
    <dxf>
      <border outline="0">
        <left style="thin">
          <color theme="4" tint="0.39997558519241921"/>
        </left>
        <right style="thin">
          <color theme="4" tint="0.39997558519241921"/>
        </right>
        <top style="thin">
          <color theme="4" tint="0.39997558519241921"/>
        </top>
      </border>
    </dxf>
    <dxf>
      <font>
        <strike val="0"/>
        <outline val="0"/>
        <shadow val="0"/>
        <u val="none"/>
        <vertAlign val="baseline"/>
        <sz val="11"/>
        <color auto="1"/>
        <name val="Calibri"/>
        <family val="2"/>
        <scheme val="minor"/>
      </font>
      <fill>
        <patternFill patternType="none">
          <fgColor indexed="64"/>
          <bgColor auto="1"/>
        </patternFill>
      </fill>
      <alignment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theme="4" tint="0.39997558519241921"/>
        </left>
        <right style="thin">
          <color theme="4" tint="0.39997558519241921"/>
        </right>
        <top/>
        <bottom/>
      </border>
    </dxf>
    <dxf>
      <numFmt numFmtId="0" formatCode="General"/>
    </dxf>
    <dxf>
      <numFmt numFmtId="0" formatCode="General"/>
    </dxf>
    <dxf>
      <numFmt numFmtId="0" formatCode="General"/>
    </dxf>
    <dxf>
      <numFmt numFmtId="0" formatCode="General"/>
    </dxf>
    <dxf>
      <border outline="0">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protection locked="0" hidden="0"/>
    </dxf>
    <dxf>
      <font>
        <b val="0"/>
        <i val="0"/>
        <strike val="0"/>
        <condense val="0"/>
        <extend val="0"/>
        <outline val="0"/>
        <shadow val="0"/>
        <u val="none"/>
        <vertAlign val="baseline"/>
        <sz val="11"/>
        <color auto="1"/>
        <name val="Calibri"/>
        <family val="2"/>
        <scheme val="minor"/>
      </font>
      <fill>
        <patternFill patternType="none">
          <fgColor indexed="64"/>
          <bgColor auto="1"/>
        </patternFill>
      </fill>
      <protection locked="0" hidden="0"/>
    </dxf>
    <dxf>
      <font>
        <b val="0"/>
        <i val="0"/>
        <strike val="0"/>
        <condense val="0"/>
        <extend val="0"/>
        <outline val="0"/>
        <shadow val="0"/>
        <u val="none"/>
        <vertAlign val="baseline"/>
        <sz val="11"/>
        <color auto="1"/>
        <name val="Calibri"/>
        <family val="2"/>
        <scheme val="minor"/>
      </font>
      <fill>
        <patternFill patternType="none">
          <fgColor indexed="64"/>
          <bgColor auto="1"/>
        </patternFill>
      </fill>
      <protection locked="0" hidden="0"/>
    </dxf>
    <dxf>
      <font>
        <b val="0"/>
        <i val="0"/>
        <strike val="0"/>
        <condense val="0"/>
        <extend val="0"/>
        <outline val="0"/>
        <shadow val="0"/>
        <u val="none"/>
        <vertAlign val="baseline"/>
        <sz val="11"/>
        <color auto="1"/>
        <name val="Calibri"/>
        <family val="2"/>
        <scheme val="minor"/>
      </font>
      <fill>
        <patternFill patternType="none">
          <fgColor indexed="64"/>
          <bgColor auto="1"/>
        </patternFill>
      </fill>
      <protection locked="0" hidden="0"/>
    </dxf>
    <dxf>
      <font>
        <b val="0"/>
        <i val="0"/>
        <strike val="0"/>
        <condense val="0"/>
        <extend val="0"/>
        <outline val="0"/>
        <shadow val="0"/>
        <u val="none"/>
        <vertAlign val="baseline"/>
        <sz val="11"/>
        <color auto="1"/>
        <name val="Calibri"/>
        <family val="2"/>
        <scheme val="minor"/>
      </font>
      <fill>
        <patternFill patternType="none">
          <fgColor indexed="64"/>
          <bgColor auto="1"/>
        </patternFill>
      </fill>
      <protection locked="0" hidden="0"/>
    </dxf>
    <dxf>
      <font>
        <b val="0"/>
        <i val="0"/>
        <strike val="0"/>
        <condense val="0"/>
        <extend val="0"/>
        <outline val="0"/>
        <shadow val="0"/>
        <u val="none"/>
        <vertAlign val="baseline"/>
        <sz val="11"/>
        <color auto="1"/>
        <name val="Calibri"/>
        <family val="2"/>
        <scheme val="minor"/>
      </font>
      <fill>
        <patternFill patternType="none">
          <fgColor indexed="64"/>
          <bgColor auto="1"/>
        </patternFill>
      </fill>
      <protection locked="0" hidden="0"/>
    </dxf>
    <dxf>
      <font>
        <b val="0"/>
        <i val="0"/>
        <strike val="0"/>
        <condense val="0"/>
        <extend val="0"/>
        <outline val="0"/>
        <shadow val="0"/>
        <u val="none"/>
        <vertAlign val="baseline"/>
        <sz val="11"/>
        <color auto="1"/>
        <name val="Calibri"/>
        <family val="2"/>
        <scheme val="minor"/>
      </font>
      <fill>
        <patternFill patternType="none">
          <fgColor indexed="64"/>
          <bgColor auto="1"/>
        </patternFill>
      </fill>
      <protection locked="0" hidden="0"/>
    </dxf>
    <dxf>
      <font>
        <b val="0"/>
        <i val="0"/>
        <strike val="0"/>
        <condense val="0"/>
        <extend val="0"/>
        <outline val="0"/>
        <shadow val="0"/>
        <u val="none"/>
        <vertAlign val="baseline"/>
        <sz val="11"/>
        <color auto="1"/>
        <name val="Calibri"/>
        <family val="2"/>
        <scheme val="minor"/>
      </font>
      <fill>
        <patternFill patternType="none">
          <fgColor indexed="64"/>
          <bgColor auto="1"/>
        </patternFill>
      </fill>
      <protection locked="0" hidden="0"/>
    </dxf>
    <dxf>
      <font>
        <b val="0"/>
        <i val="0"/>
        <strike val="0"/>
        <condense val="0"/>
        <extend val="0"/>
        <outline val="0"/>
        <shadow val="0"/>
        <u val="none"/>
        <vertAlign val="baseline"/>
        <sz val="11"/>
        <color auto="1"/>
        <name val="Calibri"/>
        <family val="2"/>
        <scheme val="minor"/>
      </font>
      <fill>
        <patternFill patternType="none">
          <fgColor indexed="64"/>
          <bgColor auto="1"/>
        </patternFill>
      </fill>
      <protection locked="0" hidden="0"/>
    </dxf>
    <dxf>
      <font>
        <b val="0"/>
        <i val="0"/>
        <strike val="0"/>
        <condense val="0"/>
        <extend val="0"/>
        <outline val="0"/>
        <shadow val="0"/>
        <u val="none"/>
        <vertAlign val="baseline"/>
        <sz val="11"/>
        <color auto="1"/>
        <name val="Calibri"/>
        <family val="2"/>
        <scheme val="minor"/>
      </font>
      <fill>
        <patternFill patternType="none">
          <fgColor indexed="64"/>
          <bgColor auto="1"/>
        </patternFill>
      </fill>
      <protection locked="0" hidden="0"/>
    </dxf>
    <dxf>
      <font>
        <strike val="0"/>
        <outline val="0"/>
        <shadow val="0"/>
        <u val="none"/>
        <vertAlign val="baseline"/>
        <sz val="8"/>
        <color auto="1"/>
        <name val="Calibri"/>
        <family val="2"/>
        <scheme val="minor"/>
      </font>
      <numFmt numFmtId="0" formatCode="General"/>
      <fill>
        <patternFill patternType="solid">
          <fgColor indexed="64"/>
          <bgColor theme="8" tint="0.79998168889431442"/>
        </patternFill>
      </fill>
    </dxf>
    <dxf>
      <font>
        <strike val="0"/>
        <outline val="0"/>
        <shadow val="0"/>
        <u val="none"/>
        <vertAlign val="baseline"/>
        <sz val="8"/>
        <color auto="1"/>
        <name val="Calibri"/>
        <family val="2"/>
        <scheme val="minor"/>
      </font>
      <fill>
        <patternFill patternType="solid">
          <fgColor indexed="64"/>
          <bgColor theme="8" tint="0.79998168889431442"/>
        </patternFill>
      </fill>
    </dxf>
    <dxf>
      <font>
        <strike val="0"/>
        <outline val="0"/>
        <shadow val="0"/>
        <u val="none"/>
        <vertAlign val="baseline"/>
        <sz val="8"/>
        <color auto="1"/>
        <name val="Calibri"/>
        <family val="2"/>
        <scheme val="minor"/>
      </font>
      <fill>
        <patternFill patternType="solid">
          <fgColor indexed="64"/>
          <bgColor theme="8" tint="0.79998168889431442"/>
        </patternFill>
      </fill>
    </dxf>
    <dxf>
      <font>
        <strike val="0"/>
        <outline val="0"/>
        <shadow val="0"/>
        <u val="none"/>
        <vertAlign val="baseline"/>
        <sz val="8"/>
        <color auto="1"/>
        <name val="Calibri"/>
        <family val="2"/>
        <scheme val="minor"/>
      </font>
      <fill>
        <patternFill patternType="solid">
          <fgColor indexed="64"/>
          <bgColor theme="8" tint="0.79998168889431442"/>
        </patternFill>
      </fill>
    </dxf>
    <dxf>
      <font>
        <b val="0"/>
        <i val="0"/>
        <strike val="0"/>
        <condense val="0"/>
        <extend val="0"/>
        <outline val="0"/>
        <shadow val="0"/>
        <u val="none"/>
        <vertAlign val="baseline"/>
        <sz val="8"/>
        <color auto="1"/>
        <name val="Calibri"/>
        <family val="2"/>
        <scheme val="minor"/>
      </font>
      <numFmt numFmtId="0" formatCode="General"/>
      <fill>
        <patternFill patternType="solid">
          <fgColor indexed="64"/>
          <bgColor theme="8" tint="0.79998168889431442"/>
        </patternFill>
      </fill>
      <protection locked="0" hidden="0"/>
    </dxf>
    <dxf>
      <font>
        <b val="0"/>
        <i val="0"/>
        <strike val="0"/>
        <condense val="0"/>
        <extend val="0"/>
        <outline val="0"/>
        <shadow val="0"/>
        <u val="none"/>
        <vertAlign val="baseline"/>
        <sz val="8"/>
        <color auto="1"/>
        <name val="Calibri"/>
        <family val="2"/>
        <scheme val="minor"/>
      </font>
      <fill>
        <patternFill patternType="solid">
          <fgColor indexed="64"/>
          <bgColor theme="8" tint="0.79998168889431442"/>
        </patternFill>
      </fill>
      <protection locked="0" hidden="0"/>
    </dxf>
    <dxf>
      <font>
        <b val="0"/>
        <i val="0"/>
        <strike val="0"/>
        <condense val="0"/>
        <extend val="0"/>
        <outline val="0"/>
        <shadow val="0"/>
        <u val="none"/>
        <vertAlign val="baseline"/>
        <sz val="8"/>
        <color auto="1"/>
        <name val="Calibri"/>
        <family val="2"/>
        <scheme val="minor"/>
      </font>
      <fill>
        <patternFill patternType="solid">
          <fgColor indexed="64"/>
          <bgColor theme="8" tint="0.79998168889431442"/>
        </patternFill>
      </fill>
      <protection locked="0" hidden="0"/>
    </dxf>
    <dxf>
      <font>
        <strike val="0"/>
        <outline val="0"/>
        <shadow val="0"/>
        <u val="none"/>
        <vertAlign val="baseline"/>
        <sz val="8"/>
        <color auto="1"/>
        <name val="Calibri"/>
        <family val="2"/>
        <scheme val="minor"/>
      </font>
      <fill>
        <patternFill patternType="solid">
          <fgColor indexed="64"/>
          <bgColor theme="8" tint="0.79998168889431442"/>
        </patternFill>
      </fill>
      <protection locked="0" hidden="0"/>
    </dxf>
    <dxf>
      <font>
        <b val="0"/>
        <i val="0"/>
        <strike val="0"/>
        <condense val="0"/>
        <extend val="0"/>
        <outline val="0"/>
        <shadow val="0"/>
        <u val="none"/>
        <vertAlign val="baseline"/>
        <sz val="8"/>
        <color auto="1"/>
        <name val="Calibri"/>
        <family val="2"/>
        <scheme val="minor"/>
      </font>
      <numFmt numFmtId="0" formatCode="General"/>
      <fill>
        <patternFill patternType="solid">
          <fgColor indexed="64"/>
          <bgColor theme="8" tint="0.79998168889431442"/>
        </patternFill>
      </fill>
      <protection locked="0" hidden="0"/>
    </dxf>
    <dxf>
      <font>
        <b val="0"/>
        <i val="0"/>
        <strike val="0"/>
        <condense val="0"/>
        <extend val="0"/>
        <outline val="0"/>
        <shadow val="0"/>
        <u val="none"/>
        <vertAlign val="baseline"/>
        <sz val="8"/>
        <color auto="1"/>
        <name val="Calibri"/>
        <family val="2"/>
        <scheme val="minor"/>
      </font>
      <numFmt numFmtId="0" formatCode="General"/>
      <fill>
        <patternFill patternType="solid">
          <fgColor indexed="64"/>
          <bgColor theme="8" tint="0.79998168889431442"/>
        </patternFill>
      </fill>
      <protection locked="0" hidden="0"/>
    </dxf>
    <dxf>
      <font>
        <b val="0"/>
        <i val="0"/>
        <strike val="0"/>
        <condense val="0"/>
        <extend val="0"/>
        <outline val="0"/>
        <shadow val="0"/>
        <u val="none"/>
        <vertAlign val="baseline"/>
        <sz val="8"/>
        <color auto="1"/>
        <name val="Calibri"/>
        <family val="2"/>
        <scheme val="minor"/>
      </font>
      <fill>
        <patternFill patternType="solid">
          <fgColor indexed="64"/>
          <bgColor theme="8" tint="0.79998168889431442"/>
        </patternFill>
      </fill>
      <protection locked="0" hidden="0"/>
    </dxf>
    <dxf>
      <font>
        <strike val="0"/>
        <outline val="0"/>
        <shadow val="0"/>
        <u val="none"/>
        <vertAlign val="baseline"/>
        <sz val="8"/>
        <color auto="1"/>
        <name val="Calibri"/>
        <family val="2"/>
        <scheme val="minor"/>
      </font>
      <fill>
        <patternFill patternType="solid">
          <fgColor indexed="64"/>
          <bgColor theme="8" tint="0.79998168889431442"/>
        </patternFill>
      </fill>
      <protection locked="0" hidden="0"/>
    </dxf>
    <dxf>
      <font>
        <strike val="0"/>
        <outline val="0"/>
        <shadow val="0"/>
        <u val="none"/>
        <vertAlign val="baseline"/>
        <sz val="8"/>
        <color auto="1"/>
        <name val="Calibri"/>
        <family val="2"/>
        <scheme val="minor"/>
      </font>
      <numFmt numFmtId="0" formatCode="General"/>
      <fill>
        <patternFill patternType="solid">
          <fgColor indexed="64"/>
          <bgColor theme="8" tint="0.79998168889431442"/>
        </patternFill>
      </fill>
    </dxf>
    <dxf>
      <font>
        <strike val="0"/>
        <outline val="0"/>
        <shadow val="0"/>
        <u val="none"/>
        <vertAlign val="baseline"/>
        <sz val="8"/>
        <color auto="1"/>
        <name val="Calibri"/>
        <family val="2"/>
        <scheme val="minor"/>
      </font>
      <fill>
        <patternFill patternType="solid">
          <fgColor indexed="64"/>
          <bgColor theme="8" tint="0.79998168889431442"/>
        </patternFill>
      </fill>
    </dxf>
    <dxf>
      <font>
        <strike val="0"/>
        <outline val="0"/>
        <shadow val="0"/>
        <u val="none"/>
        <vertAlign val="baseline"/>
        <sz val="8"/>
        <color auto="1"/>
        <name val="Calibri"/>
        <family val="2"/>
        <scheme val="minor"/>
      </font>
      <fill>
        <patternFill patternType="solid">
          <fgColor indexed="64"/>
          <bgColor theme="8" tint="0.79998168889431442"/>
        </patternFill>
      </fill>
    </dxf>
    <dxf>
      <font>
        <strike val="0"/>
        <outline val="0"/>
        <shadow val="0"/>
        <u val="none"/>
        <vertAlign val="baseline"/>
        <sz val="8"/>
        <color auto="1"/>
        <name val="Calibri"/>
        <family val="2"/>
        <scheme val="minor"/>
      </font>
      <fill>
        <patternFill patternType="solid">
          <fgColor indexed="64"/>
          <bgColor theme="8" tint="0.79998168889431442"/>
        </patternFill>
      </fill>
    </dxf>
    <dxf>
      <font>
        <strike val="0"/>
        <outline val="0"/>
        <shadow val="0"/>
        <u val="none"/>
        <vertAlign val="baseline"/>
        <sz val="8"/>
        <color auto="1"/>
        <name val="Calibri"/>
        <family val="2"/>
        <scheme val="minor"/>
      </font>
      <numFmt numFmtId="0" formatCode="General"/>
      <fill>
        <patternFill patternType="solid">
          <fgColor indexed="64"/>
          <bgColor theme="8" tint="0.79998168889431442"/>
        </patternFill>
      </fill>
    </dxf>
    <dxf>
      <font>
        <strike val="0"/>
        <outline val="0"/>
        <shadow val="0"/>
        <u val="none"/>
        <vertAlign val="baseline"/>
        <sz val="8"/>
        <color auto="1"/>
        <name val="Calibri"/>
        <family val="2"/>
        <scheme val="minor"/>
      </font>
      <fill>
        <patternFill patternType="solid">
          <fgColor indexed="64"/>
          <bgColor theme="8" tint="0.79998168889431442"/>
        </patternFill>
      </fill>
    </dxf>
    <dxf>
      <font>
        <strike val="0"/>
        <outline val="0"/>
        <shadow val="0"/>
        <u val="none"/>
        <vertAlign val="baseline"/>
        <sz val="8"/>
        <color auto="1"/>
        <name val="Calibri"/>
        <family val="2"/>
        <scheme val="minor"/>
      </font>
      <fill>
        <patternFill patternType="solid">
          <fgColor indexed="64"/>
          <bgColor theme="8" tint="0.79998168889431442"/>
        </patternFill>
      </fill>
    </dxf>
    <dxf>
      <font>
        <strike val="0"/>
        <outline val="0"/>
        <shadow val="0"/>
        <u val="none"/>
        <vertAlign val="baseline"/>
        <sz val="8"/>
        <color auto="1"/>
        <name val="Calibri"/>
        <family val="2"/>
        <scheme val="minor"/>
      </font>
      <fill>
        <patternFill patternType="solid">
          <fgColor indexed="64"/>
          <bgColor theme="8" tint="0.79998168889431442"/>
        </patternFill>
      </fill>
    </dxf>
    <dxf>
      <font>
        <strike val="0"/>
        <outline val="0"/>
        <shadow val="0"/>
        <u val="none"/>
        <vertAlign val="baseline"/>
        <color auto="1"/>
        <name val="Calibri"/>
        <family val="2"/>
        <scheme val="minor"/>
      </font>
      <fill>
        <patternFill patternType="none">
          <fgColor indexed="64"/>
          <bgColor auto="1"/>
        </patternFill>
      </fill>
      <protection locked="0" hidden="0"/>
    </dxf>
    <dxf>
      <font>
        <strike val="0"/>
        <outline val="0"/>
        <shadow val="0"/>
        <u val="none"/>
        <vertAlign val="baseline"/>
        <color auto="1"/>
        <name val="Calibri"/>
        <family val="2"/>
        <scheme val="minor"/>
      </font>
      <fill>
        <patternFill patternType="none">
          <fgColor indexed="64"/>
          <bgColor auto="1"/>
        </patternFill>
      </fill>
      <protection locked="0" hidden="0"/>
    </dxf>
    <dxf>
      <font>
        <strike val="0"/>
        <outline val="0"/>
        <shadow val="0"/>
        <u val="none"/>
        <vertAlign val="baseline"/>
        <color auto="1"/>
        <name val="Calibri"/>
        <family val="2"/>
        <scheme val="minor"/>
      </font>
      <fill>
        <patternFill patternType="none">
          <fgColor indexed="64"/>
          <bgColor auto="1"/>
        </patternFill>
      </fill>
      <protection locked="0" hidden="0"/>
    </dxf>
    <dxf>
      <font>
        <strike val="0"/>
        <outline val="0"/>
        <shadow val="0"/>
        <u val="none"/>
        <vertAlign val="baseline"/>
        <color auto="1"/>
        <name val="Calibri"/>
        <family val="2"/>
        <scheme val="minor"/>
      </font>
      <fill>
        <patternFill patternType="none">
          <fgColor indexed="64"/>
          <bgColor auto="1"/>
        </patternFill>
      </fill>
      <protection locked="0" hidden="0"/>
    </dxf>
    <dxf>
      <font>
        <strike val="0"/>
        <outline val="0"/>
        <shadow val="0"/>
        <u val="none"/>
        <vertAlign val="baseline"/>
        <color auto="1"/>
        <name val="Calibri"/>
        <family val="2"/>
        <scheme val="minor"/>
      </font>
      <fill>
        <patternFill patternType="none">
          <fgColor indexed="64"/>
          <bgColor auto="1"/>
        </patternFill>
      </fill>
      <protection locked="0" hidden="0"/>
    </dxf>
    <dxf>
      <font>
        <strike val="0"/>
        <outline val="0"/>
        <shadow val="0"/>
        <u val="none"/>
        <vertAlign val="baseline"/>
        <color auto="1"/>
        <name val="Calibri"/>
        <family val="2"/>
        <scheme val="minor"/>
      </font>
      <fill>
        <patternFill patternType="none">
          <fgColor indexed="64"/>
          <bgColor auto="1"/>
        </patternFill>
      </fill>
      <protection locked="0" hidden="0"/>
    </dxf>
    <dxf>
      <font>
        <strike val="0"/>
        <outline val="0"/>
        <shadow val="0"/>
        <u val="none"/>
        <vertAlign val="baseline"/>
        <color auto="1"/>
        <name val="Calibri"/>
        <family val="2"/>
        <scheme val="minor"/>
      </font>
      <fill>
        <patternFill patternType="none">
          <fgColor indexed="64"/>
          <bgColor auto="1"/>
        </patternFill>
      </fill>
      <protection locked="0" hidden="0"/>
    </dxf>
    <dxf>
      <font>
        <strike val="0"/>
        <outline val="0"/>
        <shadow val="0"/>
        <u val="none"/>
        <vertAlign val="baseline"/>
        <color auto="1"/>
        <name val="Calibri"/>
        <family val="2"/>
        <scheme val="minor"/>
      </font>
      <fill>
        <patternFill patternType="none">
          <fgColor indexed="64"/>
          <bgColor auto="1"/>
        </patternFill>
      </fill>
      <protection locked="0" hidden="0"/>
    </dxf>
    <dxf>
      <font>
        <strike val="0"/>
        <outline val="0"/>
        <shadow val="0"/>
        <u val="none"/>
        <vertAlign val="baseline"/>
        <color auto="1"/>
        <name val="Calibri"/>
        <family val="2"/>
        <scheme val="minor"/>
      </font>
      <fill>
        <patternFill patternType="none">
          <fgColor indexed="64"/>
          <bgColor auto="1"/>
        </patternFill>
      </fill>
      <protection locked="0" hidden="0"/>
    </dxf>
    <dxf>
      <font>
        <strike val="0"/>
        <outline val="0"/>
        <shadow val="0"/>
        <u val="none"/>
        <vertAlign val="baseline"/>
        <color auto="1"/>
        <name val="Calibri"/>
        <family val="2"/>
        <scheme val="minor"/>
      </font>
      <fill>
        <patternFill patternType="none">
          <fgColor indexed="64"/>
          <bgColor auto="1"/>
        </patternFill>
      </fill>
      <protection locked="0" hidden="0"/>
    </dxf>
    <dxf>
      <font>
        <strike val="0"/>
        <outline val="0"/>
        <shadow val="0"/>
        <u val="none"/>
        <vertAlign val="baseline"/>
        <color auto="1"/>
        <name val="Calibri"/>
        <family val="2"/>
        <scheme val="minor"/>
      </font>
      <fill>
        <patternFill patternType="none">
          <fgColor indexed="64"/>
          <bgColor auto="1"/>
        </patternFill>
      </fill>
      <protection locked="0" hidden="0"/>
    </dxf>
    <dxf>
      <font>
        <strike val="0"/>
        <outline val="0"/>
        <shadow val="0"/>
        <u val="none"/>
        <vertAlign val="baseline"/>
        <color auto="1"/>
        <name val="Calibri"/>
        <family val="2"/>
        <scheme val="minor"/>
      </font>
      <fill>
        <patternFill patternType="none">
          <fgColor indexed="64"/>
          <bgColor auto="1"/>
        </patternFill>
      </fill>
      <protection locked="0" hidden="0"/>
    </dxf>
    <dxf>
      <font>
        <strike val="0"/>
        <outline val="0"/>
        <shadow val="0"/>
        <u val="none"/>
        <vertAlign val="baseline"/>
        <color auto="1"/>
        <name val="Calibri"/>
        <family val="2"/>
        <scheme val="minor"/>
      </font>
      <fill>
        <patternFill patternType="none">
          <fgColor indexed="64"/>
          <bgColor auto="1"/>
        </patternFill>
      </fill>
      <protection locked="0" hidden="0"/>
    </dxf>
    <dxf>
      <font>
        <strike val="0"/>
        <outline val="0"/>
        <shadow val="0"/>
        <u val="none"/>
        <vertAlign val="baseline"/>
        <color auto="1"/>
        <name val="Calibri"/>
        <family val="2"/>
        <scheme val="minor"/>
      </font>
      <fill>
        <patternFill patternType="none">
          <fgColor indexed="64"/>
          <bgColor auto="1"/>
        </patternFill>
      </fill>
      <protection locked="0" hidden="0"/>
    </dxf>
    <dxf>
      <font>
        <strike val="0"/>
        <outline val="0"/>
        <shadow val="0"/>
        <u val="none"/>
        <vertAlign val="baseline"/>
        <color auto="1"/>
        <name val="Calibri"/>
        <family val="2"/>
        <scheme val="minor"/>
      </font>
      <fill>
        <patternFill patternType="none">
          <fgColor indexed="64"/>
          <bgColor auto="1"/>
        </patternFill>
      </fill>
      <protection locked="0" hidden="0"/>
    </dxf>
    <dxf>
      <font>
        <b val="0"/>
        <i val="0"/>
        <strike val="0"/>
        <condense val="0"/>
        <extend val="0"/>
        <outline val="0"/>
        <shadow val="0"/>
        <u val="none"/>
        <vertAlign val="baseline"/>
        <sz val="8"/>
        <color auto="1"/>
        <name val="Calibri"/>
        <family val="2"/>
        <scheme val="minor"/>
      </font>
      <fill>
        <patternFill patternType="solid">
          <fgColor indexed="64"/>
          <bgColor theme="8" tint="0.79998168889431442"/>
        </patternFill>
      </fill>
      <protection locked="0" hidden="0"/>
    </dxf>
    <dxf>
      <font>
        <b val="0"/>
        <i val="0"/>
        <strike val="0"/>
        <condense val="0"/>
        <extend val="0"/>
        <outline val="0"/>
        <shadow val="0"/>
        <u val="none"/>
        <vertAlign val="baseline"/>
        <sz val="8"/>
        <color auto="1"/>
        <name val="Calibri"/>
        <family val="2"/>
        <scheme val="minor"/>
      </font>
      <fill>
        <patternFill patternType="solid">
          <fgColor indexed="64"/>
          <bgColor theme="8" tint="0.79998168889431442"/>
        </patternFill>
      </fill>
      <protection locked="0" hidden="0"/>
    </dxf>
    <dxf>
      <font>
        <b val="0"/>
        <i val="0"/>
        <strike val="0"/>
        <condense val="0"/>
        <extend val="0"/>
        <outline val="0"/>
        <shadow val="0"/>
        <u val="none"/>
        <vertAlign val="baseline"/>
        <sz val="8"/>
        <color auto="1"/>
        <name val="Calibri"/>
        <family val="2"/>
        <scheme val="minor"/>
      </font>
      <fill>
        <patternFill patternType="solid">
          <fgColor indexed="64"/>
          <bgColor theme="8" tint="0.79998168889431442"/>
        </patternFill>
      </fill>
      <protection locked="0" hidden="0"/>
    </dxf>
    <dxf>
      <font>
        <b val="0"/>
        <i val="0"/>
        <strike val="0"/>
        <condense val="0"/>
        <extend val="0"/>
        <outline val="0"/>
        <shadow val="0"/>
        <u val="none"/>
        <vertAlign val="baseline"/>
        <sz val="8"/>
        <color auto="1"/>
        <name val="Calibri"/>
        <family val="2"/>
        <scheme val="minor"/>
      </font>
      <fill>
        <patternFill patternType="solid">
          <fgColor indexed="64"/>
          <bgColor theme="8" tint="0.79998168889431442"/>
        </patternFill>
      </fill>
      <protection locked="0" hidden="0"/>
    </dxf>
    <dxf>
      <font>
        <strike val="0"/>
        <outline val="0"/>
        <shadow val="0"/>
        <u val="none"/>
        <vertAlign val="baseline"/>
        <color auto="1"/>
        <name val="Calibri"/>
        <family val="2"/>
        <scheme val="minor"/>
      </font>
      <fill>
        <patternFill patternType="none">
          <fgColor indexed="64"/>
          <bgColor auto="1"/>
        </patternFill>
      </fill>
    </dxf>
    <dxf>
      <font>
        <b val="0"/>
        <i val="0"/>
        <strike val="0"/>
        <condense val="0"/>
        <extend val="0"/>
        <outline val="0"/>
        <shadow val="0"/>
        <u val="none"/>
        <vertAlign val="baseline"/>
        <sz val="8"/>
        <color auto="1"/>
        <name val="Calibri"/>
        <family val="2"/>
        <scheme val="minor"/>
      </font>
      <numFmt numFmtId="0" formatCode="General"/>
      <fill>
        <patternFill patternType="solid">
          <fgColor indexed="64"/>
          <bgColor theme="8" tint="0.79998168889431442"/>
        </patternFill>
      </fill>
      <protection locked="0" hidden="0"/>
    </dxf>
    <dxf>
      <font>
        <b val="0"/>
        <i val="0"/>
        <strike val="0"/>
        <condense val="0"/>
        <extend val="0"/>
        <outline val="0"/>
        <shadow val="0"/>
        <u val="none"/>
        <vertAlign val="baseline"/>
        <sz val="8"/>
        <color auto="1"/>
        <name val="Calibri"/>
        <family val="2"/>
        <scheme val="minor"/>
      </font>
      <numFmt numFmtId="0" formatCode="General"/>
      <fill>
        <patternFill patternType="solid">
          <fgColor indexed="64"/>
          <bgColor theme="8" tint="0.79998168889431442"/>
        </patternFill>
      </fill>
      <protection locked="0" hidden="0"/>
    </dxf>
    <dxf>
      <font>
        <b val="0"/>
        <i val="0"/>
        <strike val="0"/>
        <condense val="0"/>
        <extend val="0"/>
        <outline val="0"/>
        <shadow val="0"/>
        <u val="none"/>
        <vertAlign val="baseline"/>
        <sz val="8"/>
        <color auto="1"/>
        <name val="Calibri"/>
        <family val="2"/>
        <scheme val="minor"/>
      </font>
      <fill>
        <patternFill patternType="solid">
          <fgColor indexed="64"/>
          <bgColor theme="8" tint="0.79998168889431442"/>
        </patternFill>
      </fill>
      <protection locked="0" hidden="0"/>
    </dxf>
    <dxf>
      <font>
        <strike val="0"/>
        <outline val="0"/>
        <shadow val="0"/>
        <u val="none"/>
        <vertAlign val="baseline"/>
        <color auto="1"/>
        <name val="Calibri"/>
        <family val="2"/>
        <scheme val="minor"/>
      </font>
      <fill>
        <patternFill patternType="solid">
          <fgColor indexed="64"/>
          <bgColor theme="8" tint="0.79998168889431442"/>
        </patternFill>
      </fill>
    </dxf>
    <dxf>
      <font>
        <strike val="0"/>
        <outline val="0"/>
        <shadow val="0"/>
        <u val="none"/>
        <vertAlign val="baseline"/>
        <color auto="1"/>
        <name val="Calibri"/>
        <family val="2"/>
        <scheme val="minor"/>
      </font>
      <fill>
        <patternFill patternType="none">
          <fgColor indexed="64"/>
          <bgColor auto="1"/>
        </patternFill>
      </fill>
    </dxf>
    <dxf>
      <font>
        <b val="0"/>
        <i val="0"/>
        <strike val="0"/>
        <condense val="0"/>
        <extend val="0"/>
        <outline val="0"/>
        <shadow val="0"/>
        <u val="none"/>
        <vertAlign val="baseline"/>
        <sz val="8"/>
        <color auto="1"/>
        <name val="Calibri"/>
        <family val="2"/>
        <scheme val="minor"/>
      </font>
      <fill>
        <patternFill patternType="solid">
          <fgColor indexed="64"/>
          <bgColor theme="8" tint="0.79998168889431442"/>
        </patternFill>
      </fill>
      <protection locked="0" hidden="0"/>
    </dxf>
    <dxf>
      <font>
        <b val="0"/>
        <i val="0"/>
        <strike val="0"/>
        <condense val="0"/>
        <extend val="0"/>
        <outline val="0"/>
        <shadow val="0"/>
        <u val="none"/>
        <vertAlign val="baseline"/>
        <sz val="8"/>
        <color auto="1"/>
        <name val="Calibri"/>
        <family val="2"/>
        <scheme val="minor"/>
      </font>
      <fill>
        <patternFill patternType="solid">
          <fgColor indexed="64"/>
          <bgColor theme="8" tint="0.79998168889431442"/>
        </patternFill>
      </fill>
      <protection locked="0" hidden="0"/>
    </dxf>
    <dxf>
      <font>
        <b val="0"/>
        <i val="0"/>
        <strike val="0"/>
        <condense val="0"/>
        <extend val="0"/>
        <outline val="0"/>
        <shadow val="0"/>
        <u val="none"/>
        <vertAlign val="baseline"/>
        <sz val="8"/>
        <color auto="1"/>
        <name val="Calibri"/>
        <family val="2"/>
        <scheme val="minor"/>
      </font>
      <fill>
        <patternFill patternType="solid">
          <fgColor indexed="64"/>
          <bgColor theme="8" tint="0.79998168889431442"/>
        </patternFill>
      </fill>
      <protection locked="0" hidden="0"/>
    </dxf>
    <dxf>
      <font>
        <b val="0"/>
        <i val="0"/>
        <strike val="0"/>
        <condense val="0"/>
        <extend val="0"/>
        <outline val="0"/>
        <shadow val="0"/>
        <u val="none"/>
        <vertAlign val="baseline"/>
        <sz val="8"/>
        <color auto="1"/>
        <name val="Calibri"/>
        <family val="2"/>
        <scheme val="minor"/>
      </font>
      <fill>
        <patternFill patternType="solid">
          <fgColor indexed="64"/>
          <bgColor theme="8" tint="0.79998168889431442"/>
        </patternFill>
      </fill>
      <protection locked="0" hidden="0"/>
    </dxf>
    <dxf>
      <font>
        <strike val="0"/>
        <outline val="0"/>
        <shadow val="0"/>
        <u val="none"/>
        <vertAlign val="baseline"/>
        <color auto="1"/>
        <name val="Calibri"/>
        <family val="2"/>
        <scheme val="minor"/>
      </font>
      <fill>
        <patternFill patternType="none">
          <fgColor indexed="64"/>
          <bgColor auto="1"/>
        </patternFill>
      </fill>
    </dxf>
    <dxf>
      <font>
        <b val="0"/>
        <i val="0"/>
        <strike val="0"/>
        <condense val="0"/>
        <extend val="0"/>
        <outline val="0"/>
        <shadow val="0"/>
        <u val="none"/>
        <vertAlign val="baseline"/>
        <sz val="8"/>
        <color auto="1"/>
        <name val="Calibri"/>
        <family val="2"/>
        <scheme val="minor"/>
      </font>
      <fill>
        <patternFill patternType="none">
          <fgColor indexed="64"/>
          <bgColor auto="1"/>
        </patternFill>
      </fill>
      <protection locked="0" hidden="0"/>
    </dxf>
    <dxf>
      <font>
        <b val="0"/>
        <i val="0"/>
        <strike val="0"/>
        <condense val="0"/>
        <extend val="0"/>
        <outline val="0"/>
        <shadow val="0"/>
        <u val="none"/>
        <vertAlign val="baseline"/>
        <sz val="8"/>
        <color auto="1"/>
        <name val="Calibri"/>
        <family val="2"/>
        <scheme val="minor"/>
      </font>
      <fill>
        <patternFill patternType="none">
          <fgColor indexed="64"/>
          <bgColor auto="1"/>
        </patternFill>
      </fill>
      <protection locked="0" hidden="0"/>
    </dxf>
    <dxf>
      <font>
        <b val="0"/>
        <i val="0"/>
        <strike val="0"/>
        <condense val="0"/>
        <extend val="0"/>
        <outline val="0"/>
        <shadow val="0"/>
        <u val="none"/>
        <vertAlign val="baseline"/>
        <sz val="8"/>
        <color auto="1"/>
        <name val="Calibri"/>
        <family val="2"/>
        <scheme val="minor"/>
      </font>
      <fill>
        <patternFill patternType="none">
          <fgColor indexed="64"/>
          <bgColor auto="1"/>
        </patternFill>
      </fill>
      <protection locked="0" hidden="0"/>
    </dxf>
    <dxf>
      <font>
        <b val="0"/>
        <i val="0"/>
        <strike val="0"/>
        <condense val="0"/>
        <extend val="0"/>
        <outline val="0"/>
        <shadow val="0"/>
        <u val="none"/>
        <vertAlign val="baseline"/>
        <sz val="8"/>
        <color auto="1"/>
        <name val="Calibri"/>
        <family val="2"/>
        <scheme val="minor"/>
      </font>
      <fill>
        <patternFill patternType="none">
          <fgColor indexed="64"/>
          <bgColor auto="1"/>
        </patternFill>
      </fill>
      <protection locked="0" hidden="0"/>
    </dxf>
    <dxf>
      <font>
        <b val="0"/>
        <i val="0"/>
        <strike val="0"/>
        <condense val="0"/>
        <extend val="0"/>
        <outline val="0"/>
        <shadow val="0"/>
        <u val="none"/>
        <vertAlign val="baseline"/>
        <sz val="8"/>
        <color auto="1"/>
        <name val="Calibri"/>
        <family val="2"/>
        <scheme val="minor"/>
      </font>
      <fill>
        <patternFill patternType="none">
          <fgColor indexed="64"/>
          <bgColor auto="1"/>
        </patternFill>
      </fill>
      <protection locked="0" hidden="0"/>
    </dxf>
    <dxf>
      <font>
        <strike val="0"/>
        <outline val="0"/>
        <shadow val="0"/>
        <u val="none"/>
        <vertAlign val="baseline"/>
        <sz val="8"/>
        <color auto="1"/>
        <name val="Calibri"/>
        <family val="2"/>
        <scheme val="minor"/>
      </font>
      <fill>
        <patternFill patternType="none">
          <fgColor indexed="64"/>
          <bgColor auto="1"/>
        </patternFill>
      </fill>
      <protection locked="0" hidden="0"/>
    </dxf>
    <dxf>
      <font>
        <strike val="0"/>
        <outline val="0"/>
        <shadow val="0"/>
        <u val="none"/>
        <vertAlign val="baseline"/>
        <sz val="8"/>
        <color auto="1"/>
        <name val="Calibri"/>
        <family val="2"/>
        <scheme val="minor"/>
      </font>
      <fill>
        <patternFill patternType="none">
          <fgColor indexed="64"/>
          <bgColor auto="1"/>
        </patternFill>
      </fill>
      <protection locked="0" hidden="0"/>
    </dxf>
    <dxf>
      <font>
        <strike val="0"/>
        <outline val="0"/>
        <shadow val="0"/>
        <u val="none"/>
        <vertAlign val="baseline"/>
        <sz val="8"/>
        <color auto="1"/>
        <name val="Calibri"/>
        <family val="2"/>
        <scheme val="minor"/>
      </font>
      <fill>
        <patternFill patternType="none">
          <fgColor indexed="64"/>
          <bgColor auto="1"/>
        </patternFill>
      </fill>
      <protection locked="0" hidden="0"/>
    </dxf>
    <dxf>
      <font>
        <strike val="0"/>
        <outline val="0"/>
        <shadow val="0"/>
        <u val="none"/>
        <vertAlign val="baseline"/>
        <sz val="8"/>
        <color auto="1"/>
        <name val="Calibri"/>
        <family val="2"/>
        <scheme val="minor"/>
      </font>
      <fill>
        <patternFill patternType="none">
          <fgColor indexed="64"/>
          <bgColor auto="1"/>
        </patternFill>
      </fill>
      <protection locked="0" hidden="0"/>
    </dxf>
    <dxf>
      <font>
        <strike val="0"/>
        <outline val="0"/>
        <shadow val="0"/>
        <u val="none"/>
        <vertAlign val="baseline"/>
        <color auto="1"/>
        <name val="Calibri"/>
        <family val="2"/>
        <scheme val="minor"/>
      </font>
      <fill>
        <patternFill patternType="none">
          <fgColor indexed="64"/>
          <bgColor auto="1"/>
        </patternFill>
      </fill>
      <protection locked="0" hidden="0"/>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Calibri"/>
        <family val="2"/>
        <scheme val="minor"/>
      </font>
      <fill>
        <patternFill patternType="none">
          <fgColor indexed="64"/>
          <bgColor auto="1"/>
        </patternFill>
      </fill>
      <protection locked="0" hidden="0"/>
    </dxf>
    <dxf>
      <border outline="0">
        <top style="thin">
          <color theme="7"/>
        </top>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protection locked="0" hidden="0"/>
    </dxf>
    <dxf>
      <border outline="0">
        <bottom style="thin">
          <color theme="4" tint="0.39997558519241921"/>
        </bottom>
      </border>
    </dxf>
    <dxf>
      <font>
        <strike val="0"/>
        <outline val="0"/>
        <shadow val="0"/>
        <u val="none"/>
        <vertAlign val="baseline"/>
        <color auto="1"/>
        <name val="Calibri"/>
        <family val="2"/>
        <scheme val="minor"/>
      </font>
      <fill>
        <patternFill patternType="none">
          <fgColor indexed="64"/>
          <bgColor auto="1"/>
        </patternFill>
      </fill>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auto="1"/>
        <name val="Calibri"/>
        <family val="2"/>
        <scheme val="minor"/>
      </font>
      <fill>
        <patternFill patternType="none">
          <fgColor indexed="64"/>
          <bgColor auto="1"/>
        </patternFill>
      </fill>
      <protection locked="0" hidden="0"/>
    </dxf>
    <dxf>
      <border outline="0">
        <top style="thin">
          <color theme="7"/>
        </top>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protection locked="0" hidden="0"/>
    </dxf>
    <dxf>
      <border outline="0">
        <bottom style="medium">
          <color theme="7"/>
        </bottom>
      </border>
    </dxf>
    <dxf>
      <font>
        <strike val="0"/>
        <outline val="0"/>
        <shadow val="0"/>
        <u val="none"/>
        <vertAlign val="baseline"/>
        <color auto="1"/>
        <name val="Calibri"/>
        <family val="2"/>
        <scheme val="minor"/>
      </font>
      <fill>
        <patternFill patternType="none">
          <fgColor indexed="64"/>
          <bgColor auto="1"/>
        </patternFill>
      </fill>
    </dxf>
    <dxf>
      <font>
        <strike val="0"/>
        <outline val="0"/>
        <shadow val="0"/>
        <u val="none"/>
        <vertAlign val="baseline"/>
        <color auto="1"/>
        <name val="Calibri"/>
        <family val="2"/>
        <scheme val="minor"/>
      </font>
      <fill>
        <patternFill patternType="none">
          <fgColor indexed="64"/>
          <bgColor auto="1"/>
        </patternFill>
      </fill>
      <protection locked="0" hidden="0"/>
    </dxf>
    <dxf>
      <font>
        <strike val="0"/>
        <outline val="0"/>
        <shadow val="0"/>
        <u val="none"/>
        <vertAlign val="baseline"/>
        <color auto="1"/>
        <name val="Calibri"/>
        <family val="2"/>
        <scheme val="minor"/>
      </font>
      <fill>
        <patternFill patternType="none">
          <fgColor indexed="64"/>
          <bgColor auto="1"/>
        </patternFill>
      </fill>
      <protection locked="0" hidden="0"/>
    </dxf>
    <dxf>
      <font>
        <strike val="0"/>
        <outline val="0"/>
        <shadow val="0"/>
        <u val="none"/>
        <vertAlign val="baseline"/>
        <color auto="1"/>
        <name val="Calibri"/>
        <family val="2"/>
        <scheme val="minor"/>
      </font>
      <fill>
        <patternFill patternType="none">
          <fgColor indexed="64"/>
          <bgColor auto="1"/>
        </patternFill>
      </fill>
      <protection locked="0" hidden="0"/>
    </dxf>
    <dxf>
      <font>
        <strike val="0"/>
        <outline val="0"/>
        <shadow val="0"/>
        <u val="none"/>
        <vertAlign val="baseline"/>
        <color auto="1"/>
        <name val="Calibri"/>
        <family val="2"/>
        <scheme val="minor"/>
      </font>
      <fill>
        <patternFill patternType="none">
          <fgColor indexed="64"/>
          <bgColor auto="1"/>
        </patternFill>
      </fill>
      <protection locked="0" hidden="0"/>
    </dxf>
    <dxf>
      <font>
        <strike val="0"/>
        <outline val="0"/>
        <shadow val="0"/>
        <u val="none"/>
        <vertAlign val="baseline"/>
        <color auto="1"/>
        <name val="Calibri"/>
        <family val="2"/>
        <scheme val="minor"/>
      </font>
      <fill>
        <patternFill patternType="none">
          <fgColor indexed="64"/>
          <bgColor auto="1"/>
        </patternFill>
      </fill>
      <protection locked="0" hidden="0"/>
    </dxf>
    <dxf>
      <font>
        <strike val="0"/>
        <outline val="0"/>
        <shadow val="0"/>
        <u val="none"/>
        <vertAlign val="baseline"/>
        <color auto="1"/>
        <name val="Calibri"/>
        <family val="2"/>
        <scheme val="minor"/>
      </font>
      <fill>
        <patternFill patternType="none">
          <fgColor indexed="64"/>
          <bgColor auto="1"/>
        </patternFill>
      </fill>
      <alignment horizontal="center" vertical="bottom" textRotation="0" wrapText="0" indent="0" justifyLastLine="0" shrinkToFit="0" readingOrder="0"/>
      <protection locked="0" hidden="0"/>
    </dxf>
    <dxf>
      <font>
        <strike val="0"/>
        <outline val="0"/>
        <shadow val="0"/>
        <u val="none"/>
        <vertAlign val="baseline"/>
        <color auto="1"/>
        <name val="Calibri"/>
        <family val="2"/>
        <scheme val="minor"/>
      </font>
      <fill>
        <patternFill patternType="none">
          <fgColor indexed="64"/>
          <bgColor auto="1"/>
        </patternFill>
      </fill>
      <protection locked="0" hidden="0"/>
    </dxf>
    <dxf>
      <font>
        <strike val="0"/>
        <outline val="0"/>
        <shadow val="0"/>
        <u val="none"/>
        <vertAlign val="baseline"/>
        <color auto="1"/>
        <name val="Calibri"/>
        <family val="2"/>
        <scheme val="minor"/>
      </font>
      <fill>
        <patternFill patternType="none">
          <fgColor indexed="64"/>
          <bgColor auto="1"/>
        </patternFill>
      </fill>
    </dxf>
    <dxf>
      <font>
        <strike val="0"/>
        <outline val="0"/>
        <shadow val="0"/>
        <u val="none"/>
        <vertAlign val="baseline"/>
        <color auto="1"/>
        <name val="Calibri"/>
        <family val="2"/>
        <scheme val="minor"/>
      </font>
      <fill>
        <patternFill patternType="none">
          <fgColor indexed="64"/>
          <bgColor auto="1"/>
        </patternFill>
      </fill>
      <alignment vertical="center" textRotation="0" wrapText="0" indent="0" justifyLastLine="0" shrinkToFit="0" readingOrder="0"/>
    </dxf>
    <dxf>
      <font>
        <b val="0"/>
        <i val="0"/>
        <strike val="0"/>
        <condense val="0"/>
        <extend val="0"/>
        <outline val="0"/>
        <shadow val="0"/>
        <u val="none"/>
        <vertAlign val="baseline"/>
        <sz val="8"/>
        <color auto="1"/>
        <name val="Calibri"/>
        <family val="2"/>
        <scheme val="minor"/>
      </font>
      <fill>
        <patternFill patternType="solid">
          <fgColor indexed="64"/>
          <bgColor theme="8" tint="0.79998168889431442"/>
        </patternFill>
      </fill>
      <protection locked="0" hidden="0"/>
    </dxf>
    <dxf>
      <font>
        <b val="0"/>
        <i val="0"/>
        <strike val="0"/>
        <condense val="0"/>
        <extend val="0"/>
        <outline val="0"/>
        <shadow val="0"/>
        <u val="none"/>
        <vertAlign val="baseline"/>
        <sz val="8"/>
        <color auto="1"/>
        <name val="Calibri"/>
        <family val="2"/>
        <scheme val="minor"/>
      </font>
      <fill>
        <patternFill patternType="solid">
          <fgColor indexed="64"/>
          <bgColor theme="8" tint="0.79998168889431442"/>
        </patternFill>
      </fill>
      <protection locked="0" hidden="0"/>
    </dxf>
    <dxf>
      <font>
        <b val="0"/>
        <i val="0"/>
        <strike val="0"/>
        <condense val="0"/>
        <extend val="0"/>
        <outline val="0"/>
        <shadow val="0"/>
        <u val="none"/>
        <vertAlign val="baseline"/>
        <sz val="8"/>
        <color auto="1"/>
        <name val="Calibri"/>
        <family val="2"/>
        <scheme val="minor"/>
      </font>
      <fill>
        <patternFill patternType="solid">
          <fgColor indexed="64"/>
          <bgColor theme="8" tint="0.79998168889431442"/>
        </patternFill>
      </fill>
      <protection locked="0" hidden="0"/>
    </dxf>
    <dxf>
      <font>
        <b val="0"/>
        <i val="0"/>
        <strike val="0"/>
        <condense val="0"/>
        <extend val="0"/>
        <outline val="0"/>
        <shadow val="0"/>
        <u val="none"/>
        <vertAlign val="baseline"/>
        <sz val="8"/>
        <color auto="1"/>
        <name val="Calibri"/>
        <family val="2"/>
        <scheme val="minor"/>
      </font>
      <fill>
        <patternFill patternType="solid">
          <fgColor indexed="64"/>
          <bgColor theme="8" tint="0.79998168889431442"/>
        </patternFill>
      </fill>
      <protection locked="0" hidden="0"/>
    </dxf>
    <dxf>
      <font>
        <b/>
        <i val="0"/>
        <strike val="0"/>
        <condense val="0"/>
        <extend val="0"/>
        <outline val="0"/>
        <shadow val="0"/>
        <u val="none"/>
        <vertAlign val="baseline"/>
        <sz val="8"/>
        <color auto="1"/>
        <name val="Calibri"/>
        <family val="2"/>
        <scheme val="minor"/>
      </font>
      <fill>
        <patternFill patternType="solid">
          <fgColor indexed="64"/>
          <bgColor theme="9"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8"/>
        <color auto="1"/>
        <name val="Calibri"/>
        <family val="2"/>
        <scheme val="minor"/>
      </font>
      <numFmt numFmtId="0" formatCode="General"/>
      <fill>
        <patternFill patternType="solid">
          <fgColor indexed="64"/>
          <bgColor theme="8" tint="0.79998168889431442"/>
        </patternFill>
      </fill>
      <protection locked="0" hidden="0"/>
    </dxf>
    <dxf>
      <font>
        <b val="0"/>
        <i val="0"/>
        <strike val="0"/>
        <condense val="0"/>
        <extend val="0"/>
        <outline val="0"/>
        <shadow val="0"/>
        <u val="none"/>
        <vertAlign val="baseline"/>
        <sz val="8"/>
        <color auto="1"/>
        <name val="Calibri"/>
        <family val="2"/>
        <scheme val="minor"/>
      </font>
      <fill>
        <patternFill patternType="solid">
          <fgColor indexed="64"/>
          <bgColor theme="8" tint="0.79998168889431442"/>
        </patternFill>
      </fill>
      <protection locked="0" hidden="0"/>
    </dxf>
    <dxf>
      <font>
        <b val="0"/>
        <i val="0"/>
        <strike val="0"/>
        <condense val="0"/>
        <extend val="0"/>
        <outline val="0"/>
        <shadow val="0"/>
        <u val="none"/>
        <vertAlign val="baseline"/>
        <sz val="8"/>
        <color auto="1"/>
        <name val="Calibri"/>
        <family val="2"/>
        <scheme val="minor"/>
      </font>
      <fill>
        <patternFill patternType="solid">
          <fgColor indexed="64"/>
          <bgColor theme="8" tint="0.79998168889431442"/>
        </patternFill>
      </fill>
      <protection locked="0" hidden="0"/>
    </dxf>
    <dxf>
      <font>
        <b val="0"/>
        <i val="0"/>
        <strike val="0"/>
        <condense val="0"/>
        <extend val="0"/>
        <outline val="0"/>
        <shadow val="0"/>
        <u val="none"/>
        <vertAlign val="baseline"/>
        <sz val="8"/>
        <color auto="1"/>
        <name val="Calibri"/>
        <family val="2"/>
        <scheme val="minor"/>
      </font>
      <fill>
        <patternFill patternType="solid">
          <fgColor indexed="64"/>
          <bgColor theme="8" tint="0.79998168889431442"/>
        </patternFill>
      </fill>
      <protection locked="0" hidden="0"/>
    </dxf>
    <dxf>
      <font>
        <b/>
        <i val="0"/>
        <strike val="0"/>
        <condense val="0"/>
        <extend val="0"/>
        <outline val="0"/>
        <shadow val="0"/>
        <u val="none"/>
        <vertAlign val="baseline"/>
        <sz val="8"/>
        <color auto="1"/>
        <name val="Calibri"/>
        <family val="2"/>
        <scheme val="minor"/>
      </font>
      <fill>
        <patternFill patternType="solid">
          <fgColor indexed="64"/>
          <bgColor theme="9"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8"/>
        <color auto="1"/>
        <name val="Calibri"/>
        <family val="2"/>
        <scheme val="minor"/>
      </font>
      <fill>
        <patternFill patternType="solid">
          <fgColor indexed="64"/>
          <bgColor theme="8" tint="0.79998168889431442"/>
        </patternFill>
      </fill>
      <protection locked="0" hidden="0"/>
    </dxf>
    <dxf>
      <font>
        <b val="0"/>
        <i val="0"/>
        <strike val="0"/>
        <condense val="0"/>
        <extend val="0"/>
        <outline val="0"/>
        <shadow val="0"/>
        <u val="none"/>
        <vertAlign val="baseline"/>
        <sz val="8"/>
        <color auto="1"/>
        <name val="Calibri"/>
        <family val="2"/>
        <scheme val="minor"/>
      </font>
      <fill>
        <patternFill patternType="solid">
          <fgColor indexed="64"/>
          <bgColor theme="8" tint="0.79998168889431442"/>
        </patternFill>
      </fill>
      <protection locked="0" hidden="0"/>
    </dxf>
    <dxf>
      <font>
        <b val="0"/>
        <i val="0"/>
        <strike val="0"/>
        <condense val="0"/>
        <extend val="0"/>
        <outline val="0"/>
        <shadow val="0"/>
        <u val="none"/>
        <vertAlign val="baseline"/>
        <sz val="8"/>
        <color auto="1"/>
        <name val="Calibri"/>
        <family val="2"/>
        <scheme val="minor"/>
      </font>
      <fill>
        <patternFill patternType="solid">
          <fgColor indexed="64"/>
          <bgColor theme="8" tint="0.79998168889431442"/>
        </patternFill>
      </fill>
      <protection locked="0" hidden="0"/>
    </dxf>
    <dxf>
      <font>
        <b val="0"/>
        <i val="0"/>
        <strike val="0"/>
        <condense val="0"/>
        <extend val="0"/>
        <outline val="0"/>
        <shadow val="0"/>
        <u val="none"/>
        <vertAlign val="baseline"/>
        <sz val="8"/>
        <color auto="1"/>
        <name val="Calibri"/>
        <family val="2"/>
        <scheme val="minor"/>
      </font>
      <fill>
        <patternFill patternType="solid">
          <fgColor indexed="64"/>
          <bgColor theme="8" tint="0.79998168889431442"/>
        </patternFill>
      </fill>
      <protection locked="0" hidden="0"/>
    </dxf>
    <dxf>
      <font>
        <b/>
        <i val="0"/>
        <strike val="0"/>
        <condense val="0"/>
        <extend val="0"/>
        <outline val="0"/>
        <shadow val="0"/>
        <u val="none"/>
        <vertAlign val="baseline"/>
        <sz val="8"/>
        <color auto="1"/>
        <name val="Calibri"/>
        <family val="2"/>
        <scheme val="minor"/>
      </font>
      <fill>
        <patternFill patternType="solid">
          <fgColor indexed="64"/>
          <bgColor theme="9" tint="0.39997558519241921"/>
        </patternFill>
      </fill>
      <alignment horizontal="left" vertical="center" textRotation="0" wrapText="1" indent="0" justifyLastLine="0" shrinkToFit="0" readingOrder="0"/>
      <protection locked="0" hidden="0"/>
    </dxf>
    <dxf>
      <font>
        <strike val="0"/>
        <outline val="0"/>
        <shadow val="0"/>
        <u val="none"/>
        <vertAlign val="baseline"/>
        <sz val="8"/>
        <color auto="1"/>
        <name val="Calibri"/>
        <family val="2"/>
        <scheme val="minor"/>
      </font>
      <numFmt numFmtId="0" formatCode="General"/>
      <fill>
        <patternFill patternType="solid">
          <fgColor indexed="64"/>
          <bgColor theme="8" tint="0.79998168889431442"/>
        </patternFill>
      </fill>
      <alignment horizontal="center" textRotation="0" indent="0" justifyLastLine="0" shrinkToFit="0" readingOrder="0"/>
      <protection locked="0" hidden="0"/>
    </dxf>
    <dxf>
      <font>
        <strike val="0"/>
        <outline val="0"/>
        <shadow val="0"/>
        <u val="none"/>
        <vertAlign val="baseline"/>
        <sz val="8"/>
        <color auto="1"/>
        <name val="Calibri"/>
        <family val="2"/>
        <scheme val="minor"/>
      </font>
      <fill>
        <patternFill patternType="solid">
          <fgColor indexed="64"/>
          <bgColor theme="8" tint="0.79998168889431442"/>
        </patternFill>
      </fill>
      <alignment horizontal="center" textRotation="0" indent="0" justifyLastLine="0" shrinkToFit="0" readingOrder="0"/>
      <protection locked="0" hidden="0"/>
    </dxf>
    <dxf>
      <font>
        <strike val="0"/>
        <outline val="0"/>
        <shadow val="0"/>
        <u val="none"/>
        <vertAlign val="baseline"/>
        <sz val="8"/>
        <color auto="1"/>
        <name val="Calibri"/>
        <family val="2"/>
        <scheme val="minor"/>
      </font>
      <fill>
        <patternFill patternType="solid">
          <fgColor indexed="64"/>
          <bgColor theme="8" tint="0.79998168889431442"/>
        </patternFill>
      </fill>
      <alignment horizontal="center" textRotation="0" indent="0" justifyLastLine="0" shrinkToFit="0" readingOrder="0"/>
      <protection locked="0" hidden="0"/>
    </dxf>
    <dxf>
      <font>
        <strike val="0"/>
        <outline val="0"/>
        <shadow val="0"/>
        <u val="none"/>
        <vertAlign val="baseline"/>
        <sz val="8"/>
        <color auto="1"/>
        <name val="Calibri"/>
        <family val="2"/>
        <scheme val="minor"/>
      </font>
      <fill>
        <patternFill patternType="solid">
          <fgColor indexed="64"/>
          <bgColor theme="8" tint="0.79998168889431442"/>
        </patternFill>
      </fill>
      <alignment horizontal="center" textRotation="0" indent="0" justifyLastLine="0" shrinkToFit="0" readingOrder="0"/>
      <protection locked="0" hidden="0"/>
    </dxf>
    <dxf>
      <font>
        <strike val="0"/>
        <outline val="0"/>
        <shadow val="0"/>
        <u val="none"/>
        <vertAlign val="baseline"/>
        <color auto="1"/>
        <name val="Calibri"/>
        <family val="2"/>
        <scheme val="minor"/>
      </font>
      <fill>
        <patternFill patternType="none">
          <fgColor indexed="64"/>
          <bgColor auto="1"/>
        </patternFill>
      </fill>
      <alignment horizontal="center" textRotation="0" indent="0" justifyLastLine="0" shrinkToFit="0" readingOrder="0"/>
      <protection locked="0" hidden="0"/>
    </dxf>
    <dxf>
      <font>
        <b val="0"/>
        <i val="0"/>
        <strike val="0"/>
        <condense val="0"/>
        <extend val="0"/>
        <outline val="0"/>
        <shadow val="0"/>
        <u val="none"/>
        <vertAlign val="baseline"/>
        <sz val="8"/>
        <color auto="1"/>
        <name val="Calibri"/>
        <family val="2"/>
        <scheme val="minor"/>
      </font>
      <numFmt numFmtId="0" formatCode="General"/>
      <fill>
        <patternFill patternType="solid">
          <fgColor indexed="64"/>
          <bgColor theme="8" tint="0.79998168889431442"/>
        </patternFill>
      </fill>
      <alignment horizontal="center" textRotation="0" indent="0" justifyLastLine="0" shrinkToFit="0" readingOrder="0"/>
      <protection locked="0" hidden="0"/>
    </dxf>
    <dxf>
      <font>
        <b val="0"/>
        <i val="0"/>
        <strike val="0"/>
        <condense val="0"/>
        <extend val="0"/>
        <outline val="0"/>
        <shadow val="0"/>
        <u val="none"/>
        <vertAlign val="baseline"/>
        <sz val="8"/>
        <color auto="1"/>
        <name val="Calibri"/>
        <family val="2"/>
        <scheme val="minor"/>
      </font>
      <fill>
        <patternFill patternType="solid">
          <fgColor indexed="64"/>
          <bgColor theme="8" tint="0.79998168889431442"/>
        </patternFill>
      </fill>
      <alignment horizontal="center" textRotation="0" indent="0" justifyLastLine="0" shrinkToFit="0" readingOrder="0"/>
      <protection locked="0" hidden="0"/>
    </dxf>
    <dxf>
      <font>
        <b val="0"/>
        <i val="0"/>
        <strike val="0"/>
        <condense val="0"/>
        <extend val="0"/>
        <outline val="0"/>
        <shadow val="0"/>
        <u val="none"/>
        <vertAlign val="baseline"/>
        <sz val="8"/>
        <color auto="1"/>
        <name val="Calibri"/>
        <family val="2"/>
        <scheme val="minor"/>
      </font>
      <fill>
        <patternFill patternType="solid">
          <fgColor indexed="64"/>
          <bgColor theme="8" tint="0.79998168889431442"/>
        </patternFill>
      </fill>
      <alignment horizontal="center" textRotation="0" indent="0" justifyLastLine="0" shrinkToFit="0" readingOrder="0"/>
      <protection locked="0" hidden="0"/>
    </dxf>
    <dxf>
      <font>
        <b val="0"/>
        <i val="0"/>
        <strike val="0"/>
        <condense val="0"/>
        <extend val="0"/>
        <outline val="0"/>
        <shadow val="0"/>
        <u val="none"/>
        <vertAlign val="baseline"/>
        <sz val="8"/>
        <color auto="1"/>
        <name val="Calibri"/>
        <family val="2"/>
        <scheme val="minor"/>
      </font>
      <fill>
        <patternFill patternType="solid">
          <fgColor indexed="64"/>
          <bgColor theme="8" tint="0.79998168889431442"/>
        </patternFill>
      </fill>
      <alignment horizontal="center" textRotation="0" indent="0" justifyLastLine="0" shrinkToFit="0" readingOrder="0"/>
      <protection locked="0" hidden="0"/>
    </dxf>
    <dxf>
      <font>
        <strike val="0"/>
        <outline val="0"/>
        <shadow val="0"/>
        <u val="none"/>
        <vertAlign val="baseline"/>
        <color auto="1"/>
        <name val="Calibri"/>
        <family val="2"/>
        <scheme val="minor"/>
      </font>
      <fill>
        <patternFill patternType="none">
          <fgColor indexed="64"/>
          <bgColor auto="1"/>
        </patternFill>
      </fill>
      <alignment horizontal="center" textRotation="0" indent="0" justifyLastLine="0" shrinkToFit="0" readingOrder="0"/>
      <protection locked="0" hidden="0"/>
    </dxf>
    <dxf>
      <font>
        <b val="0"/>
        <i val="0"/>
        <strike val="0"/>
        <condense val="0"/>
        <extend val="0"/>
        <outline val="0"/>
        <shadow val="0"/>
        <u val="none"/>
        <vertAlign val="baseline"/>
        <sz val="8"/>
        <color auto="1"/>
        <name val="Calibri"/>
        <family val="2"/>
        <scheme val="minor"/>
      </font>
      <numFmt numFmtId="0" formatCode="General"/>
      <fill>
        <patternFill patternType="solid">
          <fgColor indexed="64"/>
          <bgColor theme="8" tint="0.79998168889431442"/>
        </patternFill>
      </fill>
      <alignment horizontal="center" textRotation="0" indent="0" justifyLastLine="0" shrinkToFit="0" readingOrder="0"/>
      <protection locked="0" hidden="0"/>
    </dxf>
    <dxf>
      <font>
        <b val="0"/>
        <i val="0"/>
        <strike val="0"/>
        <condense val="0"/>
        <extend val="0"/>
        <outline val="0"/>
        <shadow val="0"/>
        <u val="none"/>
        <vertAlign val="baseline"/>
        <sz val="8"/>
        <color auto="1"/>
        <name val="Calibri"/>
        <family val="2"/>
        <scheme val="minor"/>
      </font>
      <fill>
        <patternFill patternType="solid">
          <fgColor indexed="64"/>
          <bgColor theme="8" tint="0.79998168889431442"/>
        </patternFill>
      </fill>
      <alignment horizontal="center" textRotation="0" indent="0" justifyLastLine="0" shrinkToFit="0" readingOrder="0"/>
      <protection locked="0" hidden="0"/>
    </dxf>
    <dxf>
      <font>
        <b val="0"/>
        <i val="0"/>
        <strike val="0"/>
        <condense val="0"/>
        <extend val="0"/>
        <outline val="0"/>
        <shadow val="0"/>
        <u val="none"/>
        <vertAlign val="baseline"/>
        <sz val="8"/>
        <color auto="1"/>
        <name val="Calibri"/>
        <family val="2"/>
        <scheme val="minor"/>
      </font>
      <fill>
        <patternFill patternType="solid">
          <fgColor indexed="64"/>
          <bgColor theme="8" tint="0.79998168889431442"/>
        </patternFill>
      </fill>
      <alignment horizontal="center" textRotation="0" indent="0" justifyLastLine="0" shrinkToFit="0" readingOrder="0"/>
      <protection locked="0" hidden="0"/>
    </dxf>
    <dxf>
      <font>
        <b val="0"/>
        <i val="0"/>
        <strike val="0"/>
        <condense val="0"/>
        <extend val="0"/>
        <outline val="0"/>
        <shadow val="0"/>
        <u val="none"/>
        <vertAlign val="baseline"/>
        <sz val="8"/>
        <color auto="1"/>
        <name val="Calibri"/>
        <family val="2"/>
        <scheme val="minor"/>
      </font>
      <fill>
        <patternFill patternType="solid">
          <fgColor indexed="64"/>
          <bgColor theme="8" tint="0.79998168889431442"/>
        </patternFill>
      </fill>
      <alignment horizontal="center" textRotation="0" indent="0" justifyLastLine="0" shrinkToFit="0" readingOrder="0"/>
      <protection locked="0" hidden="0"/>
    </dxf>
    <dxf>
      <font>
        <strike val="0"/>
        <outline val="0"/>
        <shadow val="0"/>
        <u val="none"/>
        <vertAlign val="baseline"/>
        <color auto="1"/>
        <name val="Calibri"/>
        <family val="2"/>
        <scheme val="minor"/>
      </font>
      <fill>
        <patternFill patternType="none">
          <fgColor indexed="64"/>
          <bgColor auto="1"/>
        </patternFill>
      </fill>
      <alignment horizontal="center" textRotation="0" indent="0" justifyLastLine="0" shrinkToFit="0" readingOrder="0"/>
      <protection locked="0" hidden="0"/>
    </dxf>
    <dxf>
      <font>
        <strike val="0"/>
        <outline val="0"/>
        <shadow val="0"/>
        <u val="none"/>
        <vertAlign val="baseline"/>
        <sz val="8"/>
        <color auto="1"/>
        <name val="Calibri"/>
        <family val="2"/>
        <scheme val="minor"/>
      </font>
      <numFmt numFmtId="0" formatCode="General"/>
      <fill>
        <patternFill patternType="solid">
          <fgColor indexed="64"/>
          <bgColor theme="8" tint="0.79998168889431442"/>
        </patternFill>
      </fill>
    </dxf>
    <dxf>
      <font>
        <strike val="0"/>
        <outline val="0"/>
        <shadow val="0"/>
        <u val="none"/>
        <vertAlign val="baseline"/>
        <sz val="8"/>
        <color auto="1"/>
        <name val="Calibri"/>
        <family val="2"/>
        <scheme val="minor"/>
      </font>
      <fill>
        <patternFill patternType="solid">
          <fgColor indexed="64"/>
          <bgColor theme="8" tint="0.79998168889431442"/>
        </patternFill>
      </fill>
    </dxf>
    <dxf>
      <font>
        <strike val="0"/>
        <outline val="0"/>
        <shadow val="0"/>
        <u val="none"/>
        <vertAlign val="baseline"/>
        <sz val="8"/>
        <color auto="1"/>
        <name val="Calibri"/>
        <family val="2"/>
        <scheme val="minor"/>
      </font>
      <fill>
        <patternFill patternType="solid">
          <fgColor indexed="64"/>
          <bgColor theme="8" tint="0.79998168889431442"/>
        </patternFill>
      </fill>
    </dxf>
    <dxf>
      <font>
        <strike val="0"/>
        <outline val="0"/>
        <shadow val="0"/>
        <u val="none"/>
        <vertAlign val="baseline"/>
        <sz val="8"/>
        <color auto="1"/>
        <name val="Calibri"/>
        <family val="2"/>
        <scheme val="minor"/>
      </font>
      <fill>
        <patternFill patternType="solid">
          <fgColor indexed="64"/>
          <bgColor theme="8" tint="0.79998168889431442"/>
        </patternFill>
      </fill>
    </dxf>
    <dxf>
      <font>
        <strike val="0"/>
        <outline val="0"/>
        <shadow val="0"/>
        <u val="none"/>
        <vertAlign val="baseline"/>
        <color auto="1"/>
        <name val="Calibri"/>
        <family val="2"/>
        <scheme val="minor"/>
      </font>
      <fill>
        <patternFill patternType="none">
          <fgColor indexed="64"/>
          <bgColor auto="1"/>
        </patternFill>
      </fill>
      <alignment horizontal="center" textRotation="0" indent="0" justifyLastLine="0" shrinkToFit="0" readingOrder="0"/>
      <protection locked="0" hidden="0"/>
    </dxf>
    <dxf>
      <font>
        <strike val="0"/>
        <outline val="0"/>
        <shadow val="0"/>
        <u val="none"/>
        <vertAlign val="baseline"/>
        <sz val="8"/>
        <color auto="1"/>
        <name val="Calibri"/>
        <family val="2"/>
        <scheme val="minor"/>
      </font>
      <numFmt numFmtId="0" formatCode="General"/>
      <fill>
        <patternFill patternType="solid">
          <fgColor indexed="64"/>
          <bgColor theme="8" tint="0.79998168889431442"/>
        </patternFill>
      </fill>
    </dxf>
    <dxf>
      <font>
        <strike val="0"/>
        <outline val="0"/>
        <shadow val="0"/>
        <u val="none"/>
        <vertAlign val="baseline"/>
        <sz val="8"/>
        <color auto="1"/>
        <name val="Calibri"/>
        <family val="2"/>
        <scheme val="minor"/>
      </font>
      <fill>
        <patternFill patternType="solid">
          <fgColor indexed="64"/>
          <bgColor theme="8" tint="0.79998168889431442"/>
        </patternFill>
      </fill>
    </dxf>
    <dxf>
      <font>
        <strike val="0"/>
        <outline val="0"/>
        <shadow val="0"/>
        <u val="none"/>
        <vertAlign val="baseline"/>
        <sz val="8"/>
        <color auto="1"/>
        <name val="Calibri"/>
        <family val="2"/>
        <scheme val="minor"/>
      </font>
      <fill>
        <patternFill patternType="solid">
          <fgColor indexed="64"/>
          <bgColor theme="8" tint="0.79998168889431442"/>
        </patternFill>
      </fill>
    </dxf>
    <dxf>
      <font>
        <strike val="0"/>
        <outline val="0"/>
        <shadow val="0"/>
        <u val="none"/>
        <vertAlign val="baseline"/>
        <sz val="8"/>
        <color auto="1"/>
        <name val="Calibri"/>
        <family val="2"/>
        <scheme val="minor"/>
      </font>
      <fill>
        <patternFill patternType="solid">
          <fgColor indexed="64"/>
          <bgColor theme="8" tint="0.79998168889431442"/>
        </patternFill>
      </fill>
    </dxf>
    <dxf>
      <font>
        <strike val="0"/>
        <outline val="0"/>
        <shadow val="0"/>
        <u val="none"/>
        <vertAlign val="baseline"/>
        <color auto="1"/>
        <name val="Calibri"/>
        <family val="2"/>
        <scheme val="minor"/>
      </font>
      <fill>
        <patternFill patternType="none">
          <fgColor indexed="64"/>
          <bgColor auto="1"/>
        </patternFill>
      </fill>
      <alignment horizontal="center" textRotation="0" indent="0" justifyLastLine="0" shrinkToFit="0" readingOrder="0"/>
      <protection locked="0" hidden="0"/>
    </dxf>
    <dxf>
      <font>
        <strike val="0"/>
        <outline val="0"/>
        <shadow val="0"/>
        <u val="none"/>
        <vertAlign val="baseline"/>
        <sz val="8"/>
        <color theme="1"/>
        <name val="Calibri"/>
        <family val="2"/>
        <scheme val="minor"/>
      </font>
      <numFmt numFmtId="0" formatCode="General"/>
      <fill>
        <patternFill patternType="solid">
          <fgColor indexed="64"/>
          <bgColor theme="8" tint="0.79998168889431442"/>
        </patternFill>
      </fill>
    </dxf>
    <dxf>
      <font>
        <strike val="0"/>
        <outline val="0"/>
        <shadow val="0"/>
        <u val="none"/>
        <vertAlign val="baseline"/>
        <sz val="8"/>
        <color theme="1"/>
        <name val="Calibri"/>
        <family val="2"/>
        <scheme val="minor"/>
      </font>
      <fill>
        <patternFill patternType="solid">
          <fgColor indexed="64"/>
          <bgColor theme="8" tint="0.79998168889431442"/>
        </patternFill>
      </fill>
    </dxf>
    <dxf>
      <font>
        <strike val="0"/>
        <outline val="0"/>
        <shadow val="0"/>
        <u val="none"/>
        <vertAlign val="baseline"/>
        <sz val="8"/>
        <color theme="1"/>
        <name val="Calibri"/>
        <family val="2"/>
        <scheme val="minor"/>
      </font>
      <fill>
        <patternFill patternType="solid">
          <fgColor indexed="64"/>
          <bgColor theme="8" tint="0.79998168889431442"/>
        </patternFill>
      </fill>
    </dxf>
    <dxf>
      <font>
        <strike val="0"/>
        <outline val="0"/>
        <shadow val="0"/>
        <u val="none"/>
        <vertAlign val="baseline"/>
        <sz val="8"/>
        <color theme="1"/>
        <name val="Calibri"/>
        <family val="2"/>
        <scheme val="minor"/>
      </font>
      <fill>
        <patternFill patternType="solid">
          <fgColor indexed="64"/>
          <bgColor theme="8" tint="0.79998168889431442"/>
        </patternFill>
      </fill>
    </dxf>
    <dxf>
      <font>
        <b/>
        <i val="0"/>
        <strike val="0"/>
        <condense val="0"/>
        <extend val="0"/>
        <outline val="0"/>
        <shadow val="0"/>
        <u val="none"/>
        <vertAlign val="baseline"/>
        <sz val="8"/>
        <color auto="1"/>
        <name val="Calibri"/>
        <family val="2"/>
        <scheme val="minor"/>
      </font>
      <fill>
        <patternFill patternType="solid">
          <fgColor indexed="64"/>
          <bgColor theme="9" tint="0.39997558519241921"/>
        </patternFill>
      </fill>
      <alignment horizontal="left" vertical="center" textRotation="0" wrapText="1" indent="0" justifyLastLine="0" shrinkToFit="0" readingOrder="0"/>
      <protection locked="0" hidden="0"/>
    </dxf>
    <dxf>
      <font>
        <strike val="0"/>
        <outline val="0"/>
        <shadow val="0"/>
        <u val="none"/>
        <vertAlign val="baseline"/>
        <sz val="8"/>
        <color theme="1"/>
        <name val="Calibri"/>
        <family val="2"/>
        <scheme val="minor"/>
      </font>
      <numFmt numFmtId="0" formatCode="General"/>
      <fill>
        <patternFill patternType="solid">
          <fgColor indexed="64"/>
          <bgColor theme="8" tint="0.79998168889431442"/>
        </patternFill>
      </fill>
    </dxf>
    <dxf>
      <font>
        <strike val="0"/>
        <outline val="0"/>
        <shadow val="0"/>
        <u val="none"/>
        <vertAlign val="baseline"/>
        <sz val="8"/>
        <color theme="1"/>
        <name val="Calibri"/>
        <family val="2"/>
        <scheme val="minor"/>
      </font>
      <fill>
        <patternFill patternType="solid">
          <fgColor indexed="64"/>
          <bgColor theme="8" tint="0.79998168889431442"/>
        </patternFill>
      </fill>
    </dxf>
    <dxf>
      <font>
        <strike val="0"/>
        <outline val="0"/>
        <shadow val="0"/>
        <u val="none"/>
        <vertAlign val="baseline"/>
        <sz val="8"/>
        <color theme="1"/>
        <name val="Calibri"/>
        <family val="2"/>
        <scheme val="minor"/>
      </font>
      <fill>
        <patternFill patternType="solid">
          <fgColor indexed="64"/>
          <bgColor theme="8" tint="0.79998168889431442"/>
        </patternFill>
      </fill>
    </dxf>
    <dxf>
      <font>
        <strike val="0"/>
        <outline val="0"/>
        <shadow val="0"/>
        <u val="none"/>
        <vertAlign val="baseline"/>
        <sz val="8"/>
        <color theme="1"/>
        <name val="Calibri"/>
        <family val="2"/>
        <scheme val="minor"/>
      </font>
      <fill>
        <patternFill patternType="solid">
          <fgColor indexed="64"/>
          <bgColor theme="8" tint="0.79998168889431442"/>
        </patternFill>
      </fill>
    </dxf>
    <dxf>
      <font>
        <b/>
        <i val="0"/>
        <strike val="0"/>
        <condense val="0"/>
        <extend val="0"/>
        <outline val="0"/>
        <shadow val="0"/>
        <u val="none"/>
        <vertAlign val="baseline"/>
        <sz val="8"/>
        <color auto="1"/>
        <name val="Calibri"/>
        <family val="2"/>
        <scheme val="minor"/>
      </font>
      <fill>
        <patternFill patternType="solid">
          <fgColor indexed="64"/>
          <bgColor theme="9"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auto="1"/>
        <name val="Calibri"/>
        <family val="2"/>
        <scheme val="minor"/>
      </font>
      <numFmt numFmtId="0" formatCode="General"/>
      <fill>
        <patternFill patternType="solid">
          <fgColor indexed="64"/>
          <bgColor theme="8" tint="0.79998168889431442"/>
        </patternFill>
      </fill>
      <alignment horizontal="center" vertical="bottom" textRotation="0" wrapText="0" indent="0" justifyLastLine="0" shrinkToFit="0" readingOrder="0"/>
      <protection locked="0" hidden="0"/>
    </dxf>
    <dxf>
      <font>
        <strike val="0"/>
        <outline val="0"/>
        <shadow val="0"/>
        <u val="none"/>
        <vertAlign val="baseline"/>
        <sz val="9"/>
        <color auto="1"/>
        <name val="Calibri"/>
        <family val="2"/>
        <scheme val="minor"/>
      </font>
      <fill>
        <patternFill patternType="solid">
          <fgColor indexed="64"/>
          <bgColor theme="8"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8"/>
        <color auto="1"/>
        <name val="Calibri"/>
        <family val="2"/>
        <scheme val="minor"/>
      </font>
      <fill>
        <patternFill patternType="solid">
          <fgColor indexed="64"/>
          <bgColor theme="8" tint="0.79998168889431442"/>
        </patternFill>
      </fill>
      <protection locked="0" hidden="0"/>
    </dxf>
    <dxf>
      <font>
        <strike val="0"/>
        <outline val="0"/>
        <shadow val="0"/>
        <u val="none"/>
        <vertAlign val="baseline"/>
        <sz val="8"/>
        <color auto="1"/>
        <name val="Calibri"/>
        <family val="2"/>
        <scheme val="minor"/>
      </font>
      <fill>
        <patternFill patternType="solid">
          <fgColor indexed="64"/>
          <bgColor theme="8" tint="0.79998168889431442"/>
        </patternFill>
      </fill>
      <protection locked="0" hidden="0"/>
    </dxf>
    <dxf>
      <font>
        <strike val="0"/>
        <outline val="0"/>
        <shadow val="0"/>
        <u val="none"/>
        <vertAlign val="baseline"/>
        <sz val="8"/>
        <color auto="1"/>
        <name val="Calibri"/>
        <family val="2"/>
        <scheme val="minor"/>
      </font>
      <fill>
        <patternFill patternType="solid">
          <fgColor indexed="64"/>
          <bgColor theme="9" tint="0.39997558519241921"/>
        </patternFill>
      </fill>
      <border diagonalUp="0" diagonalDown="0" outline="0">
        <left style="thin">
          <color indexed="64"/>
        </left>
        <right style="thin">
          <color indexed="64"/>
        </right>
        <top/>
        <bottom/>
      </border>
      <protection locked="0" hidden="0"/>
    </dxf>
    <dxf>
      <font>
        <strike val="0"/>
        <outline val="0"/>
        <shadow val="0"/>
        <u val="none"/>
        <vertAlign val="baseline"/>
        <sz val="8"/>
        <color auto="1"/>
        <name val="Calibri"/>
        <family val="2"/>
        <scheme val="minor"/>
      </font>
      <numFmt numFmtId="0" formatCode="General"/>
      <fill>
        <patternFill patternType="solid">
          <fgColor indexed="64"/>
          <bgColor theme="8" tint="0.79998168889431442"/>
        </patternFill>
      </fill>
    </dxf>
    <dxf>
      <font>
        <strike val="0"/>
        <outline val="0"/>
        <shadow val="0"/>
        <u val="none"/>
        <vertAlign val="baseline"/>
        <sz val="8"/>
        <color auto="1"/>
        <name val="Calibri"/>
        <family val="2"/>
        <scheme val="minor"/>
      </font>
      <numFmt numFmtId="0" formatCode="General"/>
      <fill>
        <patternFill patternType="solid">
          <fgColor indexed="64"/>
          <bgColor theme="8" tint="0.79998168889431442"/>
        </patternFill>
      </fill>
    </dxf>
    <dxf>
      <font>
        <strike val="0"/>
        <outline val="0"/>
        <shadow val="0"/>
        <u val="none"/>
        <vertAlign val="baseline"/>
        <sz val="8"/>
        <color auto="1"/>
        <name val="Calibri"/>
        <family val="2"/>
        <scheme val="minor"/>
      </font>
      <fill>
        <patternFill patternType="solid">
          <fgColor indexed="64"/>
          <bgColor theme="8" tint="0.79998168889431442"/>
        </patternFill>
      </fill>
    </dxf>
    <dxf>
      <font>
        <strike val="0"/>
        <outline val="0"/>
        <shadow val="0"/>
        <u val="none"/>
        <vertAlign val="baseline"/>
        <sz val="8"/>
        <color auto="1"/>
        <name val="Calibri"/>
        <family val="2"/>
        <scheme val="minor"/>
      </font>
      <fill>
        <patternFill patternType="solid">
          <fgColor indexed="64"/>
          <bgColor theme="8" tint="0.79998168889431442"/>
        </patternFill>
      </fill>
    </dxf>
    <dxf>
      <font>
        <strike val="0"/>
        <outline val="0"/>
        <shadow val="0"/>
        <u val="none"/>
        <vertAlign val="baseline"/>
        <sz val="8"/>
        <color auto="1"/>
        <name val="Calibri"/>
        <family val="2"/>
        <scheme val="minor"/>
      </font>
      <fill>
        <patternFill patternType="solid">
          <fgColor indexed="64"/>
          <bgColor theme="9" tint="0.39997558519241921"/>
        </patternFill>
      </fill>
      <protection locked="0" hidden="0"/>
    </dxf>
    <dxf>
      <font>
        <b val="0"/>
        <i val="0"/>
        <strike val="0"/>
        <condense val="0"/>
        <extend val="0"/>
        <outline val="0"/>
        <shadow val="0"/>
        <u val="none"/>
        <vertAlign val="baseline"/>
        <sz val="8"/>
        <color auto="1"/>
        <name val="Calibri"/>
        <family val="2"/>
        <scheme val="minor"/>
      </font>
      <numFmt numFmtId="0" formatCode="General"/>
      <fill>
        <patternFill patternType="solid">
          <fgColor indexed="64"/>
          <bgColor theme="8" tint="0.7999816888943144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family val="2"/>
        <scheme val="minor"/>
      </font>
      <numFmt numFmtId="0" formatCode="General"/>
      <fill>
        <patternFill patternType="solid">
          <fgColor indexed="64"/>
          <bgColor theme="8" tint="0.7999816888943144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family val="2"/>
        <scheme val="minor"/>
      </font>
      <fill>
        <patternFill patternType="solid">
          <fgColor indexed="64"/>
          <bgColor theme="8" tint="0.79998168889431442"/>
        </patternFill>
      </fill>
      <protection locked="0" hidden="0"/>
    </dxf>
    <dxf>
      <font>
        <strike val="0"/>
        <outline val="0"/>
        <shadow val="0"/>
        <u val="none"/>
        <vertAlign val="baseline"/>
        <sz val="8"/>
        <color auto="1"/>
        <name val="Calibri"/>
        <family val="2"/>
        <scheme val="minor"/>
      </font>
      <fill>
        <patternFill patternType="solid">
          <fgColor indexed="64"/>
          <bgColor theme="8" tint="0.79998168889431442"/>
        </patternFill>
      </fill>
      <protection locked="0" hidden="0"/>
    </dxf>
    <dxf>
      <font>
        <strike val="0"/>
        <outline val="0"/>
        <shadow val="0"/>
        <u val="none"/>
        <vertAlign val="baseline"/>
        <sz val="8"/>
        <color auto="1"/>
        <name val="Calibri"/>
        <family val="2"/>
        <scheme val="minor"/>
      </font>
      <fill>
        <patternFill patternType="solid">
          <fgColor indexed="64"/>
          <bgColor theme="9" tint="0.39997558519241921"/>
        </patternFill>
      </fill>
      <protection locked="0" hidden="0"/>
    </dxf>
    <dxf>
      <font>
        <b val="0"/>
        <i val="0"/>
        <strike val="0"/>
        <condense val="0"/>
        <extend val="0"/>
        <outline val="0"/>
        <shadow val="0"/>
        <u val="none"/>
        <vertAlign val="baseline"/>
        <sz val="8"/>
        <color auto="1"/>
        <name val="Calibri"/>
        <family val="2"/>
        <scheme val="minor"/>
      </font>
      <numFmt numFmtId="0" formatCode="General"/>
      <fill>
        <patternFill patternType="solid">
          <fgColor indexed="64"/>
          <bgColor theme="8" tint="0.7999816888943144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family val="2"/>
        <scheme val="minor"/>
      </font>
      <fill>
        <patternFill patternType="solid">
          <fgColor indexed="64"/>
          <bgColor theme="8" tint="0.79998168889431442"/>
        </patternFill>
      </fill>
      <protection locked="0" hidden="0"/>
    </dxf>
    <dxf>
      <font>
        <b val="0"/>
        <strike val="0"/>
        <outline val="0"/>
        <shadow val="0"/>
        <u val="none"/>
        <vertAlign val="baseline"/>
        <sz val="8"/>
        <color auto="1"/>
        <name val="Calibri"/>
        <family val="2"/>
        <scheme val="minor"/>
      </font>
      <fill>
        <patternFill patternType="solid">
          <fgColor indexed="64"/>
          <bgColor theme="8" tint="0.79998168889431442"/>
        </patternFill>
      </fill>
      <protection locked="0" hidden="0"/>
    </dxf>
    <dxf>
      <font>
        <strike val="0"/>
        <outline val="0"/>
        <shadow val="0"/>
        <u val="none"/>
        <vertAlign val="baseline"/>
        <sz val="8"/>
        <color auto="1"/>
        <name val="Calibri"/>
        <family val="2"/>
        <scheme val="minor"/>
      </font>
      <fill>
        <patternFill patternType="solid">
          <fgColor indexed="64"/>
          <bgColor theme="9" tint="0.39997558519241921"/>
        </patternFill>
      </fill>
      <border diagonalUp="0" diagonalDown="0" outline="0">
        <left style="thin">
          <color indexed="64"/>
        </left>
        <right style="thin">
          <color indexed="64"/>
        </right>
        <top/>
        <bottom/>
      </border>
      <protection locked="0" hidden="0"/>
    </dxf>
    <dxf>
      <font>
        <b val="0"/>
        <strike val="0"/>
        <outline val="0"/>
        <shadow val="0"/>
        <u val="none"/>
        <vertAlign val="baseline"/>
        <sz val="8"/>
        <color auto="1"/>
        <name val="Calibri"/>
        <family val="2"/>
        <scheme val="minor"/>
      </font>
      <numFmt numFmtId="0" formatCode="General"/>
      <fill>
        <patternFill patternType="none">
          <fgColor indexed="64"/>
          <bgColor theme="8" tint="0.79998168889431442"/>
        </patternFill>
      </fill>
    </dxf>
    <dxf>
      <font>
        <b val="0"/>
        <strike val="0"/>
        <outline val="0"/>
        <shadow val="0"/>
        <u val="none"/>
        <vertAlign val="baseline"/>
        <sz val="8"/>
        <color auto="1"/>
        <name val="Calibri"/>
        <family val="2"/>
        <scheme val="minor"/>
      </font>
      <fill>
        <patternFill patternType="none">
          <fgColor indexed="64"/>
          <bgColor theme="8" tint="0.79998168889431442"/>
        </patternFill>
      </fill>
    </dxf>
    <dxf>
      <font>
        <b val="0"/>
        <strike val="0"/>
        <outline val="0"/>
        <shadow val="0"/>
        <u val="none"/>
        <vertAlign val="baseline"/>
        <sz val="8"/>
        <color auto="1"/>
        <name val="Calibri"/>
        <family val="2"/>
        <scheme val="minor"/>
      </font>
      <fill>
        <patternFill patternType="none">
          <fgColor indexed="64"/>
          <bgColor theme="8" tint="0.79998168889431442"/>
        </patternFill>
      </fill>
    </dxf>
    <dxf>
      <font>
        <b val="0"/>
        <strike val="0"/>
        <outline val="0"/>
        <shadow val="0"/>
        <u val="none"/>
        <vertAlign val="baseline"/>
        <sz val="8"/>
        <color auto="1"/>
        <name val="Calibri"/>
        <family val="2"/>
        <scheme val="minor"/>
      </font>
      <fill>
        <patternFill patternType="none">
          <fgColor indexed="64"/>
          <bgColor theme="8" tint="0.79998168889431442"/>
        </patternFill>
      </fill>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numFmt numFmtId="0" formatCode="General"/>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numFmt numFmtId="0" formatCode="General"/>
    </dxf>
    <dxf>
      <font>
        <b val="0"/>
        <i val="0"/>
        <strike val="0"/>
        <condense val="0"/>
        <extend val="0"/>
        <outline val="0"/>
        <shadow val="0"/>
        <u val="none"/>
        <vertAlign val="baseline"/>
        <sz val="9"/>
        <color theme="1"/>
        <name val="Calibri"/>
        <family val="2"/>
        <scheme val="minor"/>
      </font>
      <numFmt numFmtId="0" formatCode="General"/>
    </dxf>
    <dxf>
      <font>
        <b val="0"/>
        <i val="0"/>
        <strike val="0"/>
        <condense val="0"/>
        <extend val="0"/>
        <outline val="0"/>
        <shadow val="0"/>
        <u val="none"/>
        <vertAlign val="baseline"/>
        <sz val="9"/>
        <color theme="1"/>
        <name val="Calibri"/>
        <family val="2"/>
        <scheme val="minor"/>
      </font>
      <numFmt numFmtId="0" formatCode="General"/>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auto="1"/>
        <name val="Calibri"/>
        <family val="2"/>
        <scheme val="minor"/>
      </font>
      <alignment horizontal="center" vertical="center" textRotation="0" wrapText="1" indent="0" justifyLastLine="0" shrinkToFit="0" readingOrder="0"/>
      <protection locked="0" hidden="0"/>
    </dxf>
    <dxf>
      <font>
        <strike val="0"/>
        <outline val="0"/>
        <shadow val="0"/>
        <u val="none"/>
        <vertAlign val="baseline"/>
        <sz val="9"/>
        <name val="Calibri"/>
        <family val="2"/>
        <scheme val="minor"/>
      </font>
    </dxf>
    <dxf>
      <font>
        <strike val="0"/>
        <outline val="0"/>
        <shadow val="0"/>
        <u val="none"/>
        <vertAlign val="baseline"/>
        <sz val="9"/>
        <name val="Calibri"/>
        <family val="2"/>
        <scheme val="minor"/>
      </font>
    </dxf>
    <dxf>
      <font>
        <strike val="0"/>
        <outline val="0"/>
        <shadow val="0"/>
        <u val="none"/>
        <vertAlign val="baseline"/>
        <sz val="9"/>
        <name val="Calibri"/>
        <family val="2"/>
        <scheme val="minor"/>
      </font>
    </dxf>
    <dxf>
      <font>
        <strike val="0"/>
        <outline val="0"/>
        <shadow val="0"/>
        <u val="none"/>
        <vertAlign val="baseline"/>
        <sz val="9"/>
        <name val="Calibri"/>
        <family val="2"/>
        <scheme val="minor"/>
      </font>
    </dxf>
    <dxf>
      <font>
        <strike val="0"/>
        <outline val="0"/>
        <shadow val="0"/>
        <u val="none"/>
        <vertAlign val="baseline"/>
        <sz val="9"/>
        <name val="Calibri"/>
        <family val="2"/>
        <scheme val="minor"/>
      </font>
    </dxf>
    <dxf>
      <font>
        <strike val="0"/>
        <outline val="0"/>
        <shadow val="0"/>
        <u val="none"/>
        <vertAlign val="baseline"/>
        <sz val="9"/>
        <name val="Calibri"/>
        <family val="2"/>
        <scheme val="minor"/>
      </font>
    </dxf>
    <dxf>
      <font>
        <strike val="0"/>
        <outline val="0"/>
        <shadow val="0"/>
        <u val="none"/>
        <vertAlign val="baseline"/>
        <sz val="9"/>
        <name val="Calibri"/>
        <family val="2"/>
        <scheme val="minor"/>
      </font>
    </dxf>
    <dxf>
      <font>
        <strike val="0"/>
        <outline val="0"/>
        <shadow val="0"/>
        <u val="none"/>
        <vertAlign val="baseline"/>
        <sz val="9"/>
        <name val="Calibri"/>
        <family val="2"/>
        <scheme val="minor"/>
      </font>
    </dxf>
    <dxf>
      <font>
        <strike val="0"/>
        <outline val="0"/>
        <shadow val="0"/>
        <u val="none"/>
        <vertAlign val="baseline"/>
        <sz val="9"/>
        <name val="Calibri"/>
        <family val="2"/>
        <scheme val="minor"/>
      </font>
    </dxf>
    <dxf>
      <font>
        <strike val="0"/>
        <outline val="0"/>
        <shadow val="0"/>
        <u val="none"/>
        <vertAlign val="baseline"/>
        <sz val="9"/>
        <name val="Calibri"/>
        <family val="2"/>
        <scheme val="minor"/>
      </font>
    </dxf>
    <dxf>
      <font>
        <strike val="0"/>
        <outline val="0"/>
        <shadow val="0"/>
        <u val="none"/>
        <vertAlign val="baseline"/>
        <sz val="9"/>
        <name val="Calibri"/>
        <family val="2"/>
        <scheme val="minor"/>
      </font>
      <numFmt numFmtId="0" formatCode="General"/>
    </dxf>
    <dxf>
      <font>
        <strike val="0"/>
        <outline val="0"/>
        <shadow val="0"/>
        <u val="none"/>
        <vertAlign val="baseline"/>
        <sz val="9"/>
        <name val="Calibri"/>
        <family val="2"/>
        <scheme val="minor"/>
      </font>
    </dxf>
    <dxf>
      <font>
        <strike val="0"/>
        <outline val="0"/>
        <shadow val="0"/>
        <u val="none"/>
        <vertAlign val="baseline"/>
        <sz val="9"/>
        <name val="Calibri"/>
        <family val="2"/>
        <scheme val="minor"/>
      </font>
    </dxf>
    <dxf>
      <font>
        <strike val="0"/>
        <outline val="0"/>
        <shadow val="0"/>
        <u val="none"/>
        <vertAlign val="baseline"/>
        <sz val="9"/>
        <name val="Calibri"/>
        <family val="2"/>
        <scheme val="minor"/>
      </font>
    </dxf>
    <dxf>
      <font>
        <strike val="0"/>
        <outline val="0"/>
        <shadow val="0"/>
        <u val="none"/>
        <vertAlign val="baseline"/>
        <sz val="9"/>
        <name val="Calibri"/>
        <family val="2"/>
        <scheme val="minor"/>
      </font>
    </dxf>
    <dxf>
      <font>
        <strike val="0"/>
        <outline val="0"/>
        <shadow val="0"/>
        <u val="none"/>
        <vertAlign val="baseline"/>
        <sz val="9"/>
        <name val="Calibri"/>
        <family val="2"/>
        <scheme val="minor"/>
      </font>
      <numFmt numFmtId="0" formatCode="General"/>
    </dxf>
    <dxf>
      <font>
        <strike val="0"/>
        <outline val="0"/>
        <shadow val="0"/>
        <u val="none"/>
        <vertAlign val="baseline"/>
        <sz val="9"/>
        <name val="Calibri"/>
        <family val="2"/>
        <scheme val="minor"/>
      </font>
      <numFmt numFmtId="0" formatCode="General"/>
    </dxf>
    <dxf>
      <font>
        <strike val="0"/>
        <outline val="0"/>
        <shadow val="0"/>
        <u val="none"/>
        <vertAlign val="baseline"/>
        <sz val="9"/>
        <name val="Calibri"/>
        <family val="2"/>
        <scheme val="minor"/>
      </font>
      <numFmt numFmtId="0" formatCode="General"/>
    </dxf>
    <dxf>
      <font>
        <strike val="0"/>
        <outline val="0"/>
        <shadow val="0"/>
        <u val="none"/>
        <vertAlign val="baseline"/>
        <sz val="9"/>
        <name val="Calibri"/>
        <family val="2"/>
        <scheme val="minor"/>
      </font>
    </dxf>
    <dxf>
      <font>
        <b val="0"/>
        <i val="0"/>
        <strike val="0"/>
        <condense val="0"/>
        <extend val="0"/>
        <outline val="0"/>
        <shadow val="0"/>
        <u val="none"/>
        <vertAlign val="baseline"/>
        <sz val="9"/>
        <color auto="1"/>
        <name val="Calibri"/>
        <family val="2"/>
        <scheme val="minor"/>
      </font>
      <fill>
        <patternFill patternType="solid">
          <fgColor indexed="64"/>
          <bgColor theme="4" tint="0.39997558519241921"/>
        </patternFill>
      </fill>
      <alignment horizontal="center" vertical="center" textRotation="0" wrapText="1" indent="0" justifyLastLine="0" shrinkToFit="0" readingOrder="0"/>
      <protection locked="0" hidden="0"/>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9"/>
        <color auto="1"/>
        <name val="Calibri"/>
        <family val="2"/>
        <scheme val="minor"/>
      </font>
      <alignment horizontal="center" vertical="center" textRotation="0" wrapText="1" indent="0" justifyLastLine="0" shrinkToFit="0" readingOrder="0"/>
      <protection locked="0" hidden="0"/>
    </dxf>
    <dxf>
      <font>
        <strike val="0"/>
        <outline val="0"/>
        <shadow val="0"/>
        <u val="none"/>
        <vertAlign val="baseline"/>
        <sz val="11"/>
        <color theme="1"/>
        <name val="Calibri"/>
        <family val="2"/>
        <scheme val="minor"/>
      </font>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9"/>
        <color auto="1"/>
        <name val="Calibri"/>
        <family val="2"/>
        <scheme val="minor"/>
      </font>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family val="2"/>
        <scheme val="minor"/>
      </font>
      <alignment horizontal="center" vertical="center" textRotation="0" wrapText="1" indent="0" justifyLastLine="0" shrinkToFit="0" readingOrder="0"/>
      <protection locked="0" hidden="0"/>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numFmt numFmtId="0" formatCode="General"/>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numFmt numFmtId="0" formatCode="General"/>
      <fill>
        <patternFill patternType="none">
          <fgColor indexed="64"/>
          <bgColor auto="1"/>
        </patternFill>
      </fill>
    </dxf>
    <dxf>
      <font>
        <strike val="0"/>
        <outline val="0"/>
        <shadow val="0"/>
        <u val="none"/>
        <vertAlign val="baseline"/>
        <sz val="9"/>
        <color auto="1"/>
        <name val="Calibri"/>
        <family val="2"/>
        <scheme val="minor"/>
      </font>
      <numFmt numFmtId="0" formatCode="General"/>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b val="0"/>
        <i val="0"/>
        <strike val="0"/>
        <condense val="0"/>
        <extend val="0"/>
        <outline val="0"/>
        <shadow val="0"/>
        <u val="none"/>
        <vertAlign val="baseline"/>
        <sz val="9"/>
        <color auto="1"/>
        <name val="Calibri"/>
        <family val="2"/>
        <scheme val="minor"/>
      </font>
      <fill>
        <patternFill patternType="solid">
          <fgColor indexed="64"/>
          <bgColor theme="9"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none">
          <fgColor indexed="64"/>
          <bgColor auto="1"/>
        </patternFill>
      </fill>
      <alignment horizontal="center" vertical="center" textRotation="0" wrapText="1" indent="0" justifyLastLine="0" shrinkToFit="0" readingOrder="0"/>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numFmt numFmtId="0" formatCode="General"/>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protection locked="0" hidden="0"/>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border outline="0">
        <top style="thin">
          <color theme="7" tint="0.39997558519241921"/>
        </top>
      </border>
    </dxf>
    <dxf>
      <font>
        <strike val="0"/>
        <outline val="0"/>
        <shadow val="0"/>
        <u val="none"/>
        <vertAlign val="baseline"/>
        <sz val="9"/>
        <color auto="1"/>
        <name val="Calibri"/>
        <family val="2"/>
        <scheme val="minor"/>
      </font>
      <fill>
        <patternFill patternType="none">
          <fgColor indexed="64"/>
          <bgColor auto="1"/>
        </patternFill>
      </fill>
    </dxf>
    <dxf>
      <border outline="0">
        <bottom style="thin">
          <color theme="7" tint="0.39997558519241921"/>
        </bottom>
      </border>
    </dxf>
    <dxf>
      <font>
        <b/>
        <i val="0"/>
        <strike val="0"/>
        <condense val="0"/>
        <extend val="0"/>
        <outline val="0"/>
        <shadow val="0"/>
        <u val="none"/>
        <vertAlign val="baseline"/>
        <sz val="11"/>
        <color auto="1"/>
        <name val="Calibri"/>
        <family val="2"/>
        <scheme val="minor"/>
      </font>
      <fill>
        <patternFill patternType="none">
          <fgColor theme="7"/>
          <bgColor auto="1"/>
        </patternFill>
      </fill>
      <alignment horizontal="center" vertical="center" textRotation="0" wrapText="1" indent="0" justifyLastLine="0" shrinkToFit="0" readingOrder="0"/>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numFmt numFmtId="0" formatCode="General"/>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numFmt numFmtId="0" formatCode="General"/>
      <fill>
        <patternFill patternType="none">
          <bgColor auto="1"/>
        </patternFill>
      </fill>
    </dxf>
    <dxf>
      <font>
        <strike val="0"/>
        <outline val="0"/>
        <shadow val="0"/>
        <u val="none"/>
        <vertAlign val="baseline"/>
        <color auto="1"/>
        <name val="Calibri"/>
        <family val="2"/>
        <scheme val="minor"/>
      </font>
      <numFmt numFmtId="0" formatCode="General"/>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border outline="0">
        <top style="thin">
          <color theme="4" tint="0.39997558519241921"/>
        </top>
      </border>
    </dxf>
    <dxf>
      <font>
        <strike val="0"/>
        <outline val="0"/>
        <shadow val="0"/>
        <u val="none"/>
        <vertAlign val="baseline"/>
        <color auto="1"/>
        <name val="Calibri"/>
        <family val="2"/>
        <scheme val="minor"/>
      </font>
      <fill>
        <patternFill patternType="none">
          <bgColor auto="1"/>
        </patternFill>
      </fill>
    </dxf>
    <dxf>
      <border outline="0">
        <bottom style="thin">
          <color theme="4" tint="0.39997558519241921"/>
        </bottom>
      </border>
    </dxf>
    <dxf>
      <font>
        <b/>
        <i val="0"/>
        <strike val="0"/>
        <condense val="0"/>
        <extend val="0"/>
        <outline val="0"/>
        <shadow val="0"/>
        <u val="none"/>
        <vertAlign val="baseline"/>
        <sz val="11"/>
        <color auto="1"/>
        <name val="Calibri"/>
        <family val="2"/>
        <scheme val="minor"/>
      </font>
      <fill>
        <patternFill patternType="none">
          <fgColor theme="4"/>
          <bgColor auto="1"/>
        </patternFill>
      </fill>
      <alignment horizontal="center" vertical="center" textRotation="0" wrapText="1" indent="0" justifyLastLine="0" shrinkToFit="0" readingOrder="0"/>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numFmt numFmtId="0" formatCode="General"/>
      <fill>
        <patternFill patternType="none">
          <bgColor auto="1"/>
        </patternFill>
      </fill>
    </dxf>
    <dxf>
      <font>
        <strike val="0"/>
        <outline val="0"/>
        <shadow val="0"/>
        <u val="none"/>
        <vertAlign val="baseline"/>
        <color auto="1"/>
        <name val="Calibri"/>
        <family val="2"/>
        <scheme val="minor"/>
      </font>
      <numFmt numFmtId="0" formatCode="General"/>
      <fill>
        <patternFill patternType="none">
          <bgColor auto="1"/>
        </patternFill>
      </fill>
    </dxf>
    <dxf>
      <font>
        <strike val="0"/>
        <outline val="0"/>
        <shadow val="0"/>
        <u val="none"/>
        <vertAlign val="baseline"/>
        <color auto="1"/>
        <name val="Calibri"/>
        <family val="2"/>
        <scheme val="minor"/>
      </font>
      <numFmt numFmtId="0" formatCode="General"/>
      <fill>
        <patternFill patternType="none">
          <bgColor auto="1"/>
        </patternFill>
      </fill>
    </dxf>
    <dxf>
      <font>
        <strike val="0"/>
        <outline val="0"/>
        <shadow val="0"/>
        <u val="none"/>
        <vertAlign val="baseline"/>
        <color auto="1"/>
        <name val="Calibri"/>
        <family val="2"/>
        <scheme val="minor"/>
      </font>
      <numFmt numFmtId="0" formatCode="General"/>
      <fill>
        <patternFill patternType="none">
          <bgColor auto="1"/>
        </patternFill>
      </fill>
    </dxf>
    <dxf>
      <font>
        <strike val="0"/>
        <outline val="0"/>
        <shadow val="0"/>
        <u val="none"/>
        <vertAlign val="baseline"/>
        <color auto="1"/>
        <name val="Calibri"/>
        <family val="2"/>
        <scheme val="minor"/>
      </font>
      <numFmt numFmtId="0" formatCode="General"/>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border outline="0">
        <top style="thin">
          <color theme="7" tint="0.39997558519241921"/>
        </top>
      </border>
    </dxf>
    <dxf>
      <font>
        <strike val="0"/>
        <outline val="0"/>
        <shadow val="0"/>
        <u val="none"/>
        <vertAlign val="baseline"/>
        <color auto="1"/>
        <name val="Calibri"/>
        <family val="2"/>
        <scheme val="minor"/>
      </font>
      <fill>
        <patternFill patternType="none">
          <bgColor auto="1"/>
        </patternFill>
      </fill>
    </dxf>
    <dxf>
      <border outline="0">
        <bottom style="thin">
          <color theme="7" tint="0.39997558519241921"/>
        </bottom>
      </border>
    </dxf>
    <dxf>
      <font>
        <b/>
        <i val="0"/>
        <strike val="0"/>
        <condense val="0"/>
        <extend val="0"/>
        <outline val="0"/>
        <shadow val="0"/>
        <u val="none"/>
        <vertAlign val="baseline"/>
        <sz val="11"/>
        <color auto="1"/>
        <name val="Calibri"/>
        <family val="2"/>
        <scheme val="minor"/>
      </font>
      <fill>
        <patternFill patternType="none">
          <fgColor theme="7"/>
          <bgColor auto="1"/>
        </patternFill>
      </fill>
      <alignment horizontal="center" vertical="center" textRotation="0" wrapText="1" indent="0" justifyLastLine="0" shrinkToFit="0" readingOrder="0"/>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numFmt numFmtId="0" formatCode="General"/>
      <fill>
        <patternFill patternType="none">
          <bgColor auto="1"/>
        </patternFill>
      </fill>
    </dxf>
    <dxf>
      <font>
        <strike val="0"/>
        <outline val="0"/>
        <shadow val="0"/>
        <u val="none"/>
        <vertAlign val="baseline"/>
        <color auto="1"/>
        <name val="Calibri"/>
        <family val="2"/>
        <scheme val="minor"/>
      </font>
      <numFmt numFmtId="0" formatCode="General"/>
      <fill>
        <patternFill patternType="none">
          <bgColor auto="1"/>
        </patternFill>
      </fill>
    </dxf>
    <dxf>
      <font>
        <strike val="0"/>
        <outline val="0"/>
        <shadow val="0"/>
        <u val="none"/>
        <vertAlign val="baseline"/>
        <color auto="1"/>
        <name val="Calibri"/>
        <family val="2"/>
        <scheme val="minor"/>
      </font>
      <numFmt numFmtId="0" formatCode="General"/>
      <fill>
        <patternFill patternType="none">
          <bgColor auto="1"/>
        </patternFill>
      </fill>
    </dxf>
    <dxf>
      <font>
        <strike val="0"/>
        <outline val="0"/>
        <shadow val="0"/>
        <u val="none"/>
        <vertAlign val="baseline"/>
        <color auto="1"/>
        <name val="Calibri"/>
        <family val="2"/>
        <scheme val="minor"/>
      </font>
      <numFmt numFmtId="0" formatCode="General"/>
      <fill>
        <patternFill patternType="none">
          <bgColor auto="1"/>
        </patternFill>
      </fill>
    </dxf>
    <dxf>
      <font>
        <strike val="0"/>
        <outline val="0"/>
        <shadow val="0"/>
        <u val="none"/>
        <vertAlign val="baseline"/>
        <color auto="1"/>
        <name val="Calibri"/>
        <family val="2"/>
        <scheme val="minor"/>
      </font>
      <numFmt numFmtId="0" formatCode="General"/>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border outline="0">
        <top style="thin">
          <color theme="7" tint="0.39997558519241921"/>
        </top>
      </border>
    </dxf>
    <dxf>
      <font>
        <strike val="0"/>
        <outline val="0"/>
        <shadow val="0"/>
        <u val="none"/>
        <vertAlign val="baseline"/>
        <color auto="1"/>
        <name val="Calibri"/>
        <family val="2"/>
        <scheme val="minor"/>
      </font>
      <fill>
        <patternFill patternType="none">
          <bgColor auto="1"/>
        </patternFill>
      </fill>
    </dxf>
    <dxf>
      <border outline="0">
        <bottom style="thin">
          <color theme="7" tint="0.39997558519241921"/>
        </bottom>
      </border>
    </dxf>
    <dxf>
      <font>
        <b/>
        <i val="0"/>
        <strike val="0"/>
        <condense val="0"/>
        <extend val="0"/>
        <outline val="0"/>
        <shadow val="0"/>
        <u val="none"/>
        <vertAlign val="baseline"/>
        <sz val="11"/>
        <color auto="1"/>
        <name val="Calibri"/>
        <family val="2"/>
        <scheme val="minor"/>
      </font>
      <fill>
        <patternFill patternType="none">
          <fgColor theme="7"/>
          <bgColor auto="1"/>
        </patternFill>
      </fill>
      <alignment horizontal="center" vertical="center" textRotation="0" wrapText="1" indent="0" justifyLastLine="0" shrinkToFit="0" readingOrder="0"/>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numFmt numFmtId="0" formatCode="General"/>
      <fill>
        <patternFill patternType="none">
          <bgColor auto="1"/>
        </patternFill>
      </fill>
    </dxf>
    <dxf>
      <font>
        <strike val="0"/>
        <outline val="0"/>
        <shadow val="0"/>
        <u val="none"/>
        <vertAlign val="baseline"/>
        <color auto="1"/>
        <name val="Calibri"/>
        <family val="2"/>
        <scheme val="minor"/>
      </font>
      <numFmt numFmtId="0" formatCode="General"/>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numFmt numFmtId="0" formatCode="General"/>
      <fill>
        <patternFill patternType="none">
          <bgColor auto="1"/>
        </patternFill>
      </fill>
    </dxf>
    <dxf>
      <font>
        <strike val="0"/>
        <outline val="0"/>
        <shadow val="0"/>
        <u val="none"/>
        <vertAlign val="baseline"/>
        <color auto="1"/>
        <name val="Calibri"/>
        <family val="2"/>
        <scheme val="minor"/>
      </font>
      <numFmt numFmtId="0" formatCode="General"/>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border outline="0">
        <top style="thin">
          <color theme="4" tint="0.39997558519241921"/>
        </top>
      </border>
    </dxf>
    <dxf>
      <font>
        <strike val="0"/>
        <outline val="0"/>
        <shadow val="0"/>
        <u val="none"/>
        <vertAlign val="baseline"/>
        <color auto="1"/>
        <name val="Calibri"/>
        <family val="2"/>
        <scheme val="minor"/>
      </font>
      <fill>
        <patternFill patternType="none">
          <bgColor auto="1"/>
        </patternFill>
      </fill>
    </dxf>
    <dxf>
      <border outline="0">
        <bottom style="thin">
          <color theme="4" tint="0.39997558519241921"/>
        </bottom>
      </border>
    </dxf>
    <dxf>
      <font>
        <b/>
        <i val="0"/>
        <strike val="0"/>
        <condense val="0"/>
        <extend val="0"/>
        <outline val="0"/>
        <shadow val="0"/>
        <u val="none"/>
        <vertAlign val="baseline"/>
        <sz val="11"/>
        <color auto="1"/>
        <name val="Calibri"/>
        <family val="2"/>
        <scheme val="minor"/>
      </font>
      <fill>
        <patternFill patternType="none">
          <fgColor theme="4"/>
          <bgColor auto="1"/>
        </patternFill>
      </fill>
      <alignment horizontal="center" vertical="center" textRotation="0" wrapText="1" indent="0" justifyLastLine="0" shrinkToFit="0" readingOrder="0"/>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border outline="0">
        <top style="thin">
          <color theme="7" tint="0.39997558519241921"/>
        </top>
      </border>
    </dxf>
    <dxf>
      <font>
        <strike val="0"/>
        <outline val="0"/>
        <shadow val="0"/>
        <u val="none"/>
        <vertAlign val="baseline"/>
        <sz val="9"/>
        <color auto="1"/>
        <name val="Calibri"/>
        <family val="2"/>
        <scheme val="minor"/>
      </font>
      <fill>
        <patternFill patternType="none">
          <bgColor auto="1"/>
        </patternFill>
      </fill>
    </dxf>
    <dxf>
      <border outline="0">
        <bottom style="thin">
          <color theme="7" tint="0.39997558519241921"/>
        </bottom>
      </border>
    </dxf>
    <dxf>
      <font>
        <b/>
        <i val="0"/>
        <strike val="0"/>
        <condense val="0"/>
        <extend val="0"/>
        <outline val="0"/>
        <shadow val="0"/>
        <u val="none"/>
        <vertAlign val="baseline"/>
        <sz val="11"/>
        <color auto="1"/>
        <name val="Calibri"/>
        <family val="2"/>
        <scheme val="minor"/>
      </font>
      <fill>
        <patternFill patternType="none">
          <fgColor theme="7"/>
          <bgColor auto="1"/>
        </patternFill>
      </fill>
      <alignment horizontal="center" vertical="center" textRotation="0" wrapText="0" indent="0" justifyLastLine="0" shrinkToFit="0" readingOrder="0"/>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numFmt numFmtId="0" formatCode="General"/>
      <fill>
        <patternFill patternType="none">
          <bgColor auto="1"/>
        </patternFill>
      </fill>
    </dxf>
    <dxf>
      <font>
        <strike val="0"/>
        <outline val="0"/>
        <shadow val="0"/>
        <u val="none"/>
        <vertAlign val="baseline"/>
        <sz val="9"/>
        <color auto="1"/>
        <name val="Calibri"/>
        <family val="2"/>
        <scheme val="minor"/>
      </font>
      <numFmt numFmtId="0" formatCode="General"/>
      <fill>
        <patternFill patternType="none">
          <bgColor auto="1"/>
        </patternFill>
      </fill>
    </dxf>
    <dxf>
      <font>
        <strike val="0"/>
        <outline val="0"/>
        <shadow val="0"/>
        <u val="none"/>
        <vertAlign val="baseline"/>
        <sz val="9"/>
        <color auto="1"/>
        <name val="Calibri"/>
        <family val="2"/>
        <scheme val="minor"/>
      </font>
      <numFmt numFmtId="0" formatCode="General"/>
      <fill>
        <patternFill patternType="none">
          <bgColor auto="1"/>
        </patternFill>
      </fill>
    </dxf>
    <dxf>
      <font>
        <strike val="0"/>
        <outline val="0"/>
        <shadow val="0"/>
        <u val="none"/>
        <vertAlign val="baseline"/>
        <sz val="9"/>
        <color auto="1"/>
        <name val="Calibri"/>
        <family val="2"/>
        <scheme val="minor"/>
      </font>
      <numFmt numFmtId="0" formatCode="General"/>
      <fill>
        <patternFill patternType="none">
          <bgColor auto="1"/>
        </patternFill>
      </fill>
    </dxf>
    <dxf>
      <font>
        <strike val="0"/>
        <outline val="0"/>
        <shadow val="0"/>
        <u val="none"/>
        <vertAlign val="baseline"/>
        <sz val="9"/>
        <color auto="1"/>
        <name val="Calibri"/>
        <family val="2"/>
        <scheme val="minor"/>
      </font>
      <numFmt numFmtId="0" formatCode="General"/>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border outline="0">
        <top style="thin">
          <color theme="7" tint="0.39997558519241921"/>
        </top>
      </border>
    </dxf>
    <dxf>
      <font>
        <strike val="0"/>
        <outline val="0"/>
        <shadow val="0"/>
        <u val="none"/>
        <vertAlign val="baseline"/>
        <sz val="9"/>
        <color auto="1"/>
        <name val="Calibri"/>
        <family val="2"/>
        <scheme val="minor"/>
      </font>
      <fill>
        <patternFill patternType="none">
          <bgColor auto="1"/>
        </patternFill>
      </fill>
    </dxf>
    <dxf>
      <border outline="0">
        <bottom style="thin">
          <color theme="7" tint="0.39997558519241921"/>
        </bottom>
      </border>
    </dxf>
    <dxf>
      <font>
        <b/>
        <i val="0"/>
        <strike val="0"/>
        <condense val="0"/>
        <extend val="0"/>
        <outline val="0"/>
        <shadow val="0"/>
        <u val="none"/>
        <vertAlign val="baseline"/>
        <sz val="11"/>
        <color auto="1"/>
        <name val="Calibri"/>
        <family val="2"/>
        <scheme val="minor"/>
      </font>
      <fill>
        <patternFill patternType="none">
          <fgColor theme="7"/>
          <bgColor auto="1"/>
        </patternFill>
      </fill>
      <alignment horizontal="center" vertical="center" textRotation="0" wrapText="1" indent="0" justifyLastLine="0" shrinkToFit="0" readingOrder="0"/>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numFmt numFmtId="0" formatCode="General"/>
      <fill>
        <patternFill patternType="none">
          <bgColor auto="1"/>
        </patternFill>
      </fill>
    </dxf>
    <dxf>
      <font>
        <strike val="0"/>
        <outline val="0"/>
        <shadow val="0"/>
        <u val="none"/>
        <vertAlign val="baseline"/>
        <sz val="9"/>
        <color auto="1"/>
        <name val="Calibri"/>
        <family val="2"/>
        <scheme val="minor"/>
      </font>
      <numFmt numFmtId="0" formatCode="General"/>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numFmt numFmtId="0" formatCode="General"/>
      <fill>
        <patternFill patternType="none">
          <bgColor auto="1"/>
        </patternFill>
      </fill>
    </dxf>
    <dxf>
      <font>
        <strike val="0"/>
        <outline val="0"/>
        <shadow val="0"/>
        <u val="none"/>
        <vertAlign val="baseline"/>
        <sz val="9"/>
        <color auto="1"/>
        <name val="Calibri"/>
        <family val="2"/>
        <scheme val="minor"/>
      </font>
      <numFmt numFmtId="0" formatCode="General"/>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border outline="0">
        <top style="thin">
          <color theme="4" tint="0.39997558519241921"/>
        </top>
      </border>
    </dxf>
    <dxf>
      <font>
        <strike val="0"/>
        <outline val="0"/>
        <shadow val="0"/>
        <u val="none"/>
        <vertAlign val="baseline"/>
        <sz val="9"/>
        <color auto="1"/>
        <name val="Calibri"/>
        <family val="2"/>
        <scheme val="minor"/>
      </font>
      <fill>
        <patternFill patternType="none">
          <bgColor auto="1"/>
        </patternFill>
      </fill>
    </dxf>
    <dxf>
      <border outline="0">
        <bottom style="thin">
          <color theme="4" tint="0.39997558519241921"/>
        </bottom>
      </border>
    </dxf>
    <dxf>
      <font>
        <b/>
        <i val="0"/>
        <strike val="0"/>
        <condense val="0"/>
        <extend val="0"/>
        <outline val="0"/>
        <shadow val="0"/>
        <u val="none"/>
        <vertAlign val="baseline"/>
        <sz val="11"/>
        <color auto="1"/>
        <name val="Calibri"/>
        <family val="2"/>
        <scheme val="minor"/>
      </font>
      <fill>
        <patternFill patternType="none">
          <fgColor theme="4"/>
          <bgColor auto="1"/>
        </patternFill>
      </fill>
      <alignment horizontal="center" vertical="center" textRotation="0" wrapText="1" indent="0" justifyLastLine="0" shrinkToFit="0" readingOrder="0"/>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numFmt numFmtId="0" formatCode="General"/>
      <fill>
        <patternFill patternType="none">
          <bgColor auto="1"/>
        </patternFill>
      </fill>
    </dxf>
    <dxf>
      <font>
        <strike val="0"/>
        <outline val="0"/>
        <shadow val="0"/>
        <u val="none"/>
        <vertAlign val="baseline"/>
        <color auto="1"/>
        <name val="Calibri"/>
        <family val="2"/>
        <scheme val="minor"/>
      </font>
      <numFmt numFmtId="0" formatCode="General"/>
      <fill>
        <patternFill patternType="none">
          <bgColor auto="1"/>
        </patternFill>
      </fill>
    </dxf>
    <dxf>
      <font>
        <strike val="0"/>
        <outline val="0"/>
        <shadow val="0"/>
        <u val="none"/>
        <vertAlign val="baseline"/>
        <color auto="1"/>
        <name val="Calibri"/>
        <family val="2"/>
        <scheme val="minor"/>
      </font>
      <numFmt numFmtId="0" formatCode="General"/>
      <fill>
        <patternFill patternType="none">
          <bgColor auto="1"/>
        </patternFill>
      </fill>
    </dxf>
    <dxf>
      <font>
        <strike val="0"/>
        <outline val="0"/>
        <shadow val="0"/>
        <u val="none"/>
        <vertAlign val="baseline"/>
        <color auto="1"/>
        <name val="Calibri"/>
        <family val="2"/>
        <scheme val="minor"/>
      </font>
      <numFmt numFmtId="0" formatCode="General"/>
      <fill>
        <patternFill patternType="none">
          <bgColor auto="1"/>
        </patternFill>
      </fill>
    </dxf>
    <dxf>
      <font>
        <strike val="0"/>
        <outline val="0"/>
        <shadow val="0"/>
        <u val="none"/>
        <vertAlign val="baseline"/>
        <color auto="1"/>
        <name val="Calibri"/>
        <family val="2"/>
        <scheme val="minor"/>
      </font>
      <numFmt numFmtId="0" formatCode="General"/>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border outline="0">
        <top style="thin">
          <color theme="7" tint="0.39997558519241921"/>
        </top>
      </border>
    </dxf>
    <dxf>
      <font>
        <strike val="0"/>
        <outline val="0"/>
        <shadow val="0"/>
        <u val="none"/>
        <vertAlign val="baseline"/>
        <color auto="1"/>
        <name val="Calibri"/>
        <family val="2"/>
        <scheme val="minor"/>
      </font>
      <fill>
        <patternFill patternType="none">
          <bgColor auto="1"/>
        </patternFill>
      </fill>
    </dxf>
    <dxf>
      <border outline="0">
        <bottom style="thin">
          <color theme="7" tint="0.39997558519241921"/>
        </bottom>
      </border>
    </dxf>
    <dxf>
      <font>
        <b/>
        <i val="0"/>
        <strike val="0"/>
        <condense val="0"/>
        <extend val="0"/>
        <outline val="0"/>
        <shadow val="0"/>
        <u val="none"/>
        <vertAlign val="baseline"/>
        <sz val="11"/>
        <color auto="1"/>
        <name val="Calibri"/>
        <family val="2"/>
        <scheme val="minor"/>
      </font>
      <fill>
        <patternFill patternType="none">
          <fgColor theme="7"/>
          <bgColor auto="1"/>
        </patternFill>
      </fill>
      <alignment horizontal="center" vertical="center" textRotation="0" wrapText="1" indent="0" justifyLastLine="0" shrinkToFit="0" readingOrder="0"/>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numFmt numFmtId="0" formatCode="General"/>
      <fill>
        <patternFill patternType="none">
          <fgColor indexed="64"/>
          <bgColor auto="1"/>
        </patternFill>
      </fill>
    </dxf>
    <dxf>
      <font>
        <strike val="0"/>
        <outline val="0"/>
        <shadow val="0"/>
        <u val="none"/>
        <vertAlign val="baseline"/>
        <sz val="9"/>
        <color auto="1"/>
        <name val="Calibri"/>
        <family val="2"/>
        <scheme val="minor"/>
      </font>
      <numFmt numFmtId="0" formatCode="General"/>
      <fill>
        <patternFill patternType="none">
          <fgColor indexed="64"/>
          <bgColor auto="1"/>
        </patternFill>
      </fill>
    </dxf>
    <dxf>
      <font>
        <strike val="0"/>
        <outline val="0"/>
        <shadow val="0"/>
        <u val="none"/>
        <vertAlign val="baseline"/>
        <sz val="9"/>
        <color auto="1"/>
        <name val="Calibri"/>
        <family val="2"/>
        <scheme val="minor"/>
      </font>
      <numFmt numFmtId="0" formatCode="General"/>
      <fill>
        <patternFill patternType="none">
          <fgColor indexed="64"/>
          <bgColor auto="1"/>
        </patternFill>
      </fill>
    </dxf>
    <dxf>
      <font>
        <strike val="0"/>
        <outline val="0"/>
        <shadow val="0"/>
        <u val="none"/>
        <vertAlign val="baseline"/>
        <sz val="9"/>
        <color auto="1"/>
        <name val="Calibri"/>
        <family val="2"/>
        <scheme val="minor"/>
      </font>
      <numFmt numFmtId="0" formatCode="General"/>
      <fill>
        <patternFill patternType="none">
          <fgColor indexed="64"/>
          <bgColor auto="1"/>
        </patternFill>
      </fill>
    </dxf>
    <dxf>
      <font>
        <strike val="0"/>
        <outline val="0"/>
        <shadow val="0"/>
        <u val="none"/>
        <vertAlign val="baseline"/>
        <sz val="9"/>
        <color auto="1"/>
        <name val="Calibri"/>
        <family val="2"/>
        <scheme val="minor"/>
      </font>
      <numFmt numFmtId="0" formatCode="General"/>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font>
        <strike val="0"/>
        <outline val="0"/>
        <shadow val="0"/>
        <u val="none"/>
        <vertAlign val="baseline"/>
        <sz val="9"/>
        <color auto="1"/>
        <name val="Calibri"/>
        <family val="2"/>
        <scheme val="minor"/>
      </font>
      <fill>
        <patternFill patternType="none">
          <fgColor indexed="64"/>
          <bgColor auto="1"/>
        </patternFill>
      </fill>
    </dxf>
    <dxf>
      <border outline="0">
        <top style="thin">
          <color theme="7" tint="0.39997558519241921"/>
        </top>
      </border>
    </dxf>
    <dxf>
      <font>
        <strike val="0"/>
        <outline val="0"/>
        <shadow val="0"/>
        <u val="none"/>
        <vertAlign val="baseline"/>
        <sz val="9"/>
        <color auto="1"/>
        <name val="Calibri"/>
        <family val="2"/>
        <scheme val="minor"/>
      </font>
      <fill>
        <patternFill patternType="none">
          <fgColor indexed="64"/>
          <bgColor auto="1"/>
        </patternFill>
      </fill>
    </dxf>
    <dxf>
      <border outline="0">
        <bottom style="thin">
          <color theme="7" tint="0.39997558519241921"/>
        </bottom>
      </border>
    </dxf>
    <dxf>
      <font>
        <b/>
        <i val="0"/>
        <strike val="0"/>
        <condense val="0"/>
        <extend val="0"/>
        <outline val="0"/>
        <shadow val="0"/>
        <u val="none"/>
        <vertAlign val="baseline"/>
        <sz val="11"/>
        <color auto="1"/>
        <name val="Calibri"/>
        <family val="2"/>
        <scheme val="minor"/>
      </font>
      <fill>
        <patternFill patternType="none">
          <fgColor theme="7"/>
          <bgColor auto="1"/>
        </patternFill>
      </fill>
      <alignment horizontal="center" vertical="center" textRotation="0" wrapText="0" indent="0" justifyLastLine="0" shrinkToFit="0" readingOrder="0"/>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numFmt numFmtId="0" formatCode="General"/>
      <fill>
        <patternFill patternType="none">
          <bgColor auto="1"/>
        </patternFill>
      </fill>
    </dxf>
    <dxf>
      <font>
        <strike val="0"/>
        <outline val="0"/>
        <shadow val="0"/>
        <u val="none"/>
        <vertAlign val="baseline"/>
        <sz val="9"/>
        <color auto="1"/>
        <name val="Calibri"/>
        <family val="2"/>
        <scheme val="minor"/>
      </font>
      <numFmt numFmtId="0" formatCode="General"/>
      <fill>
        <patternFill patternType="none">
          <bgColor auto="1"/>
        </patternFill>
      </fill>
    </dxf>
    <dxf>
      <font>
        <strike val="0"/>
        <outline val="0"/>
        <shadow val="0"/>
        <u val="none"/>
        <vertAlign val="baseline"/>
        <sz val="9"/>
        <color auto="1"/>
        <name val="Calibri"/>
        <family val="2"/>
        <scheme val="minor"/>
      </font>
      <numFmt numFmtId="0" formatCode="General"/>
      <fill>
        <patternFill patternType="none">
          <bgColor auto="1"/>
        </patternFill>
      </fill>
    </dxf>
    <dxf>
      <font>
        <strike val="0"/>
        <outline val="0"/>
        <shadow val="0"/>
        <u val="none"/>
        <vertAlign val="baseline"/>
        <sz val="9"/>
        <color auto="1"/>
        <name val="Calibri"/>
        <family val="2"/>
        <scheme val="minor"/>
      </font>
      <numFmt numFmtId="0" formatCode="General"/>
      <fill>
        <patternFill patternType="none">
          <bgColor auto="1"/>
        </patternFill>
      </fill>
    </dxf>
    <dxf>
      <font>
        <strike val="0"/>
        <outline val="0"/>
        <shadow val="0"/>
        <u val="none"/>
        <vertAlign val="baseline"/>
        <sz val="9"/>
        <color auto="1"/>
        <name val="Calibri"/>
        <family val="2"/>
        <scheme val="minor"/>
      </font>
      <numFmt numFmtId="0" formatCode="General"/>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border outline="0">
        <top style="thin">
          <color theme="7" tint="0.39997558519241921"/>
        </top>
      </border>
    </dxf>
    <dxf>
      <font>
        <strike val="0"/>
        <outline val="0"/>
        <shadow val="0"/>
        <u val="none"/>
        <vertAlign val="baseline"/>
        <sz val="9"/>
        <color auto="1"/>
        <name val="Calibri"/>
        <family val="2"/>
        <scheme val="minor"/>
      </font>
      <fill>
        <patternFill patternType="none">
          <bgColor auto="1"/>
        </patternFill>
      </fill>
    </dxf>
    <dxf>
      <border outline="0">
        <bottom style="thin">
          <color theme="7" tint="0.39997558519241921"/>
        </bottom>
      </border>
    </dxf>
    <dxf>
      <font>
        <b/>
        <i val="0"/>
        <strike val="0"/>
        <condense val="0"/>
        <extend val="0"/>
        <outline val="0"/>
        <shadow val="0"/>
        <u val="none"/>
        <vertAlign val="baseline"/>
        <sz val="11"/>
        <color auto="1"/>
        <name val="Calibri"/>
        <family val="2"/>
        <scheme val="minor"/>
      </font>
      <fill>
        <patternFill patternType="none">
          <fgColor theme="7"/>
          <bgColor auto="1"/>
        </patternFill>
      </fill>
      <alignment horizontal="center" vertical="center" textRotation="0" wrapText="1" indent="0" justifyLastLine="0" shrinkToFit="0" readingOrder="0"/>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numFmt numFmtId="0" formatCode="General"/>
      <fill>
        <patternFill patternType="none">
          <bgColor auto="1"/>
        </patternFill>
      </fill>
    </dxf>
    <dxf>
      <font>
        <strike val="0"/>
        <outline val="0"/>
        <shadow val="0"/>
        <u val="none"/>
        <vertAlign val="baseline"/>
        <sz val="9"/>
        <color auto="1"/>
        <name val="Calibri"/>
        <family val="2"/>
        <scheme val="minor"/>
      </font>
      <numFmt numFmtId="0" formatCode="General"/>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numFmt numFmtId="0" formatCode="General"/>
      <fill>
        <patternFill patternType="none">
          <bgColor auto="1"/>
        </patternFill>
      </fill>
    </dxf>
    <dxf>
      <font>
        <strike val="0"/>
        <outline val="0"/>
        <shadow val="0"/>
        <u val="none"/>
        <vertAlign val="baseline"/>
        <sz val="9"/>
        <color auto="1"/>
        <name val="Calibri"/>
        <family val="2"/>
        <scheme val="minor"/>
      </font>
      <numFmt numFmtId="0" formatCode="General"/>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sz val="9"/>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alignment horizontal="center" vertical="center" textRotation="0" wrapText="1" indent="0" justifyLastLine="0" shrinkToFit="0" readingOrder="0"/>
    </dxf>
    <dxf>
      <font>
        <b val="0"/>
        <i val="0"/>
        <strike val="0"/>
        <condense val="0"/>
        <extend val="0"/>
        <outline val="0"/>
        <shadow val="0"/>
        <u val="none"/>
        <vertAlign val="baseline"/>
        <sz val="9"/>
        <color auto="1"/>
        <name val="Calibri"/>
        <family val="2"/>
        <scheme val="minor"/>
      </font>
      <fill>
        <patternFill patternType="none">
          <fgColor indexed="64"/>
          <bgColor auto="1"/>
        </patternFill>
      </fill>
      <alignment vertical="bottom" textRotation="0" wrapText="0" indent="0" justifyLastLine="0" shrinkToFit="0" readingOrder="0"/>
      <protection locked="0" hidden="0"/>
    </dxf>
    <dxf>
      <font>
        <b val="0"/>
        <i val="0"/>
        <strike val="0"/>
        <condense val="0"/>
        <extend val="0"/>
        <outline val="0"/>
        <shadow val="0"/>
        <u val="none"/>
        <vertAlign val="baseline"/>
        <sz val="9"/>
        <color auto="1"/>
        <name val="Calibri"/>
        <family val="2"/>
        <scheme val="minor"/>
      </font>
      <fill>
        <patternFill patternType="none">
          <fgColor indexed="64"/>
          <bgColor auto="1"/>
        </patternFill>
      </fill>
      <alignment vertical="bottom" textRotation="0" wrapText="0" indent="0" justifyLastLine="0" shrinkToFit="0" readingOrder="0"/>
      <protection locked="0" hidden="0"/>
    </dxf>
    <dxf>
      <font>
        <b val="0"/>
        <i val="0"/>
        <strike val="0"/>
        <condense val="0"/>
        <extend val="0"/>
        <outline val="0"/>
        <shadow val="0"/>
        <u val="none"/>
        <vertAlign val="baseline"/>
        <sz val="9"/>
        <color auto="1"/>
        <name val="Calibri"/>
        <family val="2"/>
        <scheme val="minor"/>
      </font>
      <fill>
        <patternFill patternType="none">
          <fgColor indexed="64"/>
          <bgColor auto="1"/>
        </patternFill>
      </fill>
      <alignment vertical="bottom" textRotation="0" wrapText="0" indent="0" justifyLastLine="0" shrinkToFit="0" readingOrder="0"/>
      <protection locked="0" hidden="0"/>
    </dxf>
    <dxf>
      <font>
        <b val="0"/>
        <i val="0"/>
        <strike val="0"/>
        <condense val="0"/>
        <extend val="0"/>
        <outline val="0"/>
        <shadow val="0"/>
        <u val="none"/>
        <vertAlign val="baseline"/>
        <sz val="9"/>
        <color auto="1"/>
        <name val="Calibri"/>
        <family val="2"/>
        <scheme val="minor"/>
      </font>
      <fill>
        <patternFill patternType="none">
          <fgColor indexed="64"/>
          <bgColor auto="1"/>
        </patternFill>
      </fill>
      <alignment vertical="bottom" textRotation="0" wrapText="0" indent="0" justifyLastLine="0" shrinkToFit="0" readingOrder="0"/>
      <protection locked="0" hidden="0"/>
    </dxf>
    <dxf>
      <font>
        <b val="0"/>
        <i val="0"/>
        <strike val="0"/>
        <condense val="0"/>
        <extend val="0"/>
        <outline val="0"/>
        <shadow val="0"/>
        <u val="none"/>
        <vertAlign val="baseline"/>
        <sz val="9"/>
        <color auto="1"/>
        <name val="Calibri"/>
        <family val="2"/>
        <scheme val="minor"/>
      </font>
      <fill>
        <patternFill patternType="none">
          <fgColor indexed="64"/>
          <bgColor auto="1"/>
        </patternFill>
      </fill>
      <alignment vertical="bottom" textRotation="0" wrapText="0" indent="0" justifyLastLine="0" shrinkToFit="0" readingOrder="0"/>
      <protection locked="0" hidden="0"/>
    </dxf>
    <dxf>
      <font>
        <b val="0"/>
        <i val="0"/>
        <strike val="0"/>
        <condense val="0"/>
        <extend val="0"/>
        <outline val="0"/>
        <shadow val="0"/>
        <u val="none"/>
        <vertAlign val="baseline"/>
        <sz val="9"/>
        <color auto="1"/>
        <name val="Calibri"/>
        <family val="2"/>
        <scheme val="minor"/>
      </font>
      <fill>
        <patternFill patternType="none">
          <fgColor indexed="64"/>
          <bgColor auto="1"/>
        </patternFill>
      </fill>
      <alignment vertical="bottom" textRotation="0" wrapText="0" indent="0" justifyLastLine="0" shrinkToFit="0" readingOrder="0"/>
      <protection locked="0" hidden="0"/>
    </dxf>
    <dxf>
      <font>
        <b val="0"/>
        <i val="0"/>
        <strike val="0"/>
        <condense val="0"/>
        <extend val="0"/>
        <outline val="0"/>
        <shadow val="0"/>
        <u val="none"/>
        <vertAlign val="baseline"/>
        <sz val="9"/>
        <color auto="1"/>
        <name val="Calibri"/>
        <family val="2"/>
        <scheme val="minor"/>
      </font>
      <fill>
        <patternFill patternType="none">
          <fgColor indexed="64"/>
          <bgColor auto="1"/>
        </patternFill>
      </fill>
      <alignment vertical="bottom" textRotation="0" wrapText="0" indent="0" justifyLastLine="0" shrinkToFit="0" readingOrder="0"/>
      <protection locked="0" hidden="0"/>
    </dxf>
    <dxf>
      <font>
        <b val="0"/>
        <i val="0"/>
        <strike val="0"/>
        <condense val="0"/>
        <extend val="0"/>
        <outline val="0"/>
        <shadow val="0"/>
        <u val="none"/>
        <vertAlign val="baseline"/>
        <sz val="9"/>
        <color auto="1"/>
        <name val="Calibri"/>
        <family val="2"/>
        <scheme val="minor"/>
      </font>
      <fill>
        <patternFill patternType="none">
          <fgColor indexed="64"/>
          <bgColor auto="1"/>
        </patternFill>
      </fill>
      <alignment vertical="bottom" textRotation="0" wrapText="0" indent="0" justifyLastLine="0" shrinkToFit="0" readingOrder="0"/>
      <protection locked="0" hidden="0"/>
    </dxf>
    <dxf>
      <font>
        <b val="0"/>
        <i val="0"/>
        <strike val="0"/>
        <condense val="0"/>
        <extend val="0"/>
        <outline val="0"/>
        <shadow val="0"/>
        <u val="none"/>
        <vertAlign val="baseline"/>
        <sz val="9"/>
        <color auto="1"/>
        <name val="Calibri"/>
        <family val="2"/>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auto="1"/>
        <name val="Calibri"/>
        <family val="2"/>
        <scheme val="minor"/>
      </font>
      <fill>
        <patternFill patternType="none">
          <fgColor indexed="64"/>
          <bgColor auto="1"/>
        </patternFill>
      </fill>
      <alignment vertical="bottom" textRotation="0" wrapText="0" indent="0" justifyLastLine="0" shrinkToFit="0" readingOrder="0"/>
      <protection locked="0" hidden="0"/>
    </dxf>
    <dxf>
      <font>
        <b val="0"/>
        <i val="0"/>
        <strike val="0"/>
        <condense val="0"/>
        <extend val="0"/>
        <outline val="0"/>
        <shadow val="0"/>
        <u val="none"/>
        <vertAlign val="baseline"/>
        <sz val="9"/>
        <color auto="1"/>
        <name val="Calibri"/>
        <family val="2"/>
        <scheme val="minor"/>
      </font>
      <fill>
        <patternFill patternType="none">
          <fgColor indexed="64"/>
          <bgColor auto="1"/>
        </patternFill>
      </fill>
      <alignment vertical="bottom" textRotation="0" wrapText="0" indent="0" justifyLastLine="0" shrinkToFit="0" readingOrder="0"/>
      <protection locked="0" hidden="0"/>
    </dxf>
    <dxf>
      <font>
        <b val="0"/>
        <i val="0"/>
        <strike val="0"/>
        <condense val="0"/>
        <extend val="0"/>
        <outline val="0"/>
        <shadow val="0"/>
        <u val="none"/>
        <vertAlign val="baseline"/>
        <sz val="9"/>
        <color auto="1"/>
        <name val="Calibri"/>
        <family val="2"/>
        <scheme val="minor"/>
      </font>
      <numFmt numFmtId="0" formatCode="General"/>
      <fill>
        <patternFill patternType="none">
          <fgColor indexed="64"/>
          <bgColor auto="1"/>
        </patternFill>
      </fill>
      <alignment vertical="bottom" textRotation="0" wrapText="0" indent="0" justifyLastLine="0" shrinkToFit="0" readingOrder="0"/>
      <protection locked="0" hidden="0"/>
    </dxf>
    <dxf>
      <font>
        <b val="0"/>
        <i val="0"/>
        <strike val="0"/>
        <condense val="0"/>
        <extend val="0"/>
        <outline val="0"/>
        <shadow val="0"/>
        <u val="none"/>
        <vertAlign val="baseline"/>
        <sz val="9"/>
        <color auto="1"/>
        <name val="Calibri"/>
        <family val="2"/>
        <scheme val="minor"/>
      </font>
      <numFmt numFmtId="0" formatCode="General"/>
      <fill>
        <patternFill patternType="none">
          <fgColor indexed="64"/>
          <bgColor auto="1"/>
        </patternFill>
      </fill>
      <alignment vertical="bottom" textRotation="0" wrapText="0" indent="0" justifyLastLine="0" shrinkToFit="0" readingOrder="0"/>
      <protection locked="0" hidden="0"/>
    </dxf>
    <dxf>
      <font>
        <b val="0"/>
        <i val="0"/>
        <strike val="0"/>
        <condense val="0"/>
        <extend val="0"/>
        <outline val="0"/>
        <shadow val="0"/>
        <u val="none"/>
        <vertAlign val="baseline"/>
        <sz val="9"/>
        <color auto="1"/>
        <name val="Calibri"/>
        <family val="2"/>
        <scheme val="minor"/>
      </font>
      <numFmt numFmtId="0" formatCode="General"/>
      <fill>
        <patternFill patternType="none">
          <fgColor indexed="64"/>
          <bgColor auto="1"/>
        </patternFill>
      </fill>
      <alignment vertical="bottom" textRotation="0" wrapText="0" indent="0" justifyLastLine="0" shrinkToFit="0" readingOrder="0"/>
      <protection locked="0" hidden="0"/>
    </dxf>
    <dxf>
      <font>
        <b val="0"/>
        <i val="0"/>
        <strike val="0"/>
        <condense val="0"/>
        <extend val="0"/>
        <outline val="0"/>
        <shadow val="0"/>
        <u val="none"/>
        <vertAlign val="baseline"/>
        <sz val="9"/>
        <color auto="1"/>
        <name val="Calibri"/>
        <family val="2"/>
        <scheme val="minor"/>
      </font>
      <numFmt numFmtId="0" formatCode="General"/>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auto="1"/>
        <name val="Calibri"/>
        <family val="2"/>
        <scheme val="minor"/>
      </font>
      <numFmt numFmtId="0" formatCode="General"/>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auto="1"/>
        <name val="Calibri"/>
        <family val="2"/>
        <scheme val="minor"/>
      </font>
      <fill>
        <patternFill patternType="none">
          <fgColor indexed="64"/>
          <bgColor auto="1"/>
        </patternFill>
      </fill>
      <alignment vertical="bottom" textRotation="0" wrapText="0" indent="0" justifyLastLine="0" shrinkToFit="0" readingOrder="0"/>
      <protection locked="0" hidden="0"/>
    </dxf>
    <dxf>
      <font>
        <b val="0"/>
        <i val="0"/>
        <strike val="0"/>
        <condense val="0"/>
        <extend val="0"/>
        <outline val="0"/>
        <shadow val="0"/>
        <u val="none"/>
        <vertAlign val="baseline"/>
        <sz val="9"/>
        <color auto="1"/>
        <name val="Calibri"/>
        <family val="2"/>
        <scheme val="minor"/>
      </font>
      <fill>
        <patternFill patternType="none">
          <fgColor indexed="64"/>
          <bgColor auto="1"/>
        </patternFill>
      </fill>
      <alignment vertical="bottom" textRotation="0" wrapText="0" indent="0" justifyLastLine="0" shrinkToFit="0" readingOrder="0"/>
      <protection locked="0" hidden="0"/>
    </dxf>
    <dxf>
      <font>
        <b val="0"/>
        <i val="0"/>
        <strike val="0"/>
        <condense val="0"/>
        <extend val="0"/>
        <outline val="0"/>
        <shadow val="0"/>
        <u val="none"/>
        <vertAlign val="baseline"/>
        <sz val="9"/>
        <color auto="1"/>
        <name val="Calibri"/>
        <family val="2"/>
        <scheme val="minor"/>
      </font>
      <fill>
        <patternFill patternType="none">
          <fgColor indexed="64"/>
          <bgColor auto="1"/>
        </patternFill>
      </fill>
      <alignment vertical="bottom" textRotation="0" wrapText="0" indent="0" justifyLastLine="0" shrinkToFit="0" readingOrder="0"/>
      <protection locked="0" hidden="0"/>
    </dxf>
    <dxf>
      <font>
        <b val="0"/>
        <i val="0"/>
        <strike val="0"/>
        <condense val="0"/>
        <extend val="0"/>
        <outline val="0"/>
        <shadow val="0"/>
        <u val="none"/>
        <vertAlign val="baseline"/>
        <sz val="9"/>
        <color auto="1"/>
        <name val="Calibri"/>
        <family val="2"/>
        <scheme val="minor"/>
      </font>
      <fill>
        <patternFill patternType="none">
          <fgColor indexed="64"/>
          <bgColor auto="1"/>
        </patternFill>
      </fill>
      <alignment vertical="bottom" textRotation="0" wrapText="0" indent="0" justifyLastLine="0" shrinkToFit="0" readingOrder="0"/>
      <protection locked="0" hidden="0"/>
    </dxf>
    <dxf>
      <font>
        <b val="0"/>
        <i val="0"/>
        <strike val="0"/>
        <condense val="0"/>
        <extend val="0"/>
        <outline val="0"/>
        <shadow val="0"/>
        <u val="none"/>
        <vertAlign val="baseline"/>
        <sz val="9"/>
        <color auto="1"/>
        <name val="Calibri"/>
        <family val="2"/>
        <scheme val="minor"/>
      </font>
      <fill>
        <patternFill patternType="none">
          <fgColor indexed="64"/>
          <bgColor auto="1"/>
        </patternFill>
      </fill>
      <alignment vertical="bottom" textRotation="0" wrapText="0" indent="0" justifyLastLine="0" shrinkToFit="0" readingOrder="0"/>
      <protection locked="0" hidden="0"/>
    </dxf>
    <dxf>
      <font>
        <b val="0"/>
        <i val="0"/>
        <strike val="0"/>
        <condense val="0"/>
        <extend val="0"/>
        <outline val="0"/>
        <shadow val="0"/>
        <u val="none"/>
        <vertAlign val="baseline"/>
        <sz val="9"/>
        <color auto="1"/>
        <name val="Calibri"/>
        <family val="2"/>
        <scheme val="minor"/>
      </font>
      <fill>
        <patternFill patternType="none">
          <fgColor indexed="64"/>
          <bgColor auto="1"/>
        </patternFill>
      </fill>
      <alignment vertical="bottom" textRotation="0" wrapText="0" indent="0" justifyLastLine="0" shrinkToFit="0" readingOrder="0"/>
      <protection locked="0" hidden="0"/>
    </dxf>
    <dxf>
      <font>
        <b val="0"/>
        <i val="0"/>
        <strike val="0"/>
        <condense val="0"/>
        <extend val="0"/>
        <outline val="0"/>
        <shadow val="0"/>
        <u val="none"/>
        <vertAlign val="baseline"/>
        <sz val="9"/>
        <color auto="1"/>
        <name val="Calibri"/>
        <family val="2"/>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auto="1"/>
        <name val="Calibri"/>
        <family val="2"/>
        <scheme val="minor"/>
      </font>
      <fill>
        <patternFill patternType="none">
          <fgColor indexed="64"/>
          <bgColor auto="1"/>
        </patternFill>
      </fill>
      <alignment vertical="bottom" textRotation="0" wrapText="0" indent="0" justifyLastLine="0" shrinkToFit="0" readingOrder="0"/>
      <protection locked="0" hidden="0"/>
    </dxf>
    <dxf>
      <font>
        <b val="0"/>
        <i val="0"/>
        <strike val="0"/>
        <condense val="0"/>
        <extend val="0"/>
        <outline val="0"/>
        <shadow val="0"/>
        <u val="none"/>
        <vertAlign val="baseline"/>
        <sz val="9"/>
        <color auto="1"/>
        <name val="Calibri"/>
        <family val="2"/>
        <scheme val="minor"/>
      </font>
      <fill>
        <patternFill patternType="none">
          <fgColor indexed="64"/>
          <bgColor auto="1"/>
        </patternFill>
      </fill>
      <alignment vertical="bottom" textRotation="0" wrapText="0" indent="0" justifyLastLine="0" shrinkToFit="0" readingOrder="0"/>
    </dxf>
    <dxf>
      <font>
        <b val="0"/>
        <i val="0"/>
        <strike val="0"/>
        <condense val="0"/>
        <extend val="0"/>
        <outline val="0"/>
        <shadow val="0"/>
        <u val="none"/>
        <vertAlign val="baseline"/>
        <sz val="9"/>
        <color auto="1"/>
        <name val="Calibri"/>
        <family val="2"/>
        <scheme val="minor"/>
      </font>
      <fill>
        <patternFill patternType="none">
          <fgColor indexed="64"/>
          <bgColor auto="1"/>
        </patternFill>
      </fill>
      <alignment vertical="bottom" textRotation="0" wrapText="0" indent="0" justifyLastLine="0" shrinkToFit="0" readingOrder="0"/>
      <protection locked="0" hidden="0"/>
    </dxf>
    <dxf>
      <font>
        <strike val="0"/>
        <outline val="0"/>
        <shadow val="0"/>
        <u val="none"/>
        <vertAlign val="baseline"/>
        <color auto="1"/>
        <name val="Calibri"/>
        <family val="2"/>
        <scheme val="minor"/>
      </font>
      <fill>
        <patternFill patternType="none">
          <bgColor auto="1"/>
        </patternFill>
      </fill>
      <alignment horizontal="center" vertical="center" textRotation="0" wrapText="1" indent="0" justifyLastLine="0" shrinkToFit="0" readingOrder="0"/>
    </dxf>
    <dxf>
      <font>
        <strike val="0"/>
        <outline val="0"/>
        <shadow val="0"/>
        <u val="none"/>
        <vertAlign val="baseline"/>
        <color auto="1"/>
        <name val="Calibri"/>
        <family val="2"/>
        <scheme val="minor"/>
      </font>
      <fill>
        <patternFill patternType="none">
          <bgColor auto="1"/>
        </patternFill>
      </fill>
    </dxf>
    <dxf>
      <font>
        <b val="0"/>
        <i val="0"/>
        <strike val="0"/>
        <condense val="0"/>
        <extend val="0"/>
        <outline val="0"/>
        <shadow val="0"/>
        <u val="none"/>
        <vertAlign val="baseline"/>
        <sz val="9"/>
        <color auto="1"/>
        <name val="Calibri"/>
        <family val="2"/>
        <scheme val="minor"/>
      </font>
      <fill>
        <patternFill patternType="none">
          <bgColor auto="1"/>
        </patternFill>
      </fill>
      <protection locked="0" hidden="0"/>
    </dxf>
    <dxf>
      <font>
        <b val="0"/>
        <i val="0"/>
        <strike val="0"/>
        <condense val="0"/>
        <extend val="0"/>
        <outline val="0"/>
        <shadow val="0"/>
        <u val="none"/>
        <vertAlign val="baseline"/>
        <sz val="9"/>
        <color auto="1"/>
        <name val="Calibri"/>
        <family val="2"/>
        <scheme val="minor"/>
      </font>
      <fill>
        <patternFill patternType="none">
          <bgColor auto="1"/>
        </patternFill>
      </fill>
      <protection locked="0" hidden="0"/>
    </dxf>
    <dxf>
      <font>
        <b val="0"/>
        <i val="0"/>
        <strike val="0"/>
        <condense val="0"/>
        <extend val="0"/>
        <outline val="0"/>
        <shadow val="0"/>
        <u val="none"/>
        <vertAlign val="baseline"/>
        <sz val="9"/>
        <color auto="1"/>
        <name val="Calibri"/>
        <family val="2"/>
        <scheme val="minor"/>
      </font>
      <fill>
        <patternFill patternType="none">
          <bgColor auto="1"/>
        </patternFill>
      </fill>
      <protection locked="0" hidden="0"/>
    </dxf>
    <dxf>
      <font>
        <strike val="0"/>
        <outline val="0"/>
        <shadow val="0"/>
        <u val="none"/>
        <vertAlign val="baseline"/>
        <color auto="1"/>
        <name val="Calibri"/>
        <family val="2"/>
        <scheme val="minor"/>
      </font>
      <fill>
        <patternFill patternType="none">
          <bgColor auto="1"/>
        </patternFill>
      </fill>
    </dxf>
    <dxf>
      <font>
        <b val="0"/>
        <i val="0"/>
        <strike val="0"/>
        <condense val="0"/>
        <extend val="0"/>
        <outline val="0"/>
        <shadow val="0"/>
        <u val="none"/>
        <vertAlign val="baseline"/>
        <sz val="10"/>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numFmt numFmtId="0" formatCode="General"/>
      <fill>
        <patternFill patternType="none">
          <bgColor auto="1"/>
        </patternFill>
      </fill>
    </dxf>
    <dxf>
      <font>
        <strike val="0"/>
        <outline val="0"/>
        <shadow val="0"/>
        <u val="none"/>
        <vertAlign val="baseline"/>
        <color auto="1"/>
        <name val="Calibri"/>
        <family val="2"/>
        <scheme val="minor"/>
      </font>
      <numFmt numFmtId="0" formatCode="General"/>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numFmt numFmtId="0" formatCode="General"/>
      <fill>
        <patternFill patternType="none">
          <bgColor auto="1"/>
        </patternFill>
      </fill>
    </dxf>
    <dxf>
      <font>
        <strike val="0"/>
        <outline val="0"/>
        <shadow val="0"/>
        <u val="none"/>
        <vertAlign val="baseline"/>
        <color auto="1"/>
        <name val="Calibri"/>
        <family val="2"/>
        <scheme val="minor"/>
      </font>
      <numFmt numFmtId="0" formatCode="General"/>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dxf>
    <dxf>
      <font>
        <strike val="0"/>
        <outline val="0"/>
        <shadow val="0"/>
        <u val="none"/>
        <vertAlign val="baseline"/>
        <color auto="1"/>
        <name val="Calibri"/>
        <family val="2"/>
        <scheme val="minor"/>
      </font>
      <fill>
        <patternFill patternType="none">
          <bgColor auto="1"/>
        </patternFill>
      </fill>
      <alignment horizontal="center" vertical="center" textRotation="0" wrapText="1" indent="0" justifyLastLine="0" shrinkToFit="0" readingOrder="0"/>
    </dxf>
    <dxf>
      <font>
        <strike val="0"/>
        <outline val="0"/>
        <shadow val="0"/>
        <vertAlign val="baseline"/>
        <sz val="11"/>
        <color auto="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font>
        <strike val="0"/>
        <outline val="0"/>
        <shadow val="0"/>
        <vertAlign val="baseline"/>
        <sz val="11"/>
        <color auto="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font>
        <strike val="0"/>
        <outline val="0"/>
        <shadow val="0"/>
        <vertAlign val="baseline"/>
        <sz val="11"/>
        <color auto="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font>
        <strike val="0"/>
        <outline val="0"/>
        <shadow val="0"/>
        <vertAlign val="baseline"/>
        <sz val="11"/>
        <color auto="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font>
        <strike val="0"/>
        <outline val="0"/>
        <shadow val="0"/>
        <vertAlign val="baseline"/>
        <sz val="11"/>
        <color auto="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font>
        <strike val="0"/>
        <outline val="0"/>
        <shadow val="0"/>
        <vertAlign val="baseline"/>
        <sz val="11"/>
        <color auto="1"/>
        <name val="Calibri"/>
        <family val="2"/>
        <scheme val="minor"/>
      </font>
      <numFmt numFmtId="30" formatCode="@"/>
      <fill>
        <patternFill patternType="none">
          <fgColor indexed="64"/>
          <bgColor auto="1"/>
        </patternFill>
      </fill>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strike val="0"/>
        <outline val="0"/>
        <shadow val="0"/>
        <vertAlign val="baseline"/>
        <sz val="11"/>
        <color auto="1"/>
        <name val="Calibri"/>
        <family val="2"/>
        <scheme val="minor"/>
      </font>
      <fill>
        <patternFill patternType="none">
          <fgColor indexed="64"/>
          <bgColor auto="1"/>
        </patternFill>
      </fill>
    </dxf>
    <dxf>
      <border outline="0">
        <bottom style="thin">
          <color theme="4" tint="0.39997558519241921"/>
        </bottom>
      </border>
    </dxf>
    <dxf>
      <font>
        <b/>
        <i val="0"/>
        <strike val="0"/>
        <condense val="0"/>
        <extend val="0"/>
        <outline val="0"/>
        <shadow val="0"/>
        <u val="none"/>
        <vertAlign val="baseline"/>
        <sz val="11"/>
        <color auto="1"/>
        <name val="Calibri"/>
        <family val="2"/>
        <scheme val="minor"/>
      </font>
      <fill>
        <patternFill patternType="none">
          <fgColor indexed="64"/>
          <bgColor auto="1"/>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numFmt numFmtId="0" formatCode="General"/>
    </dxf>
    <dxf>
      <numFmt numFmtId="0" formatCode="General"/>
    </dxf>
    <dxf>
      <font>
        <b/>
      </font>
    </dxf>
    <dxf>
      <border outline="0">
        <top style="thin">
          <color theme="6"/>
        </top>
      </border>
    </dxf>
    <dxf>
      <border outline="0">
        <bottom style="medium">
          <color theme="6"/>
        </bottom>
      </border>
    </dxf>
    <dxf>
      <font>
        <b/>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outline="0">
        <left style="thin">
          <color theme="6"/>
        </left>
        <right style="thin">
          <color theme="6"/>
        </right>
        <top/>
        <bottom/>
      </border>
    </dxf>
    <dxf>
      <font>
        <b val="0"/>
        <i val="0"/>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2"/>
        <color theme="1"/>
        <name val="Calibri"/>
        <family val="2"/>
        <scheme val="minor"/>
      </font>
      <numFmt numFmtId="0" formatCode="General"/>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left" vertical="center" textRotation="0" wrapText="1" indent="0" justifyLastLine="0" shrinkToFit="0" readingOrder="0"/>
      <protection locked="1" hidden="1"/>
    </dxf>
    <dxf>
      <font>
        <b/>
        <i val="0"/>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protection locked="0" hidden="0"/>
    </dxf>
    <dxf>
      <border diagonalUp="0" diagonalDown="0">
        <left style="thin">
          <color indexed="64"/>
        </left>
        <right style="thin">
          <color indexed="64"/>
        </right>
        <top style="thin">
          <color indexed="64"/>
        </top>
        <bottom style="thin">
          <color indexed="64"/>
        </bottom>
      </border>
    </dxf>
    <dxf>
      <font>
        <strike val="0"/>
        <outline val="0"/>
        <shadow val="0"/>
        <u val="none"/>
        <vertAlign val="baseline"/>
        <color auto="1"/>
        <name val="Calibri"/>
        <family val="2"/>
        <scheme val="minor"/>
      </font>
      <fill>
        <patternFill patternType="none">
          <bgColor auto="1"/>
        </patternFill>
      </fill>
      <protection locked="1" hidden="1"/>
    </dxf>
    <dxf>
      <font>
        <b val="0"/>
        <i val="0"/>
        <strike val="0"/>
        <condense val="0"/>
        <extend val="0"/>
        <outline val="0"/>
        <shadow val="0"/>
        <u val="none"/>
        <vertAlign val="baseline"/>
        <sz val="14"/>
        <color auto="1"/>
        <name val="Calibri"/>
        <family val="2"/>
        <scheme val="minor"/>
      </font>
      <fill>
        <patternFill patternType="none">
          <fgColor indexed="64"/>
          <bgColor auto="1"/>
        </patternFill>
      </fill>
      <alignment horizontal="center" vertical="center" textRotation="0" wrapText="1" indent="0" justifyLastLine="0" shrinkToFit="0" readingOrder="0"/>
      <protection locked="1" hidden="1"/>
    </dxf>
    <dxf>
      <font>
        <b/>
        <i val="0"/>
        <color rgb="FFFF0000"/>
      </font>
    </dxf>
    <dxf>
      <font>
        <b/>
        <i val="0"/>
        <color rgb="FFFF0000"/>
      </font>
    </dxf>
    <dxf>
      <font>
        <color theme="0" tint="-4.9989318521683403E-2"/>
      </font>
    </dxf>
    <dxf>
      <font>
        <color theme="8" tint="0.79998168889431442"/>
      </font>
    </dxf>
    <dxf>
      <font>
        <color theme="0" tint="-4.9989318521683403E-2"/>
      </font>
    </dxf>
    <dxf>
      <font>
        <b/>
        <i val="0"/>
        <color rgb="FFFF0000"/>
      </font>
      <fill>
        <patternFill>
          <bgColor theme="5" tint="0.79998168889431442"/>
        </patternFill>
      </fill>
    </dxf>
    <dxf>
      <font>
        <color theme="0"/>
      </font>
    </dxf>
    <dxf>
      <font>
        <color theme="0"/>
      </font>
    </dxf>
    <dxf>
      <fill>
        <patternFill>
          <bgColor rgb="FF7030A0"/>
        </patternFill>
      </fill>
    </dxf>
    <dxf>
      <fill>
        <patternFill>
          <bgColor rgb="FF00B050"/>
        </patternFill>
      </fill>
    </dxf>
    <dxf>
      <font>
        <color rgb="FFF2F2F2"/>
      </font>
      <fill>
        <patternFill>
          <bgColor rgb="FFF2F2F2"/>
        </patternFill>
      </fill>
    </dxf>
    <dxf>
      <font>
        <color theme="8" tint="0.59996337778862885"/>
      </font>
      <fill>
        <patternFill patternType="solid">
          <fgColor auto="1"/>
          <bgColor rgb="FFDAF1FE"/>
        </patternFill>
      </fill>
    </dxf>
    <dxf>
      <font>
        <color theme="0" tint="-4.9989318521683403E-2"/>
      </font>
    </dxf>
    <dxf>
      <font>
        <color theme="8" tint="0.79998168889431442"/>
      </font>
    </dxf>
    <dxf>
      <fill>
        <patternFill>
          <bgColor rgb="FFF2F2F2"/>
        </patternFill>
      </fill>
    </dxf>
    <dxf>
      <fill>
        <patternFill patternType="solid">
          <fgColor auto="1"/>
          <bgColor rgb="FFDAF1FE"/>
        </patternFill>
      </fill>
    </dxf>
    <dxf>
      <font>
        <color theme="9" tint="-0.499984740745262"/>
      </font>
      <fill>
        <patternFill>
          <bgColor theme="9" tint="0.79998168889431442"/>
        </patternFill>
      </fill>
    </dxf>
    <dxf>
      <font>
        <color rgb="FFF2F2F2"/>
      </font>
      <fill>
        <patternFill>
          <bgColor rgb="FFF2F2F2"/>
        </patternFill>
      </fill>
    </dxf>
    <dxf>
      <font>
        <color rgb="FFDAF1FE"/>
      </font>
      <fill>
        <patternFill patternType="solid">
          <fgColor auto="1"/>
          <bgColor rgb="FFDAF1FE"/>
        </patternFill>
      </fill>
    </dxf>
    <dxf>
      <font>
        <color theme="0"/>
      </font>
    </dxf>
    <dxf>
      <font>
        <color theme="0"/>
      </font>
    </dxf>
    <dxf>
      <font>
        <color theme="0"/>
      </font>
    </dxf>
    <dxf>
      <fill>
        <patternFill>
          <bgColor rgb="FF00B050"/>
        </patternFill>
      </fill>
    </dxf>
    <dxf>
      <fill>
        <patternFill>
          <bgColor rgb="FF7030A0"/>
        </patternFill>
      </fill>
    </dxf>
    <dxf>
      <fill>
        <patternFill>
          <bgColor rgb="FF7030A0"/>
        </patternFill>
      </fill>
    </dxf>
    <dxf>
      <fill>
        <patternFill>
          <bgColor rgb="FF00B050"/>
        </patternFill>
      </fill>
    </dxf>
    <dxf>
      <fill>
        <patternFill>
          <bgColor rgb="FF00B050"/>
        </patternFill>
      </fill>
    </dxf>
    <dxf>
      <fill>
        <patternFill>
          <bgColor rgb="FF00B050"/>
        </patternFill>
      </fill>
    </dxf>
    <dxf>
      <font>
        <strike val="0"/>
        <outline val="0"/>
        <shadow val="0"/>
        <u val="none"/>
        <vertAlign val="baseline"/>
        <sz val="10"/>
        <color auto="1"/>
        <name val="Calibri"/>
        <family val="2"/>
        <scheme val="minor"/>
      </font>
      <fill>
        <patternFill patternType="none">
          <fgColor indexed="64"/>
          <bgColor auto="1"/>
        </patternFill>
      </fill>
      <alignment vertical="bottom" textRotation="0" wrapText="1" indent="0" justifyLastLine="0" shrinkToFit="0" readingOrder="0"/>
      <protection locked="0" hidden="0"/>
    </dxf>
    <dxf>
      <font>
        <strike val="0"/>
        <outline val="0"/>
        <shadow val="0"/>
        <u val="none"/>
        <vertAlign val="baseline"/>
        <sz val="10"/>
        <color auto="1"/>
        <name val="Calibri"/>
        <family val="2"/>
        <scheme val="minor"/>
      </font>
      <fill>
        <patternFill patternType="none">
          <fgColor indexed="64"/>
          <bgColor auto="1"/>
        </patternFill>
      </fill>
      <alignment vertical="bottom" textRotation="0" wrapText="1" indent="0" justifyLastLine="0" shrinkToFit="0" readingOrder="0"/>
      <protection locked="0" hidden="0"/>
    </dxf>
    <dxf>
      <font>
        <strike val="0"/>
        <outline val="0"/>
        <shadow val="0"/>
        <u val="none"/>
        <vertAlign val="baseline"/>
        <sz val="10"/>
        <color auto="1"/>
        <name val="Calibri"/>
        <family val="2"/>
        <scheme val="minor"/>
      </font>
      <fill>
        <patternFill patternType="none">
          <fgColor indexed="64"/>
          <bgColor auto="1"/>
        </patternFill>
      </fill>
      <alignment vertical="bottom" textRotation="0" wrapText="1" indent="0" justifyLastLine="0" shrinkToFit="0" readingOrder="0"/>
      <protection locked="0" hidden="0"/>
    </dxf>
    <dxf>
      <font>
        <strike val="0"/>
        <outline val="0"/>
        <shadow val="0"/>
        <u val="none"/>
        <vertAlign val="baseline"/>
        <sz val="10"/>
        <color auto="1"/>
        <name val="Calibri"/>
        <family val="2"/>
        <scheme val="minor"/>
      </font>
      <fill>
        <patternFill patternType="none">
          <fgColor indexed="64"/>
          <bgColor auto="1"/>
        </patternFill>
      </fill>
      <alignment vertical="bottom" textRotation="0" wrapText="1" indent="0" justifyLastLine="0" shrinkToFit="0" readingOrder="0"/>
      <protection locked="0" hidden="0"/>
    </dxf>
    <dxf>
      <font>
        <strike val="0"/>
        <outline val="0"/>
        <shadow val="0"/>
        <u val="none"/>
        <vertAlign val="baseline"/>
        <sz val="10"/>
        <color auto="1"/>
        <name val="Calibri"/>
        <family val="2"/>
        <scheme val="minor"/>
      </font>
      <fill>
        <patternFill patternType="none">
          <fgColor indexed="64"/>
          <bgColor auto="1"/>
        </patternFill>
      </fill>
      <alignment vertical="bottom" textRotation="0" wrapText="1" indent="0" justifyLastLine="0" shrinkToFit="0" readingOrder="0"/>
      <protection locked="0" hidden="0"/>
    </dxf>
    <dxf>
      <font>
        <strike val="0"/>
        <outline val="0"/>
        <shadow val="0"/>
        <u val="none"/>
        <vertAlign val="baseline"/>
        <sz val="10"/>
        <color auto="1"/>
        <name val="Calibri"/>
        <family val="2"/>
        <scheme val="minor"/>
      </font>
      <fill>
        <patternFill patternType="none">
          <fgColor indexed="64"/>
          <bgColor auto="1"/>
        </patternFill>
      </fill>
      <alignment vertical="bottom" textRotation="0" wrapText="1" indent="0" justifyLastLine="0" shrinkToFit="0" readingOrder="0"/>
      <protection locked="0" hidden="0"/>
    </dxf>
    <dxf>
      <font>
        <strike val="0"/>
        <outline val="0"/>
        <shadow val="0"/>
        <u val="none"/>
        <vertAlign val="baseline"/>
        <sz val="10"/>
        <color auto="1"/>
        <name val="Calibri"/>
        <family val="2"/>
        <scheme val="minor"/>
      </font>
      <fill>
        <patternFill patternType="none">
          <fgColor indexed="64"/>
          <bgColor auto="1"/>
        </patternFill>
      </fill>
      <alignment vertical="bottom" textRotation="0" wrapText="1" indent="0" justifyLastLine="0" shrinkToFit="0" readingOrder="0"/>
      <protection locked="0" hidden="0"/>
    </dxf>
    <dxf>
      <font>
        <strike val="0"/>
        <outline val="0"/>
        <shadow val="0"/>
        <u val="none"/>
        <vertAlign val="baseline"/>
        <sz val="10"/>
        <color auto="1"/>
        <name val="Calibri"/>
        <family val="2"/>
        <scheme val="minor"/>
      </font>
      <fill>
        <patternFill patternType="none">
          <fgColor indexed="64"/>
          <bgColor auto="1"/>
        </patternFill>
      </fill>
      <alignment horizontal="center" vertical="bottom" textRotation="0" wrapText="1" indent="0" justifyLastLine="0" shrinkToFit="0" readingOrder="0"/>
      <protection locked="0" hidden="0"/>
    </dxf>
    <dxf>
      <font>
        <strike val="0"/>
        <outline val="0"/>
        <shadow val="0"/>
        <u val="none"/>
        <vertAlign val="baseline"/>
        <sz val="10"/>
        <color auto="1"/>
        <name val="Calibri"/>
        <family val="2"/>
        <scheme val="minor"/>
      </font>
      <fill>
        <patternFill patternType="none">
          <fgColor indexed="64"/>
          <bgColor auto="1"/>
        </patternFill>
      </fill>
      <alignment vertical="bottom" textRotation="0" wrapText="1" indent="0" justifyLastLine="0" shrinkToFit="0" readingOrder="0"/>
      <protection locked="0" hidden="0"/>
    </dxf>
    <dxf>
      <font>
        <strike val="0"/>
        <outline val="0"/>
        <shadow val="0"/>
        <u val="none"/>
        <vertAlign val="baseline"/>
        <sz val="10"/>
        <color auto="1"/>
        <name val="Calibri"/>
        <family val="2"/>
        <scheme val="minor"/>
      </font>
      <fill>
        <patternFill patternType="none">
          <fgColor indexed="64"/>
          <bgColor auto="1"/>
        </patternFill>
      </fill>
      <alignment vertical="bottom" textRotation="0" wrapText="1" indent="0" justifyLastLine="0" shrinkToFit="0" readingOrder="0"/>
      <protection locked="0" hidden="0"/>
    </dxf>
    <dxf>
      <font>
        <strike val="0"/>
        <outline val="0"/>
        <shadow val="0"/>
        <u val="none"/>
        <vertAlign val="baseline"/>
        <sz val="10"/>
        <color auto="1"/>
        <name val="Calibri"/>
        <family val="2"/>
        <scheme val="minor"/>
      </font>
      <fill>
        <patternFill patternType="none">
          <fgColor indexed="64"/>
          <bgColor auto="1"/>
        </patternFill>
      </fill>
      <alignment vertical="bottom" textRotation="0" wrapText="1" indent="0" justifyLastLine="0" shrinkToFit="0" readingOrder="0"/>
      <protection locked="0" hidden="0"/>
    </dxf>
    <dxf>
      <font>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protection locked="0" hidden="0"/>
    </dxf>
    <dxf>
      <font>
        <strike val="0"/>
        <outline val="0"/>
        <shadow val="0"/>
        <u val="none"/>
        <vertAlign val="baseline"/>
        <sz val="10"/>
        <color auto="1"/>
        <name val="Calibri"/>
        <family val="2"/>
        <scheme val="minor"/>
      </font>
      <fill>
        <patternFill patternType="none">
          <fgColor indexed="64"/>
          <bgColor auto="1"/>
        </patternFill>
      </fill>
      <alignment vertical="bottom" textRotation="0" wrapText="1" indent="0" justifyLastLine="0" shrinkToFit="0" readingOrder="0"/>
      <protection locked="1" hidden="1"/>
    </dxf>
    <dxf>
      <font>
        <strike val="0"/>
        <outline val="0"/>
        <shadow val="0"/>
        <u val="none"/>
        <vertAlign val="baseline"/>
        <sz val="10"/>
        <color auto="1"/>
        <name val="Calibri"/>
        <family val="2"/>
        <scheme val="minor"/>
      </font>
      <fill>
        <patternFill patternType="none">
          <fgColor indexed="64"/>
          <bgColor auto="1"/>
        </patternFill>
      </fill>
      <alignment vertical="bottom" textRotation="0" wrapText="1" indent="0" justifyLastLine="0" shrinkToFit="0" readingOrder="0"/>
      <protection locked="1" hidden="1"/>
    </dxf>
    <dxf>
      <font>
        <strike val="0"/>
        <outline val="0"/>
        <shadow val="0"/>
        <u val="none"/>
        <vertAlign val="baseline"/>
        <sz val="10"/>
        <color auto="1"/>
        <name val="Calibri"/>
        <family val="2"/>
        <scheme val="minor"/>
      </font>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auto="1"/>
        <name val="Calibri"/>
        <family val="2"/>
        <scheme val="minor"/>
      </font>
      <fill>
        <patternFill patternType="none">
          <fgColor indexed="64"/>
          <bgColor auto="1"/>
        </patternFill>
      </fill>
      <alignment horizontal="center" vertical="center" textRotation="0" wrapText="1" indent="0" justifyLastLine="0" shrinkToFit="0" readingOrder="0"/>
      <protection locked="0" hidden="0"/>
    </dxf>
    <dxf>
      <font>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protection locked="1" hidden="1"/>
    </dxf>
    <dxf>
      <font>
        <strike val="0"/>
        <outline val="0"/>
        <shadow val="0"/>
        <u val="none"/>
        <vertAlign val="baseline"/>
        <sz val="10"/>
        <color auto="1"/>
        <name val="Calibri"/>
        <family val="2"/>
        <scheme val="minor"/>
      </font>
      <fill>
        <patternFill patternType="none">
          <fgColor indexed="64"/>
          <bgColor auto="1"/>
        </patternFill>
      </fill>
      <alignment horizontal="general" vertical="top" textRotation="0" wrapText="1" indent="0" justifyLastLine="0" shrinkToFit="0" readingOrder="0"/>
      <protection locked="1" hidden="1"/>
    </dxf>
    <dxf>
      <font>
        <strike val="0"/>
        <outline val="0"/>
        <shadow val="0"/>
        <u val="none"/>
        <vertAlign val="baseline"/>
        <sz val="10"/>
        <color auto="1"/>
        <name val="Calibri"/>
        <family val="2"/>
        <scheme val="minor"/>
      </font>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protection locked="1" hidden="1"/>
    </dxf>
    <dxf>
      <font>
        <strike val="0"/>
        <outline val="0"/>
        <shadow val="0"/>
        <u val="none"/>
        <vertAlign val="baseline"/>
        <sz val="10"/>
        <color auto="1"/>
        <name val="Calibri"/>
        <family val="2"/>
        <scheme val="minor"/>
      </font>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Calibri"/>
        <family val="2"/>
        <scheme val="minor"/>
      </font>
      <fill>
        <patternFill patternType="none">
          <fgColor indexed="64"/>
          <bgColor auto="1"/>
        </patternFill>
      </fill>
      <alignment vertical="bottom" textRotation="0" wrapText="1" indent="0" justifyLastLine="0" shrinkToFit="0" readingOrder="0"/>
      <protection locked="0" hidden="0"/>
    </dxf>
    <dxf>
      <font>
        <strike val="0"/>
        <outline val="0"/>
        <shadow val="0"/>
        <u val="none"/>
        <vertAlign val="baseline"/>
        <sz val="10"/>
        <color auto="1"/>
        <name val="Calibri"/>
        <family val="2"/>
        <scheme val="minor"/>
      </font>
      <fill>
        <patternFill patternType="none">
          <fgColor indexed="64"/>
          <bgColor auto="1"/>
        </patternFill>
      </fill>
      <alignment vertical="bottom" textRotation="0" wrapText="1" indent="0" justifyLastLine="0" shrinkToFit="0" readingOrder="0"/>
      <protection locked="0" hidden="0"/>
    </dxf>
    <dxf>
      <border>
        <bottom style="medium">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9" tint="0.59999389629810485"/>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protection locked="0" hidden="0"/>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dxf>
    <dxf>
      <font>
        <color rgb="FF9C0006"/>
      </font>
      <fill>
        <patternFill>
          <bgColor rgb="FFFFC7CE"/>
        </patternFill>
      </fill>
    </dxf>
    <dxf>
      <font>
        <color theme="0"/>
      </font>
      <fill>
        <patternFill>
          <bgColor theme="0"/>
        </patternFill>
      </fill>
    </dxf>
    <dxf>
      <font>
        <b/>
        <i val="0"/>
      </font>
      <fill>
        <patternFill>
          <bgColor rgb="FFFEDD00"/>
        </patternFill>
      </fill>
    </dxf>
    <dxf>
      <font>
        <b/>
        <i val="0"/>
        <color theme="4" tint="-0.24994659260841701"/>
      </font>
      <fill>
        <gradientFill degree="90">
          <stop position="0">
            <color theme="4" tint="0.80001220740379042"/>
          </stop>
          <stop position="0.5">
            <color theme="4" tint="0.59999389629810485"/>
          </stop>
          <stop position="1">
            <color theme="4" tint="0.80001220740379042"/>
          </stop>
        </gradientFill>
      </fill>
    </dxf>
    <dxf>
      <font>
        <b val="0"/>
        <i val="0"/>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FEDD00"/>
      </font>
      <fill>
        <patternFill>
          <bgColor rgb="FFFEDD00"/>
        </patternFill>
      </fill>
    </dxf>
    <dxf>
      <font>
        <b/>
        <i val="0"/>
        <color rgb="FFFF0000"/>
      </font>
      <fill>
        <patternFill>
          <bgColor theme="5" tint="0.59996337778862885"/>
        </patternFill>
      </fill>
    </dxf>
    <dxf>
      <font>
        <b/>
        <i val="0"/>
        <color rgb="FFFF0000"/>
      </font>
      <fill>
        <patternFill>
          <bgColor theme="5" tint="0.59996337778862885"/>
        </patternFill>
      </fill>
    </dxf>
    <dxf>
      <font>
        <b/>
        <i val="0"/>
        <color rgb="FFFF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EDD00"/>
      </font>
      <fill>
        <patternFill>
          <bgColor rgb="FFFEDD00"/>
        </patternFill>
      </fill>
    </dxf>
    <dxf>
      <font>
        <b/>
        <i val="0"/>
        <strike val="0"/>
        <condense val="0"/>
        <extend val="0"/>
        <outline val="0"/>
        <shadow val="0"/>
        <u val="none"/>
        <vertAlign val="baseline"/>
        <sz val="12"/>
        <color auto="1"/>
        <name val="Calibri"/>
        <family val="2"/>
        <scheme val="minor"/>
      </font>
      <numFmt numFmtId="164" formatCode="[$-F800]dddd\,\ mmmm\ dd\,\ yyyy"/>
      <fill>
        <patternFill patternType="solid">
          <fgColor indexed="64"/>
          <bgColor theme="0"/>
        </patternFill>
      </fill>
      <alignment horizontal="center" vertical="center" textRotation="0" wrapText="1" indent="0" justifyLastLine="0" shrinkToFit="0" readingOrder="0"/>
      <border diagonalUp="0" diagonalDown="0">
        <left/>
        <right/>
        <top style="thin">
          <color theme="0" tint="-0.14996795556505021"/>
        </top>
        <bottom/>
        <vertical/>
        <horizontal/>
      </border>
      <protection locked="0" hidden="0"/>
    </dxf>
    <dxf>
      <font>
        <b/>
        <i val="0"/>
        <strike val="0"/>
        <condense val="0"/>
        <extend val="0"/>
        <outline val="0"/>
        <shadow val="0"/>
        <u val="none"/>
        <vertAlign val="baseline"/>
        <sz val="12"/>
        <color auto="1"/>
        <name val="Calibri"/>
        <family val="2"/>
        <scheme val="minor"/>
      </font>
      <numFmt numFmtId="164" formatCode="[$-F800]dddd\,\ mmmm\ dd\,\ yyyy"/>
      <fill>
        <patternFill patternType="solid">
          <fgColor indexed="64"/>
          <bgColor theme="0"/>
        </patternFill>
      </fill>
      <alignment horizontal="center" vertical="center" textRotation="0" wrapText="1" indent="0" justifyLastLine="0" shrinkToFit="0" readingOrder="0"/>
      <border diagonalUp="0" diagonalDown="0">
        <left style="thin">
          <color theme="0" tint="-0.14996795556505021"/>
        </left>
        <right style="medium">
          <color indexed="64"/>
        </right>
        <top style="thin">
          <color theme="0" tint="-0.14996795556505021"/>
        </top>
        <bottom/>
        <vertical/>
        <horizontal/>
      </border>
      <protection locked="1" hidden="1"/>
    </dxf>
    <dxf>
      <font>
        <b/>
        <i val="0"/>
        <strike val="0"/>
        <condense val="0"/>
        <extend val="0"/>
        <outline val="0"/>
        <shadow val="0"/>
        <u val="none"/>
        <vertAlign val="baseline"/>
        <sz val="12"/>
        <color auto="1"/>
        <name val="Calibri"/>
        <family val="2"/>
        <scheme val="minor"/>
      </font>
      <numFmt numFmtId="164" formatCode="[$-F800]dddd\,\ mmmm\ dd\,\ yyyy"/>
      <fill>
        <patternFill patternType="solid">
          <fgColor indexed="64"/>
          <bgColor theme="0"/>
        </patternFill>
      </fill>
      <alignment horizontal="center" vertical="center"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vertical/>
        <horizontal/>
      </border>
      <protection locked="1" hidden="1"/>
    </dxf>
    <dxf>
      <border outline="0">
        <left style="medium">
          <color indexed="64"/>
        </left>
        <right style="medium">
          <color indexed="64"/>
        </right>
        <top style="medium">
          <color indexed="64"/>
        </top>
        <bottom style="medium">
          <color indexed="64"/>
        </bottom>
      </border>
    </dxf>
    <dxf>
      <protection locked="0" hidden="0"/>
    </dxf>
    <dxf>
      <font>
        <b/>
        <i val="0"/>
        <strike val="0"/>
        <condense val="0"/>
        <extend val="0"/>
        <outline val="0"/>
        <shadow val="0"/>
        <u val="none"/>
        <vertAlign val="baseline"/>
        <sz val="9"/>
        <color auto="1"/>
        <name val="PP Eiko Italic Black)"/>
        <scheme val="none"/>
      </font>
      <fill>
        <patternFill patternType="solid">
          <fgColor theme="0"/>
          <bgColor rgb="FFFEDD00"/>
        </patternFill>
      </fill>
      <alignment horizontal="center" vertical="center" textRotation="0" wrapText="1" indent="0" justifyLastLine="0" shrinkToFit="0" readingOrder="0"/>
      <border diagonalUp="0" diagonalDown="0">
        <left style="medium">
          <color indexed="64"/>
        </left>
        <right style="medium">
          <color indexed="64"/>
        </right>
        <top/>
        <bottom/>
      </border>
      <protection locked="0" hidden="0"/>
    </dxf>
    <dxf>
      <font>
        <b val="0"/>
        <i val="0"/>
        <strike val="0"/>
        <condense val="0"/>
        <extend val="0"/>
        <outline val="0"/>
        <shadow val="0"/>
        <u/>
        <vertAlign val="baseline"/>
        <sz val="11"/>
        <color auto="1"/>
        <name val="Calibri"/>
        <family val="2"/>
        <scheme val="minor"/>
      </font>
      <fill>
        <patternFill patternType="solid">
          <fgColor indexed="64"/>
          <bgColor theme="0"/>
        </patternFill>
      </fill>
      <alignment horizontal="general" vertical="center" textRotation="0" wrapText="0" indent="0" justifyLastLine="0" shrinkToFit="0" readingOrder="0"/>
      <border diagonalUp="0" diagonalDown="0" outline="0">
        <left style="thin">
          <color theme="6"/>
        </left>
        <right/>
        <top style="thin">
          <color theme="6"/>
        </top>
        <bottom/>
      </border>
      <protection locked="0" hidden="0"/>
    </dxf>
    <dxf>
      <font>
        <b val="0"/>
        <i val="0"/>
        <strike val="0"/>
        <condense val="0"/>
        <extend val="0"/>
        <outline val="0"/>
        <shadow val="0"/>
        <u/>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theme="6"/>
        </left>
        <right style="thin">
          <color theme="6"/>
        </right>
        <top style="thin">
          <color theme="6"/>
        </top>
        <bottom/>
      </border>
      <protection locked="0" hidden="0"/>
    </dxf>
    <dxf>
      <font>
        <b val="0"/>
        <i val="0"/>
        <strike val="0"/>
        <condense val="0"/>
        <extend val="0"/>
        <outline val="0"/>
        <shadow val="0"/>
        <u/>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theme="6"/>
        </left>
        <right style="thin">
          <color theme="6"/>
        </right>
        <top style="thin">
          <color theme="6"/>
        </top>
        <bottom/>
      </border>
      <protection locked="0" hidden="0"/>
    </dxf>
    <dxf>
      <font>
        <b val="0"/>
        <i val="0"/>
        <strike val="0"/>
        <condense val="0"/>
        <extend val="0"/>
        <outline val="0"/>
        <shadow val="0"/>
        <u/>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theme="6"/>
        </left>
        <right style="thin">
          <color theme="6"/>
        </right>
        <top style="thin">
          <color theme="6"/>
        </top>
        <bottom/>
      </border>
      <protection locked="0" hidden="0"/>
    </dxf>
    <dxf>
      <font>
        <b val="0"/>
        <i val="0"/>
        <strike val="0"/>
        <condense val="0"/>
        <extend val="0"/>
        <outline val="0"/>
        <shadow val="0"/>
        <u/>
        <vertAlign val="baseline"/>
        <sz val="11"/>
        <color auto="1"/>
        <name val="Calibri"/>
        <family val="2"/>
        <scheme val="minor"/>
      </font>
      <fill>
        <patternFill patternType="solid">
          <fgColor indexed="64"/>
          <bgColor theme="0"/>
        </patternFill>
      </fill>
      <alignment horizontal="general" vertical="center" textRotation="0" wrapText="0" indent="0" justifyLastLine="0" shrinkToFit="0" readingOrder="0"/>
      <border diagonalUp="0" diagonalDown="0" outline="0">
        <left style="thin">
          <color theme="6"/>
        </left>
        <right style="thin">
          <color theme="6"/>
        </right>
        <top style="thin">
          <color theme="6"/>
        </top>
        <bottom/>
      </border>
      <protection locked="0" hidden="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general" vertical="center" textRotation="0" wrapText="0" indent="0" justifyLastLine="0" shrinkToFit="0" readingOrder="0"/>
      <border diagonalUp="0" diagonalDown="0">
        <left style="thin">
          <color theme="6"/>
        </left>
        <right style="thin">
          <color theme="6"/>
        </right>
        <top style="thin">
          <color theme="6"/>
        </top>
        <bottom/>
        <vertical/>
        <horizontal/>
      </border>
      <protection locked="0" hidden="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theme="6"/>
        </left>
        <right style="medium">
          <color indexed="64"/>
        </right>
        <top style="thin">
          <color theme="6"/>
        </top>
        <bottom/>
        <vertical/>
        <horizontal/>
      </border>
      <protection locked="0" hidden="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theme="6"/>
        </left>
        <right style="thin">
          <color theme="6"/>
        </right>
        <top style="thin">
          <color theme="6"/>
        </top>
        <bottom/>
        <vertical/>
        <horizontal/>
      </border>
      <protection locked="0" hidden="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theme="6"/>
        </left>
        <right style="thin">
          <color theme="6"/>
        </right>
        <top style="thin">
          <color theme="6"/>
        </top>
        <bottom/>
        <vertical/>
        <horizontal/>
      </border>
      <protection locked="0" hidden="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theme="6"/>
        </left>
        <right style="thin">
          <color theme="6"/>
        </right>
        <top style="thin">
          <color theme="6"/>
        </top>
        <bottom/>
        <vertical/>
        <horizontal/>
      </border>
      <protection locked="0" hidden="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theme="6"/>
        </left>
        <right style="thin">
          <color theme="6"/>
        </right>
        <top style="thin">
          <color theme="6"/>
        </top>
        <bottom/>
        <vertical/>
        <horizontal/>
      </border>
      <protection locked="0" hidden="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theme="6"/>
        </left>
        <right style="thin">
          <color theme="6"/>
        </right>
        <top style="thin">
          <color theme="6"/>
        </top>
        <bottom/>
        <vertical/>
        <horizontal/>
      </border>
      <protection locked="0" hidden="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theme="6"/>
        </left>
        <right style="thin">
          <color theme="6"/>
        </right>
        <top style="thin">
          <color theme="6"/>
        </top>
        <bottom/>
        <vertical/>
        <horizontal/>
      </border>
      <protection locked="0" hidden="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theme="6"/>
        </left>
        <right style="thin">
          <color theme="6"/>
        </right>
        <top style="thin">
          <color theme="6"/>
        </top>
        <bottom/>
        <vertical/>
        <horizontal/>
      </border>
      <protection locked="0" hidden="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theme="6"/>
        </left>
        <right style="thin">
          <color theme="6"/>
        </right>
        <top style="thin">
          <color theme="6"/>
        </top>
        <bottom/>
        <vertical/>
        <horizontal/>
      </border>
      <protection locked="0" hidden="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theme="6"/>
        </left>
        <right style="thin">
          <color theme="6"/>
        </right>
        <top style="thin">
          <color theme="6"/>
        </top>
        <bottom/>
        <vertical/>
        <horizontal/>
      </border>
      <protection locked="0" hidden="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theme="6"/>
        </left>
        <right style="thin">
          <color theme="6"/>
        </right>
        <top style="thin">
          <color theme="6"/>
        </top>
        <bottom/>
        <vertical/>
        <horizontal/>
      </border>
      <protection locked="0" hidden="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theme="6"/>
        </left>
        <right style="thin">
          <color theme="6"/>
        </right>
        <top style="thin">
          <color theme="6"/>
        </top>
        <bottom/>
        <vertical/>
        <horizontal/>
      </border>
      <protection locked="0" hidden="0"/>
    </dxf>
    <dxf>
      <font>
        <b val="0"/>
        <i val="0"/>
        <strike val="0"/>
        <condense val="0"/>
        <extend val="0"/>
        <outline val="0"/>
        <shadow val="0"/>
        <u/>
        <vertAlign val="baseline"/>
        <sz val="11"/>
        <color auto="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theme="6"/>
        </left>
        <right style="thin">
          <color theme="6"/>
        </right>
        <top style="thin">
          <color theme="6"/>
        </top>
        <bottom/>
        <vertical/>
        <horizontal/>
      </border>
      <protection locked="0" hidden="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theme="6"/>
        </left>
        <right style="thin">
          <color theme="6"/>
        </right>
        <top style="thin">
          <color theme="6"/>
        </top>
        <bottom/>
        <vertical/>
        <horizontal/>
      </border>
      <protection locked="0" hidden="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general" vertical="center" textRotation="0" wrapText="0" indent="0" justifyLastLine="0" shrinkToFit="0" readingOrder="0"/>
      <border diagonalUp="0" diagonalDown="0">
        <left style="thin">
          <color theme="6"/>
        </left>
        <right style="thin">
          <color theme="6"/>
        </right>
        <top style="thin">
          <color theme="6"/>
        </top>
        <bottom/>
        <vertical/>
        <horizontal/>
      </border>
      <protection locked="0" hidden="0"/>
    </dxf>
    <dxf>
      <font>
        <b val="0"/>
        <i val="0"/>
        <strike val="0"/>
        <condense val="0"/>
        <extend val="0"/>
        <outline val="0"/>
        <shadow val="0"/>
        <u/>
        <vertAlign val="baseline"/>
        <sz val="11"/>
        <color auto="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theme="6"/>
        </left>
        <right style="thin">
          <color theme="6"/>
        </right>
        <top style="thin">
          <color theme="6"/>
        </top>
        <bottom/>
        <vertical/>
        <horizontal/>
      </border>
      <protection locked="0" hidden="0"/>
    </dxf>
    <dxf>
      <font>
        <b/>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theme="6"/>
        </left>
        <right style="thin">
          <color theme="6"/>
        </right>
        <top style="thin">
          <color theme="6"/>
        </top>
        <bottom/>
        <vertical/>
        <horizontal/>
      </border>
      <protection locked="0" hidden="0"/>
    </dxf>
    <dxf>
      <font>
        <b/>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theme="6"/>
        </left>
        <right style="thin">
          <color theme="6"/>
        </right>
        <top style="thin">
          <color theme="6"/>
        </top>
        <bottom/>
        <vertical/>
        <horizontal/>
      </border>
      <protection locked="0" hidden="0"/>
    </dxf>
    <dxf>
      <font>
        <b/>
        <i val="0"/>
        <strike val="0"/>
        <condense val="0"/>
        <extend val="0"/>
        <outline val="0"/>
        <shadow val="0"/>
        <u val="none"/>
        <vertAlign val="baseline"/>
        <sz val="11"/>
        <color auto="1"/>
        <name val="Calibri"/>
        <family val="2"/>
        <scheme val="minor"/>
      </font>
      <numFmt numFmtId="1" formatCode="0"/>
      <fill>
        <patternFill patternType="solid">
          <fgColor indexed="64"/>
          <bgColor theme="0"/>
        </patternFill>
      </fill>
      <alignment horizontal="center" vertical="center" textRotation="0" wrapText="0" indent="0" justifyLastLine="0" shrinkToFit="0" readingOrder="0"/>
      <border diagonalUp="0" diagonalDown="0">
        <left style="thin">
          <color theme="6"/>
        </left>
        <right style="thin">
          <color theme="6"/>
        </right>
        <top style="thin">
          <color theme="6"/>
        </top>
        <bottom/>
        <vertical/>
        <horizontal/>
      </border>
      <protection locked="0" hidden="0"/>
    </dxf>
    <dxf>
      <font>
        <b val="0"/>
        <i val="0"/>
        <strike val="0"/>
        <condense val="0"/>
        <extend val="0"/>
        <outline val="0"/>
        <shadow val="0"/>
        <u val="none"/>
        <vertAlign val="baseline"/>
        <sz val="11"/>
        <color auto="1"/>
        <name val="Calibri"/>
        <family val="2"/>
        <scheme val="minor"/>
      </font>
      <numFmt numFmtId="1" formatCode="0"/>
      <fill>
        <patternFill patternType="solid">
          <fgColor indexed="64"/>
          <bgColor theme="0"/>
        </patternFill>
      </fill>
      <alignment horizontal="center" vertical="center" textRotation="0" wrapText="0" indent="0" justifyLastLine="0" shrinkToFit="0" readingOrder="0"/>
      <border diagonalUp="0" diagonalDown="0">
        <left style="thin">
          <color theme="6"/>
        </left>
        <right style="thin">
          <color theme="6"/>
        </right>
        <top style="thin">
          <color theme="6"/>
        </top>
        <bottom/>
        <vertical/>
        <horizontal/>
      </border>
      <protection locked="0" hidden="0"/>
    </dxf>
    <dxf>
      <font>
        <b val="0"/>
        <i val="0"/>
        <strike val="0"/>
        <condense val="0"/>
        <extend val="0"/>
        <outline val="0"/>
        <shadow val="0"/>
        <u val="none"/>
        <vertAlign val="baseline"/>
        <sz val="11"/>
        <color auto="1"/>
        <name val="Calibri"/>
        <family val="2"/>
        <scheme val="minor"/>
      </font>
      <numFmt numFmtId="19" formatCode="m/d/yyyy"/>
      <fill>
        <patternFill patternType="solid">
          <fgColor indexed="64"/>
          <bgColor theme="0"/>
        </patternFill>
      </fill>
      <alignment horizontal="center" vertical="center" textRotation="0" wrapText="0" indent="0" justifyLastLine="0" shrinkToFit="0" readingOrder="0"/>
      <border diagonalUp="0" diagonalDown="0">
        <left/>
        <right style="thin">
          <color theme="6"/>
        </right>
        <top style="thin">
          <color theme="6"/>
        </top>
        <bottom/>
        <vertical/>
        <horizontal/>
      </border>
      <protection locked="0" hidden="0"/>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ertAlign val="baseline"/>
        <sz val="11"/>
        <color auto="1"/>
        <name val="Calibri"/>
        <family val="2"/>
        <scheme val="minor"/>
      </font>
      <fill>
        <patternFill patternType="solid">
          <fgColor indexed="64"/>
          <bgColor theme="0"/>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1"/>
        <color auto="1"/>
        <name val="Calibri"/>
        <family val="2"/>
        <scheme val="minor"/>
      </font>
      <fill>
        <patternFill patternType="lightTrellis">
          <fgColor theme="0"/>
          <bgColor rgb="FFF9CF00"/>
        </patternFill>
      </fill>
      <alignment horizontal="center" vertical="center" textRotation="0" wrapText="1" indent="0" justifyLastLine="0" shrinkToFit="0" readingOrder="0"/>
      <border diagonalUp="0" diagonalDown="0">
        <left style="thin">
          <color theme="6"/>
        </left>
        <right style="thin">
          <color theme="6"/>
        </right>
        <top/>
        <bottom/>
      </border>
      <protection locked="0" hidden="0"/>
    </dxf>
    <dxf>
      <fill>
        <patternFill>
          <bgColor rgb="FFFFFBE1"/>
        </patternFill>
      </fill>
      <border>
        <left style="thin">
          <color auto="1"/>
        </left>
        <right style="thin">
          <color auto="1"/>
        </right>
        <top style="thin">
          <color auto="1"/>
        </top>
        <bottom style="thin">
          <color auto="1"/>
        </bottom>
        <vertical/>
        <horizontal/>
      </border>
    </dxf>
    <dxf>
      <font>
        <b/>
        <i val="0"/>
        <color theme="0"/>
      </font>
      <fill>
        <patternFill>
          <bgColor theme="0"/>
        </patternFill>
      </fill>
      <border>
        <left/>
        <right/>
        <top/>
        <bottom/>
      </border>
    </dxf>
    <dxf>
      <fill>
        <patternFill>
          <bgColor rgb="FFD9D9D9"/>
        </patternFill>
      </fill>
    </dxf>
    <dxf>
      <font>
        <b/>
        <i val="0"/>
        <color theme="0"/>
      </font>
      <fill>
        <patternFill patternType="lightTrellis">
          <bgColor theme="0" tint="-0.34998626667073579"/>
        </patternFill>
      </fill>
    </dxf>
    <dxf>
      <font>
        <b/>
        <i val="0"/>
        <color rgb="FFFF0000"/>
      </font>
      <fill>
        <patternFill patternType="solid">
          <bgColor theme="7" tint="0.39994506668294322"/>
        </patternFill>
      </fill>
    </dxf>
    <dxf>
      <font>
        <b/>
        <i val="0"/>
        <color auto="1"/>
      </font>
      <fill>
        <patternFill>
          <bgColor rgb="FFFF8181"/>
        </patternFill>
      </fill>
    </dxf>
    <dxf>
      <font>
        <b/>
        <i val="0"/>
        <color theme="0"/>
      </font>
      <fill>
        <patternFill patternType="lightTrellis">
          <bgColor theme="0" tint="-0.34998626667073579"/>
        </patternFill>
      </fill>
    </dxf>
    <dxf>
      <font>
        <color auto="1"/>
      </font>
      <fill>
        <patternFill>
          <bgColor rgb="FFD9D9D9"/>
        </patternFill>
      </fill>
    </dxf>
    <dxf>
      <font>
        <b/>
        <i val="0"/>
        <color theme="0"/>
      </font>
      <fill>
        <patternFill patternType="lightTrellis">
          <bgColor theme="0" tint="-0.34998626667073579"/>
        </patternFill>
      </fill>
    </dxf>
    <dxf>
      <font>
        <b/>
        <i val="0"/>
        <color theme="0"/>
      </font>
      <fill>
        <patternFill patternType="lightTrellis">
          <bgColor theme="0" tint="-0.34998626667073579"/>
        </patternFill>
      </fill>
    </dxf>
    <dxf>
      <font>
        <b/>
        <i val="0"/>
        <color theme="0"/>
      </font>
      <fill>
        <patternFill patternType="lightTrellis">
          <bgColor theme="0" tint="-0.34998626667073579"/>
        </patternFill>
      </fill>
    </dxf>
    <dxf>
      <border>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font>
        <sz val="10"/>
      </font>
      <border>
        <left style="thin">
          <color auto="1"/>
        </left>
        <right style="thin">
          <color auto="1"/>
        </right>
        <top style="thin">
          <color auto="1"/>
        </top>
        <bottom style="thin">
          <color auto="1"/>
        </bottom>
      </border>
    </dxf>
  </dxfs>
  <tableStyles count="3" defaultTableStyle="TableStyleMedium2" defaultPivotStyle="PivotStyleLight16">
    <tableStyle name="Invisible" pivot="0" table="0" count="0" xr9:uid="{B12F8DFD-EE82-47F0-B678-326F5684E9A8}"/>
    <tableStyle name="Slicer Style 1" pivot="0" table="0" count="5" xr9:uid="{15CED628-C736-49C3-89E7-989EEAEBA697}">
      <tableStyleElement type="wholeTable" dxfId="1024"/>
    </tableStyle>
    <tableStyle name="Table Style 1" pivot="0" count="1" xr9:uid="{E7D21723-6800-406F-B1BF-D36540E17585}">
      <tableStyleElement type="wholeTable" dxfId="1023"/>
    </tableStyle>
  </tableStyles>
  <colors>
    <mruColors>
      <color rgb="FFFF8181"/>
      <color rgb="FFFF5757"/>
      <color rgb="FF545454"/>
      <color rgb="FF626262"/>
      <color rgb="FF2C2C2C"/>
      <color rgb="FF96D8FC"/>
      <color rgb="FFFEDD00"/>
      <color rgb="FF515151"/>
      <color rgb="FFFFEB57"/>
      <color rgb="FFFFFBE1"/>
    </mruColors>
  </colors>
  <extLst>
    <ext xmlns:x14="http://schemas.microsoft.com/office/spreadsheetml/2009/9/main" uri="{46F421CA-312F-682f-3DD2-61675219B42D}">
      <x14:dxfs count="4">
        <dxf>
          <font>
            <b/>
            <i val="0"/>
            <sz val="12"/>
          </font>
          <fill>
            <patternFill>
              <bgColor rgb="FFFFE943"/>
            </patternFill>
          </fill>
          <border>
            <left style="medium">
              <color auto="1"/>
            </left>
            <right style="medium">
              <color auto="1"/>
            </right>
            <top style="medium">
              <color auto="1"/>
            </top>
            <bottom style="medium">
              <color auto="1"/>
            </bottom>
          </border>
        </dxf>
        <dxf>
          <fill>
            <patternFill>
              <bgColor rgb="FFFFF28F"/>
            </patternFill>
          </fill>
        </dxf>
        <dxf>
          <font>
            <sz val="9"/>
            <color theme="2" tint="-0.499984740745262"/>
          </font>
          <border diagonalUp="0" diagonalDown="0">
            <left/>
            <right/>
            <top/>
            <bottom/>
            <vertical/>
            <horizontal/>
          </border>
        </dxf>
        <dxf>
          <font>
            <b/>
            <i val="0"/>
          </font>
          <border diagonalUp="0" diagonalDown="0">
            <left/>
            <right/>
            <top/>
            <bottom/>
            <vertical/>
            <horizontal/>
          </border>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unselectedItemWithNoData" dxfId="2"/>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microsoft.com/office/2007/relationships/slicerCache" Target="slicerCaches/slicerCache2.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6.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5.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4.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3.xml"/><Relationship Id="rId27" Type="http://schemas.openxmlformats.org/officeDocument/2006/relationships/styles" Target="styles.xml"/><Relationship Id="rId30" Type="http://schemas.openxmlformats.org/officeDocument/2006/relationships/calcChain" Target="calcChai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11</xdr:col>
      <xdr:colOff>93382</xdr:colOff>
      <xdr:row>0</xdr:row>
      <xdr:rowOff>50799</xdr:rowOff>
    </xdr:from>
    <xdr:to>
      <xdr:col>12</xdr:col>
      <xdr:colOff>1854667</xdr:colOff>
      <xdr:row>1</xdr:row>
      <xdr:rowOff>0</xdr:rowOff>
    </xdr:to>
    <xdr:pic>
      <xdr:nvPicPr>
        <xdr:cNvPr id="2" name="WesternUnion_HorizontalLockup_Black.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5346082" y="50799"/>
          <a:ext cx="3957115" cy="482601"/>
        </a:xfrm>
        <a:prstGeom prst="rect">
          <a:avLst/>
        </a:prstGeom>
        <a:ln w="12700">
          <a:miter lim="400000"/>
        </a:ln>
      </xdr:spPr>
    </xdr:pic>
    <xdr:clientData/>
  </xdr:twoCellAnchor>
  <xdr:twoCellAnchor>
    <xdr:from>
      <xdr:col>4</xdr:col>
      <xdr:colOff>441325</xdr:colOff>
      <xdr:row>5</xdr:row>
      <xdr:rowOff>158750</xdr:rowOff>
    </xdr:from>
    <xdr:to>
      <xdr:col>4</xdr:col>
      <xdr:colOff>1660525</xdr:colOff>
      <xdr:row>10</xdr:row>
      <xdr:rowOff>60326</xdr:rowOff>
    </xdr:to>
    <xdr:grpSp>
      <xdr:nvGrpSpPr>
        <xdr:cNvPr id="10" name="Group 9">
          <a:extLst>
            <a:ext uri="{FF2B5EF4-FFF2-40B4-BE49-F238E27FC236}">
              <a16:creationId xmlns:a16="http://schemas.microsoft.com/office/drawing/2014/main" id="{00000000-0008-0000-0000-00000A000000}"/>
            </a:ext>
          </a:extLst>
        </xdr:cNvPr>
        <xdr:cNvGrpSpPr/>
      </xdr:nvGrpSpPr>
      <xdr:grpSpPr>
        <a:xfrm>
          <a:off x="5508625" y="2222500"/>
          <a:ext cx="1219200" cy="1289686"/>
          <a:chOff x="4914900" y="2228850"/>
          <a:chExt cx="1219200" cy="1235076"/>
        </a:xfrm>
      </xdr:grpSpPr>
      <xdr:grpSp>
        <xdr:nvGrpSpPr>
          <xdr:cNvPr id="5" name="Group 4">
            <a:extLst>
              <a:ext uri="{FF2B5EF4-FFF2-40B4-BE49-F238E27FC236}">
                <a16:creationId xmlns:a16="http://schemas.microsoft.com/office/drawing/2014/main" id="{00000000-0008-0000-0000-000005000000}"/>
              </a:ext>
            </a:extLst>
          </xdr:cNvPr>
          <xdr:cNvGrpSpPr/>
        </xdr:nvGrpSpPr>
        <xdr:grpSpPr>
          <a:xfrm>
            <a:off x="4914900" y="2228850"/>
            <a:ext cx="1219200" cy="1235076"/>
            <a:chOff x="5715000" y="2600325"/>
            <a:chExt cx="1290320" cy="1244601"/>
          </a:xfrm>
        </xdr:grpSpPr>
        <xdr:pic macro="[0]!copyXLSXfromrecordset">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l="18157" t="20633" r="17468" b="20769"/>
            <a:stretch/>
          </xdr:blipFill>
          <xdr:spPr>
            <a:xfrm>
              <a:off x="5715000" y="2600325"/>
              <a:ext cx="1290320" cy="1244601"/>
            </a:xfrm>
            <a:prstGeom prst="rect">
              <a:avLst/>
            </a:prstGeom>
          </xdr:spPr>
        </xdr:pic>
        <xdr:sp macro="[0]!copyXLSXfromrecordset" textlink="">
          <xdr:nvSpPr>
            <xdr:cNvPr id="3" name="TextBox 2">
              <a:extLst>
                <a:ext uri="{FF2B5EF4-FFF2-40B4-BE49-F238E27FC236}">
                  <a16:creationId xmlns:a16="http://schemas.microsoft.com/office/drawing/2014/main" id="{00000000-0008-0000-0000-000003000000}"/>
                </a:ext>
              </a:extLst>
            </xdr:cNvPr>
            <xdr:cNvSpPr txBox="1"/>
          </xdr:nvSpPr>
          <xdr:spPr>
            <a:xfrm>
              <a:off x="5774812" y="2671862"/>
              <a:ext cx="1150535" cy="6013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(1)</a:t>
              </a:r>
            </a:p>
            <a:p>
              <a:pPr algn="ctr"/>
              <a:r>
                <a:rPr lang="en-US" sz="1100" b="1"/>
                <a:t>Find</a:t>
              </a:r>
              <a:r>
                <a:rPr lang="en-US" sz="1100" b="1" baseline="0"/>
                <a:t> Agent</a:t>
              </a:r>
              <a:endParaRPr lang="en-US" sz="1100" b="1"/>
            </a:p>
          </xdr:txBody>
        </xdr:sp>
      </xdr:grpSp>
      <xdr:sp macro="[0]!copyXLSXfromrecordset" textlink="">
        <xdr:nvSpPr>
          <xdr:cNvPr id="6" name="TextBox 5">
            <a:extLst>
              <a:ext uri="{FF2B5EF4-FFF2-40B4-BE49-F238E27FC236}">
                <a16:creationId xmlns:a16="http://schemas.microsoft.com/office/drawing/2014/main" id="{00000000-0008-0000-0000-000006000000}"/>
              </a:ext>
            </a:extLst>
          </xdr:cNvPr>
          <xdr:cNvSpPr txBox="1"/>
        </xdr:nvSpPr>
        <xdr:spPr>
          <a:xfrm>
            <a:off x="5057775" y="3067050"/>
            <a:ext cx="882000" cy="16700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Information</a:t>
            </a:r>
          </a:p>
        </xdr:txBody>
      </xdr:sp>
    </xdr:grpSp>
    <xdr:clientData/>
  </xdr:twoCellAnchor>
  <xdr:twoCellAnchor>
    <xdr:from>
      <xdr:col>5</xdr:col>
      <xdr:colOff>123825</xdr:colOff>
      <xdr:row>5</xdr:row>
      <xdr:rowOff>180975</xdr:rowOff>
    </xdr:from>
    <xdr:to>
      <xdr:col>5</xdr:col>
      <xdr:colOff>1343025</xdr:colOff>
      <xdr:row>10</xdr:row>
      <xdr:rowOff>82551</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7746365" y="2242185"/>
          <a:ext cx="1219200" cy="1296036"/>
          <a:chOff x="4914900" y="2228850"/>
          <a:chExt cx="1219200" cy="1235076"/>
        </a:xfrm>
      </xdr:grpSpPr>
      <xdr:grpSp>
        <xdr:nvGrpSpPr>
          <xdr:cNvPr id="12" name="Group 11">
            <a:extLst>
              <a:ext uri="{FF2B5EF4-FFF2-40B4-BE49-F238E27FC236}">
                <a16:creationId xmlns:a16="http://schemas.microsoft.com/office/drawing/2014/main" id="{00000000-0008-0000-0000-00000C000000}"/>
              </a:ext>
            </a:extLst>
          </xdr:cNvPr>
          <xdr:cNvGrpSpPr/>
        </xdr:nvGrpSpPr>
        <xdr:grpSpPr>
          <a:xfrm>
            <a:off x="4914900" y="2228850"/>
            <a:ext cx="1219200" cy="1235076"/>
            <a:chOff x="5715000" y="2600325"/>
            <a:chExt cx="1290320" cy="1244601"/>
          </a:xfrm>
        </xdr:grpSpPr>
        <xdr:pic macro="[0]!CallFlow">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l="18157" t="20633" r="17468" b="20769"/>
            <a:stretch/>
          </xdr:blipFill>
          <xdr:spPr>
            <a:xfrm>
              <a:off x="5715000" y="2600325"/>
              <a:ext cx="1290320" cy="1244601"/>
            </a:xfrm>
            <a:prstGeom prst="rect">
              <a:avLst/>
            </a:prstGeom>
          </xdr:spPr>
        </xdr:pic>
        <xdr:sp macro="[0]!CallFlow" textlink="">
          <xdr:nvSpPr>
            <xdr:cNvPr id="15" name="TextBox 14">
              <a:extLst>
                <a:ext uri="{FF2B5EF4-FFF2-40B4-BE49-F238E27FC236}">
                  <a16:creationId xmlns:a16="http://schemas.microsoft.com/office/drawing/2014/main" id="{00000000-0008-0000-0000-00000F000000}"/>
                </a:ext>
              </a:extLst>
            </xdr:cNvPr>
            <xdr:cNvSpPr txBox="1"/>
          </xdr:nvSpPr>
          <xdr:spPr>
            <a:xfrm>
              <a:off x="5844552" y="2737940"/>
              <a:ext cx="933450" cy="4849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(2)</a:t>
              </a:r>
            </a:p>
            <a:p>
              <a:pPr algn="ctr"/>
              <a:r>
                <a:rPr lang="en-US" sz="1100" b="1"/>
                <a:t>Load</a:t>
              </a:r>
            </a:p>
          </xdr:txBody>
        </xdr:sp>
      </xdr:grpSp>
      <xdr:sp macro="[0]!CallFlow" textlink="">
        <xdr:nvSpPr>
          <xdr:cNvPr id="13" name="TextBox 12">
            <a:extLst>
              <a:ext uri="{FF2B5EF4-FFF2-40B4-BE49-F238E27FC236}">
                <a16:creationId xmlns:a16="http://schemas.microsoft.com/office/drawing/2014/main" id="{00000000-0008-0000-0000-00000D000000}"/>
              </a:ext>
            </a:extLst>
          </xdr:cNvPr>
          <xdr:cNvSpPr txBox="1"/>
        </xdr:nvSpPr>
        <xdr:spPr>
          <a:xfrm>
            <a:off x="5074181" y="3050478"/>
            <a:ext cx="869668" cy="2190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100" b="1"/>
              <a:t>Questionnaire</a:t>
            </a:r>
          </a:p>
        </xdr:txBody>
      </xdr:sp>
    </xdr:grpSp>
    <xdr:clientData/>
  </xdr:twoCellAnchor>
  <xdr:twoCellAnchor editAs="oneCell">
    <xdr:from>
      <xdr:col>5</xdr:col>
      <xdr:colOff>298174</xdr:colOff>
      <xdr:row>18</xdr:row>
      <xdr:rowOff>43898</xdr:rowOff>
    </xdr:from>
    <xdr:to>
      <xdr:col>5</xdr:col>
      <xdr:colOff>1368535</xdr:colOff>
      <xdr:row>23</xdr:row>
      <xdr:rowOff>155479</xdr:rowOff>
    </xdr:to>
    <xdr:grpSp>
      <xdr:nvGrpSpPr>
        <xdr:cNvPr id="18" name="Group 17">
          <a:extLst>
            <a:ext uri="{FF2B5EF4-FFF2-40B4-BE49-F238E27FC236}">
              <a16:creationId xmlns:a16="http://schemas.microsoft.com/office/drawing/2014/main" id="{00000000-0008-0000-0000-000012000000}"/>
            </a:ext>
          </a:extLst>
        </xdr:cNvPr>
        <xdr:cNvGrpSpPr/>
      </xdr:nvGrpSpPr>
      <xdr:grpSpPr>
        <a:xfrm>
          <a:off x="7916904" y="6303728"/>
          <a:ext cx="1071631" cy="1034871"/>
          <a:chOff x="6748898" y="5897503"/>
          <a:chExt cx="1068456" cy="1076213"/>
        </a:xfrm>
      </xdr:grpSpPr>
      <xdr:pic macro="[0]!WUWAYSurvey">
        <xdr:nvPicPr>
          <xdr:cNvPr id="16" name="Pictur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6748898" y="5897503"/>
            <a:ext cx="1068456" cy="1076213"/>
          </a:xfrm>
          <a:prstGeom prst="rect">
            <a:avLst/>
          </a:prstGeom>
        </xdr:spPr>
      </xdr:pic>
      <xdr:sp macro="[0]!WUWAYSurvey" textlink="">
        <xdr:nvSpPr>
          <xdr:cNvPr id="17" name="TextBox 16">
            <a:extLst>
              <a:ext uri="{FF2B5EF4-FFF2-40B4-BE49-F238E27FC236}">
                <a16:creationId xmlns:a16="http://schemas.microsoft.com/office/drawing/2014/main" id="{00000000-0008-0000-0000-000011000000}"/>
              </a:ext>
            </a:extLst>
          </xdr:cNvPr>
          <xdr:cNvSpPr txBox="1"/>
        </xdr:nvSpPr>
        <xdr:spPr>
          <a:xfrm>
            <a:off x="7047075" y="6652364"/>
            <a:ext cx="488672" cy="2190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900" b="1"/>
              <a:t>Feedback</a:t>
            </a:r>
          </a:p>
        </xdr:txBody>
      </xdr:sp>
    </xdr:grpSp>
    <xdr:clientData/>
  </xdr:twoCellAnchor>
  <xdr:twoCellAnchor editAs="absolute">
    <xdr:from>
      <xdr:col>7</xdr:col>
      <xdr:colOff>1095375</xdr:colOff>
      <xdr:row>13</xdr:row>
      <xdr:rowOff>210808</xdr:rowOff>
    </xdr:from>
    <xdr:to>
      <xdr:col>9</xdr:col>
      <xdr:colOff>1658170</xdr:colOff>
      <xdr:row>22</xdr:row>
      <xdr:rowOff>139933</xdr:rowOff>
    </xdr:to>
    <xdr:grpSp>
      <xdr:nvGrpSpPr>
        <xdr:cNvPr id="8" name="P_1" hidden="1">
          <a:extLst>
            <a:ext uri="{FF2B5EF4-FFF2-40B4-BE49-F238E27FC236}">
              <a16:creationId xmlns:a16="http://schemas.microsoft.com/office/drawing/2014/main" id="{00000000-0008-0000-0000-000008000000}"/>
            </a:ext>
          </a:extLst>
        </xdr:cNvPr>
        <xdr:cNvGrpSpPr/>
      </xdr:nvGrpSpPr>
      <xdr:grpSpPr>
        <a:xfrm>
          <a:off x="10420985" y="4329418"/>
          <a:ext cx="4144195" cy="2808215"/>
          <a:chOff x="1585913" y="960438"/>
          <a:chExt cx="2590800" cy="1804987"/>
        </a:xfrm>
        <a:solidFill>
          <a:srgbClr val="FEDD00"/>
        </a:solidFill>
      </xdr:grpSpPr>
      <xdr:sp macro="" textlink="">
        <xdr:nvSpPr>
          <xdr:cNvPr id="9" name="Freeform 21" hidden="1">
            <a:extLst>
              <a:ext uri="{FF2B5EF4-FFF2-40B4-BE49-F238E27FC236}">
                <a16:creationId xmlns:a16="http://schemas.microsoft.com/office/drawing/2014/main" id="{00000000-0008-0000-0000-000009000000}"/>
              </a:ext>
            </a:extLst>
          </xdr:cNvPr>
          <xdr:cNvSpPr>
            <a:spLocks/>
          </xdr:cNvSpPr>
        </xdr:nvSpPr>
        <xdr:spPr bwMode="auto">
          <a:xfrm>
            <a:off x="3359150" y="2703513"/>
            <a:ext cx="12700" cy="14288"/>
          </a:xfrm>
          <a:custGeom>
            <a:avLst/>
            <a:gdLst/>
            <a:ahLst/>
            <a:cxnLst>
              <a:cxn ang="0">
                <a:pos x="9" y="4"/>
              </a:cxn>
              <a:cxn ang="0">
                <a:pos x="9" y="0"/>
              </a:cxn>
              <a:cxn ang="0">
                <a:pos x="5" y="0"/>
              </a:cxn>
              <a:cxn ang="0">
                <a:pos x="0" y="9"/>
              </a:cxn>
              <a:cxn ang="0">
                <a:pos x="4" y="9"/>
              </a:cxn>
              <a:cxn ang="0">
                <a:pos x="9" y="4"/>
              </a:cxn>
            </a:cxnLst>
            <a:rect l="0" t="0" r="r" b="b"/>
            <a:pathLst>
              <a:path w="9" h="11">
                <a:moveTo>
                  <a:pt x="9" y="4"/>
                </a:moveTo>
                <a:cubicBezTo>
                  <a:pt x="9" y="0"/>
                  <a:pt x="9" y="0"/>
                  <a:pt x="9" y="0"/>
                </a:cubicBezTo>
                <a:cubicBezTo>
                  <a:pt x="8" y="0"/>
                  <a:pt x="6" y="0"/>
                  <a:pt x="5" y="0"/>
                </a:cubicBezTo>
                <a:cubicBezTo>
                  <a:pt x="2" y="0"/>
                  <a:pt x="0" y="5"/>
                  <a:pt x="0" y="9"/>
                </a:cubicBezTo>
                <a:cubicBezTo>
                  <a:pt x="0" y="11"/>
                  <a:pt x="2" y="9"/>
                  <a:pt x="4" y="9"/>
                </a:cubicBezTo>
                <a:cubicBezTo>
                  <a:pt x="6" y="9"/>
                  <a:pt x="8" y="5"/>
                  <a:pt x="9" y="4"/>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9" name="Freeform 39" hidden="1">
            <a:extLst>
              <a:ext uri="{FF2B5EF4-FFF2-40B4-BE49-F238E27FC236}">
                <a16:creationId xmlns:a16="http://schemas.microsoft.com/office/drawing/2014/main" id="{00000000-0008-0000-0000-000013000000}"/>
              </a:ext>
            </a:extLst>
          </xdr:cNvPr>
          <xdr:cNvSpPr>
            <a:spLocks/>
          </xdr:cNvSpPr>
        </xdr:nvSpPr>
        <xdr:spPr bwMode="auto">
          <a:xfrm>
            <a:off x="3989388" y="1552575"/>
            <a:ext cx="169863" cy="77788"/>
          </a:xfrm>
          <a:custGeom>
            <a:avLst/>
            <a:gdLst/>
            <a:ahLst/>
            <a:cxnLst>
              <a:cxn ang="0">
                <a:pos x="127" y="31"/>
              </a:cxn>
              <a:cxn ang="0">
                <a:pos x="108" y="47"/>
              </a:cxn>
              <a:cxn ang="0">
                <a:pos x="74" y="58"/>
              </a:cxn>
              <a:cxn ang="0">
                <a:pos x="34" y="50"/>
              </a:cxn>
              <a:cxn ang="0">
                <a:pos x="14" y="42"/>
              </a:cxn>
              <a:cxn ang="0">
                <a:pos x="18" y="40"/>
              </a:cxn>
              <a:cxn ang="0">
                <a:pos x="21" y="27"/>
              </a:cxn>
              <a:cxn ang="0">
                <a:pos x="2" y="25"/>
              </a:cxn>
              <a:cxn ang="0">
                <a:pos x="25" y="21"/>
              </a:cxn>
              <a:cxn ang="0">
                <a:pos x="23" y="18"/>
              </a:cxn>
              <a:cxn ang="0">
                <a:pos x="0" y="8"/>
              </a:cxn>
              <a:cxn ang="0">
                <a:pos x="9" y="9"/>
              </a:cxn>
              <a:cxn ang="0">
                <a:pos x="9" y="5"/>
              </a:cxn>
              <a:cxn ang="0">
                <a:pos x="17" y="0"/>
              </a:cxn>
              <a:cxn ang="0">
                <a:pos x="21" y="0"/>
              </a:cxn>
              <a:cxn ang="0">
                <a:pos x="23" y="7"/>
              </a:cxn>
              <a:cxn ang="0">
                <a:pos x="30" y="16"/>
              </a:cxn>
              <a:cxn ang="0">
                <a:pos x="38" y="13"/>
              </a:cxn>
              <a:cxn ang="0">
                <a:pos x="38" y="8"/>
              </a:cxn>
              <a:cxn ang="0">
                <a:pos x="44" y="12"/>
              </a:cxn>
              <a:cxn ang="0">
                <a:pos x="54" y="9"/>
              </a:cxn>
              <a:cxn ang="0">
                <a:pos x="60" y="12"/>
              </a:cxn>
              <a:cxn ang="0">
                <a:pos x="60" y="8"/>
              </a:cxn>
              <a:cxn ang="0">
                <a:pos x="74" y="9"/>
              </a:cxn>
              <a:cxn ang="0">
                <a:pos x="89" y="8"/>
              </a:cxn>
              <a:cxn ang="0">
                <a:pos x="91" y="1"/>
              </a:cxn>
              <a:cxn ang="0">
                <a:pos x="96" y="1"/>
              </a:cxn>
              <a:cxn ang="0">
                <a:pos x="104" y="7"/>
              </a:cxn>
              <a:cxn ang="0">
                <a:pos x="115" y="4"/>
              </a:cxn>
              <a:cxn ang="0">
                <a:pos x="112" y="8"/>
              </a:cxn>
              <a:cxn ang="0">
                <a:pos x="128" y="30"/>
              </a:cxn>
              <a:cxn ang="0">
                <a:pos x="127" y="31"/>
              </a:cxn>
            </a:cxnLst>
            <a:rect l="0" t="0" r="r" b="b"/>
            <a:pathLst>
              <a:path w="128" h="58">
                <a:moveTo>
                  <a:pt x="127" y="31"/>
                </a:moveTo>
                <a:cubicBezTo>
                  <a:pt x="124" y="38"/>
                  <a:pt x="113" y="45"/>
                  <a:pt x="108" y="47"/>
                </a:cubicBezTo>
                <a:cubicBezTo>
                  <a:pt x="97" y="51"/>
                  <a:pt x="89" y="58"/>
                  <a:pt x="74" y="58"/>
                </a:cubicBezTo>
                <a:cubicBezTo>
                  <a:pt x="57" y="58"/>
                  <a:pt x="46" y="54"/>
                  <a:pt x="34" y="50"/>
                </a:cubicBezTo>
                <a:cubicBezTo>
                  <a:pt x="28" y="49"/>
                  <a:pt x="24" y="42"/>
                  <a:pt x="14" y="42"/>
                </a:cubicBezTo>
                <a:cubicBezTo>
                  <a:pt x="16" y="41"/>
                  <a:pt x="17" y="40"/>
                  <a:pt x="18" y="40"/>
                </a:cubicBezTo>
                <a:cubicBezTo>
                  <a:pt x="18" y="34"/>
                  <a:pt x="20" y="32"/>
                  <a:pt x="21" y="27"/>
                </a:cubicBezTo>
                <a:cubicBezTo>
                  <a:pt x="14" y="25"/>
                  <a:pt x="6" y="30"/>
                  <a:pt x="2" y="25"/>
                </a:cubicBezTo>
                <a:cubicBezTo>
                  <a:pt x="8" y="25"/>
                  <a:pt x="20" y="23"/>
                  <a:pt x="25" y="21"/>
                </a:cubicBezTo>
                <a:cubicBezTo>
                  <a:pt x="23" y="20"/>
                  <a:pt x="23" y="19"/>
                  <a:pt x="23" y="18"/>
                </a:cubicBezTo>
                <a:cubicBezTo>
                  <a:pt x="18" y="18"/>
                  <a:pt x="1" y="13"/>
                  <a:pt x="0" y="8"/>
                </a:cubicBezTo>
                <a:cubicBezTo>
                  <a:pt x="4" y="7"/>
                  <a:pt x="7" y="8"/>
                  <a:pt x="9" y="9"/>
                </a:cubicBezTo>
                <a:cubicBezTo>
                  <a:pt x="9" y="8"/>
                  <a:pt x="9" y="7"/>
                  <a:pt x="9" y="5"/>
                </a:cubicBezTo>
                <a:cubicBezTo>
                  <a:pt x="13" y="5"/>
                  <a:pt x="14" y="0"/>
                  <a:pt x="17" y="0"/>
                </a:cubicBezTo>
                <a:cubicBezTo>
                  <a:pt x="18" y="0"/>
                  <a:pt x="19" y="0"/>
                  <a:pt x="21" y="0"/>
                </a:cubicBezTo>
                <a:cubicBezTo>
                  <a:pt x="21" y="3"/>
                  <a:pt x="23" y="4"/>
                  <a:pt x="23" y="7"/>
                </a:cubicBezTo>
                <a:cubicBezTo>
                  <a:pt x="23" y="10"/>
                  <a:pt x="27" y="16"/>
                  <a:pt x="30" y="16"/>
                </a:cubicBezTo>
                <a:cubicBezTo>
                  <a:pt x="33" y="16"/>
                  <a:pt x="36" y="14"/>
                  <a:pt x="38" y="13"/>
                </a:cubicBezTo>
                <a:cubicBezTo>
                  <a:pt x="37" y="10"/>
                  <a:pt x="37" y="9"/>
                  <a:pt x="38" y="8"/>
                </a:cubicBezTo>
                <a:cubicBezTo>
                  <a:pt x="40" y="9"/>
                  <a:pt x="41" y="12"/>
                  <a:pt x="44" y="12"/>
                </a:cubicBezTo>
                <a:cubicBezTo>
                  <a:pt x="54" y="9"/>
                  <a:pt x="54" y="9"/>
                  <a:pt x="54" y="9"/>
                </a:cubicBezTo>
                <a:cubicBezTo>
                  <a:pt x="58" y="10"/>
                  <a:pt x="59" y="11"/>
                  <a:pt x="60" y="12"/>
                </a:cubicBezTo>
                <a:cubicBezTo>
                  <a:pt x="60" y="11"/>
                  <a:pt x="60" y="9"/>
                  <a:pt x="60" y="8"/>
                </a:cubicBezTo>
                <a:cubicBezTo>
                  <a:pt x="67" y="8"/>
                  <a:pt x="70" y="9"/>
                  <a:pt x="74" y="9"/>
                </a:cubicBezTo>
                <a:cubicBezTo>
                  <a:pt x="80" y="9"/>
                  <a:pt x="85" y="4"/>
                  <a:pt x="89" y="8"/>
                </a:cubicBezTo>
                <a:cubicBezTo>
                  <a:pt x="89" y="4"/>
                  <a:pt x="90" y="3"/>
                  <a:pt x="91" y="1"/>
                </a:cubicBezTo>
                <a:cubicBezTo>
                  <a:pt x="94" y="2"/>
                  <a:pt x="94" y="2"/>
                  <a:pt x="96" y="1"/>
                </a:cubicBezTo>
                <a:cubicBezTo>
                  <a:pt x="96" y="6"/>
                  <a:pt x="100" y="7"/>
                  <a:pt x="104" y="7"/>
                </a:cubicBezTo>
                <a:cubicBezTo>
                  <a:pt x="108" y="7"/>
                  <a:pt x="111" y="4"/>
                  <a:pt x="115" y="4"/>
                </a:cubicBezTo>
                <a:cubicBezTo>
                  <a:pt x="113" y="5"/>
                  <a:pt x="112" y="7"/>
                  <a:pt x="112" y="8"/>
                </a:cubicBezTo>
                <a:cubicBezTo>
                  <a:pt x="112" y="21"/>
                  <a:pt x="128" y="18"/>
                  <a:pt x="128" y="30"/>
                </a:cubicBezTo>
                <a:lnTo>
                  <a:pt x="127" y="31"/>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20" name="Freeform 40" hidden="1">
            <a:extLst>
              <a:ext uri="{FF2B5EF4-FFF2-40B4-BE49-F238E27FC236}">
                <a16:creationId xmlns:a16="http://schemas.microsoft.com/office/drawing/2014/main" id="{00000000-0008-0000-0000-000014000000}"/>
              </a:ext>
            </a:extLst>
          </xdr:cNvPr>
          <xdr:cNvSpPr>
            <a:spLocks/>
          </xdr:cNvSpPr>
        </xdr:nvSpPr>
        <xdr:spPr bwMode="auto">
          <a:xfrm>
            <a:off x="2971800" y="2487613"/>
            <a:ext cx="174625" cy="60325"/>
          </a:xfrm>
          <a:custGeom>
            <a:avLst/>
            <a:gdLst/>
            <a:ahLst/>
            <a:cxnLst>
              <a:cxn ang="0">
                <a:pos x="131" y="40"/>
              </a:cxn>
              <a:cxn ang="0">
                <a:pos x="114" y="45"/>
              </a:cxn>
              <a:cxn ang="0">
                <a:pos x="88" y="42"/>
              </a:cxn>
              <a:cxn ang="0">
                <a:pos x="88" y="39"/>
              </a:cxn>
              <a:cxn ang="0">
                <a:pos x="93" y="35"/>
              </a:cxn>
              <a:cxn ang="0">
                <a:pos x="78" y="26"/>
              </a:cxn>
              <a:cxn ang="0">
                <a:pos x="73" y="22"/>
              </a:cxn>
              <a:cxn ang="0">
                <a:pos x="64" y="22"/>
              </a:cxn>
              <a:cxn ang="0">
                <a:pos x="48" y="15"/>
              </a:cxn>
              <a:cxn ang="0">
                <a:pos x="35" y="15"/>
              </a:cxn>
              <a:cxn ang="0">
                <a:pos x="34" y="10"/>
              </a:cxn>
              <a:cxn ang="0">
                <a:pos x="28" y="9"/>
              </a:cxn>
              <a:cxn ang="0">
                <a:pos x="4" y="20"/>
              </a:cxn>
              <a:cxn ang="0">
                <a:pos x="0" y="20"/>
              </a:cxn>
              <a:cxn ang="0">
                <a:pos x="36" y="0"/>
              </a:cxn>
              <a:cxn ang="0">
                <a:pos x="79" y="11"/>
              </a:cxn>
              <a:cxn ang="0">
                <a:pos x="86" y="17"/>
              </a:cxn>
              <a:cxn ang="0">
                <a:pos x="114" y="28"/>
              </a:cxn>
              <a:cxn ang="0">
                <a:pos x="114" y="31"/>
              </a:cxn>
              <a:cxn ang="0">
                <a:pos x="120" y="31"/>
              </a:cxn>
              <a:cxn ang="0">
                <a:pos x="131" y="40"/>
              </a:cxn>
            </a:cxnLst>
            <a:rect l="0" t="0" r="r" b="b"/>
            <a:pathLst>
              <a:path w="131" h="45">
                <a:moveTo>
                  <a:pt x="131" y="40"/>
                </a:moveTo>
                <a:cubicBezTo>
                  <a:pt x="127" y="45"/>
                  <a:pt x="119" y="45"/>
                  <a:pt x="114" y="45"/>
                </a:cubicBezTo>
                <a:cubicBezTo>
                  <a:pt x="104" y="45"/>
                  <a:pt x="97" y="42"/>
                  <a:pt x="88" y="42"/>
                </a:cubicBezTo>
                <a:cubicBezTo>
                  <a:pt x="88" y="41"/>
                  <a:pt x="88" y="40"/>
                  <a:pt x="88" y="39"/>
                </a:cubicBezTo>
                <a:cubicBezTo>
                  <a:pt x="90" y="39"/>
                  <a:pt x="92" y="38"/>
                  <a:pt x="93" y="35"/>
                </a:cubicBezTo>
                <a:cubicBezTo>
                  <a:pt x="86" y="32"/>
                  <a:pt x="79" y="33"/>
                  <a:pt x="78" y="26"/>
                </a:cubicBezTo>
                <a:cubicBezTo>
                  <a:pt x="74" y="26"/>
                  <a:pt x="75" y="23"/>
                  <a:pt x="73" y="22"/>
                </a:cubicBezTo>
                <a:cubicBezTo>
                  <a:pt x="69" y="20"/>
                  <a:pt x="67" y="22"/>
                  <a:pt x="64" y="22"/>
                </a:cubicBezTo>
                <a:cubicBezTo>
                  <a:pt x="57" y="22"/>
                  <a:pt x="54" y="15"/>
                  <a:pt x="48" y="15"/>
                </a:cubicBezTo>
                <a:cubicBezTo>
                  <a:pt x="35" y="15"/>
                  <a:pt x="35" y="15"/>
                  <a:pt x="35" y="15"/>
                </a:cubicBezTo>
                <a:cubicBezTo>
                  <a:pt x="33" y="13"/>
                  <a:pt x="33" y="12"/>
                  <a:pt x="34" y="10"/>
                </a:cubicBezTo>
                <a:cubicBezTo>
                  <a:pt x="33" y="9"/>
                  <a:pt x="30" y="9"/>
                  <a:pt x="28" y="9"/>
                </a:cubicBezTo>
                <a:cubicBezTo>
                  <a:pt x="20" y="9"/>
                  <a:pt x="8" y="15"/>
                  <a:pt x="4" y="20"/>
                </a:cubicBezTo>
                <a:cubicBezTo>
                  <a:pt x="0" y="20"/>
                  <a:pt x="0" y="20"/>
                  <a:pt x="0" y="20"/>
                </a:cubicBezTo>
                <a:cubicBezTo>
                  <a:pt x="7" y="8"/>
                  <a:pt x="16" y="0"/>
                  <a:pt x="36" y="0"/>
                </a:cubicBezTo>
                <a:cubicBezTo>
                  <a:pt x="55" y="0"/>
                  <a:pt x="64" y="11"/>
                  <a:pt x="79" y="11"/>
                </a:cubicBezTo>
                <a:cubicBezTo>
                  <a:pt x="82" y="11"/>
                  <a:pt x="86" y="16"/>
                  <a:pt x="86" y="17"/>
                </a:cubicBezTo>
                <a:cubicBezTo>
                  <a:pt x="93" y="23"/>
                  <a:pt x="104" y="28"/>
                  <a:pt x="114" y="28"/>
                </a:cubicBezTo>
                <a:cubicBezTo>
                  <a:pt x="114" y="28"/>
                  <a:pt x="113" y="30"/>
                  <a:pt x="114" y="31"/>
                </a:cubicBezTo>
                <a:cubicBezTo>
                  <a:pt x="120" y="31"/>
                  <a:pt x="120" y="31"/>
                  <a:pt x="120" y="31"/>
                </a:cubicBezTo>
                <a:cubicBezTo>
                  <a:pt x="125" y="32"/>
                  <a:pt x="127" y="39"/>
                  <a:pt x="131" y="40"/>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21" name="Freeform 41" hidden="1">
            <a:extLst>
              <a:ext uri="{FF2B5EF4-FFF2-40B4-BE49-F238E27FC236}">
                <a16:creationId xmlns:a16="http://schemas.microsoft.com/office/drawing/2014/main" id="{00000000-0008-0000-0000-000015000000}"/>
              </a:ext>
            </a:extLst>
          </xdr:cNvPr>
          <xdr:cNvSpPr>
            <a:spLocks/>
          </xdr:cNvSpPr>
        </xdr:nvSpPr>
        <xdr:spPr bwMode="auto">
          <a:xfrm>
            <a:off x="2995613" y="2509838"/>
            <a:ext cx="9525" cy="11113"/>
          </a:xfrm>
          <a:custGeom>
            <a:avLst/>
            <a:gdLst/>
            <a:ahLst/>
            <a:cxnLst>
              <a:cxn ang="0">
                <a:pos x="6" y="0"/>
              </a:cxn>
              <a:cxn ang="0">
                <a:pos x="6" y="7"/>
              </a:cxn>
              <a:cxn ang="0">
                <a:pos x="0" y="7"/>
              </a:cxn>
              <a:cxn ang="0">
                <a:pos x="4" y="3"/>
              </a:cxn>
              <a:cxn ang="0">
                <a:pos x="4" y="0"/>
              </a:cxn>
              <a:cxn ang="0">
                <a:pos x="5" y="0"/>
              </a:cxn>
              <a:cxn ang="0">
                <a:pos x="6" y="0"/>
              </a:cxn>
            </a:cxnLst>
            <a:rect l="0" t="0" r="r" b="b"/>
            <a:pathLst>
              <a:path w="7" h="8">
                <a:moveTo>
                  <a:pt x="6" y="0"/>
                </a:moveTo>
                <a:cubicBezTo>
                  <a:pt x="6" y="3"/>
                  <a:pt x="7" y="5"/>
                  <a:pt x="6" y="7"/>
                </a:cubicBezTo>
                <a:cubicBezTo>
                  <a:pt x="5" y="7"/>
                  <a:pt x="0" y="8"/>
                  <a:pt x="0" y="7"/>
                </a:cubicBezTo>
                <a:cubicBezTo>
                  <a:pt x="0" y="4"/>
                  <a:pt x="2" y="3"/>
                  <a:pt x="4" y="3"/>
                </a:cubicBezTo>
                <a:cubicBezTo>
                  <a:pt x="4" y="0"/>
                  <a:pt x="4" y="0"/>
                  <a:pt x="4" y="0"/>
                </a:cubicBezTo>
                <a:cubicBezTo>
                  <a:pt x="5" y="0"/>
                  <a:pt x="5" y="0"/>
                  <a:pt x="5" y="0"/>
                </a:cubicBezTo>
                <a:lnTo>
                  <a:pt x="6" y="0"/>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22" name="Freeform 42" hidden="1">
            <a:extLst>
              <a:ext uri="{FF2B5EF4-FFF2-40B4-BE49-F238E27FC236}">
                <a16:creationId xmlns:a16="http://schemas.microsoft.com/office/drawing/2014/main" id="{00000000-0008-0000-0000-000016000000}"/>
              </a:ext>
            </a:extLst>
          </xdr:cNvPr>
          <xdr:cNvSpPr>
            <a:spLocks/>
          </xdr:cNvSpPr>
        </xdr:nvSpPr>
        <xdr:spPr bwMode="auto">
          <a:xfrm>
            <a:off x="3082925" y="2568575"/>
            <a:ext cx="28575" cy="14288"/>
          </a:xfrm>
          <a:custGeom>
            <a:avLst/>
            <a:gdLst/>
            <a:ahLst/>
            <a:cxnLst>
              <a:cxn ang="0">
                <a:pos x="18" y="3"/>
              </a:cxn>
              <a:cxn ang="0">
                <a:pos x="22" y="7"/>
              </a:cxn>
              <a:cxn ang="0">
                <a:pos x="7" y="10"/>
              </a:cxn>
              <a:cxn ang="0">
                <a:pos x="0" y="3"/>
              </a:cxn>
              <a:cxn ang="0">
                <a:pos x="5" y="0"/>
              </a:cxn>
              <a:cxn ang="0">
                <a:pos x="19" y="4"/>
              </a:cxn>
              <a:cxn ang="0">
                <a:pos x="18" y="3"/>
              </a:cxn>
            </a:cxnLst>
            <a:rect l="0" t="0" r="r" b="b"/>
            <a:pathLst>
              <a:path w="22" h="10">
                <a:moveTo>
                  <a:pt x="18" y="3"/>
                </a:moveTo>
                <a:cubicBezTo>
                  <a:pt x="21" y="4"/>
                  <a:pt x="22" y="5"/>
                  <a:pt x="22" y="7"/>
                </a:cubicBezTo>
                <a:cubicBezTo>
                  <a:pt x="17" y="8"/>
                  <a:pt x="13" y="10"/>
                  <a:pt x="7" y="10"/>
                </a:cubicBezTo>
                <a:cubicBezTo>
                  <a:pt x="4" y="10"/>
                  <a:pt x="0" y="7"/>
                  <a:pt x="0" y="3"/>
                </a:cubicBezTo>
                <a:cubicBezTo>
                  <a:pt x="0" y="1"/>
                  <a:pt x="3" y="0"/>
                  <a:pt x="5" y="0"/>
                </a:cubicBezTo>
                <a:cubicBezTo>
                  <a:pt x="10" y="0"/>
                  <a:pt x="16" y="3"/>
                  <a:pt x="19" y="4"/>
                </a:cubicBezTo>
                <a:lnTo>
                  <a:pt x="18" y="3"/>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23" name="Freeform 43" hidden="1">
            <a:extLst>
              <a:ext uri="{FF2B5EF4-FFF2-40B4-BE49-F238E27FC236}">
                <a16:creationId xmlns:a16="http://schemas.microsoft.com/office/drawing/2014/main" id="{00000000-0008-0000-0000-000017000000}"/>
              </a:ext>
            </a:extLst>
          </xdr:cNvPr>
          <xdr:cNvSpPr>
            <a:spLocks/>
          </xdr:cNvSpPr>
        </xdr:nvSpPr>
        <xdr:spPr bwMode="auto">
          <a:xfrm>
            <a:off x="3267075" y="2568575"/>
            <a:ext cx="23813" cy="9525"/>
          </a:xfrm>
          <a:custGeom>
            <a:avLst/>
            <a:gdLst/>
            <a:ahLst/>
            <a:cxnLst>
              <a:cxn ang="0">
                <a:pos x="18" y="4"/>
              </a:cxn>
              <a:cxn ang="0">
                <a:pos x="11" y="7"/>
              </a:cxn>
              <a:cxn ang="0">
                <a:pos x="0" y="2"/>
              </a:cxn>
              <a:cxn ang="0">
                <a:pos x="5" y="0"/>
              </a:cxn>
              <a:cxn ang="0">
                <a:pos x="18" y="4"/>
              </a:cxn>
            </a:cxnLst>
            <a:rect l="0" t="0" r="r" b="b"/>
            <a:pathLst>
              <a:path w="18" h="7">
                <a:moveTo>
                  <a:pt x="18" y="4"/>
                </a:moveTo>
                <a:cubicBezTo>
                  <a:pt x="17" y="7"/>
                  <a:pt x="14" y="7"/>
                  <a:pt x="11" y="7"/>
                </a:cubicBezTo>
                <a:cubicBezTo>
                  <a:pt x="6" y="7"/>
                  <a:pt x="0" y="7"/>
                  <a:pt x="0" y="2"/>
                </a:cubicBezTo>
                <a:cubicBezTo>
                  <a:pt x="0" y="0"/>
                  <a:pt x="4" y="0"/>
                  <a:pt x="5" y="0"/>
                </a:cubicBezTo>
                <a:cubicBezTo>
                  <a:pt x="6" y="0"/>
                  <a:pt x="17" y="2"/>
                  <a:pt x="18" y="4"/>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24" name="Freeform 44" hidden="1">
            <a:extLst>
              <a:ext uri="{FF2B5EF4-FFF2-40B4-BE49-F238E27FC236}">
                <a16:creationId xmlns:a16="http://schemas.microsoft.com/office/drawing/2014/main" id="{00000000-0008-0000-0000-000018000000}"/>
              </a:ext>
            </a:extLst>
          </xdr:cNvPr>
          <xdr:cNvSpPr>
            <a:spLocks/>
          </xdr:cNvSpPr>
        </xdr:nvSpPr>
        <xdr:spPr bwMode="auto">
          <a:xfrm>
            <a:off x="3146425" y="2543175"/>
            <a:ext cx="100013" cy="39688"/>
          </a:xfrm>
          <a:custGeom>
            <a:avLst/>
            <a:gdLst/>
            <a:ahLst/>
            <a:cxnLst>
              <a:cxn ang="0">
                <a:pos x="64" y="11"/>
              </a:cxn>
              <a:cxn ang="0">
                <a:pos x="75" y="21"/>
              </a:cxn>
              <a:cxn ang="0">
                <a:pos x="59" y="21"/>
              </a:cxn>
              <a:cxn ang="0">
                <a:pos x="51" y="24"/>
              </a:cxn>
              <a:cxn ang="0">
                <a:pos x="47" y="22"/>
              </a:cxn>
              <a:cxn ang="0">
                <a:pos x="37" y="30"/>
              </a:cxn>
              <a:cxn ang="0">
                <a:pos x="31" y="24"/>
              </a:cxn>
              <a:cxn ang="0">
                <a:pos x="11" y="23"/>
              </a:cxn>
              <a:cxn ang="0">
                <a:pos x="6" y="23"/>
              </a:cxn>
              <a:cxn ang="0">
                <a:pos x="6" y="27"/>
              </a:cxn>
              <a:cxn ang="0">
                <a:pos x="0" y="19"/>
              </a:cxn>
              <a:cxn ang="0">
                <a:pos x="3" y="18"/>
              </a:cxn>
              <a:cxn ang="0">
                <a:pos x="22" y="17"/>
              </a:cxn>
              <a:cxn ang="0">
                <a:pos x="19" y="8"/>
              </a:cxn>
              <a:cxn ang="0">
                <a:pos x="14" y="3"/>
              </a:cxn>
              <a:cxn ang="0">
                <a:pos x="17" y="0"/>
              </a:cxn>
              <a:cxn ang="0">
                <a:pos x="28" y="3"/>
              </a:cxn>
              <a:cxn ang="0">
                <a:pos x="41" y="1"/>
              </a:cxn>
              <a:cxn ang="0">
                <a:pos x="66" y="13"/>
              </a:cxn>
              <a:cxn ang="0">
                <a:pos x="64" y="11"/>
              </a:cxn>
            </a:cxnLst>
            <a:rect l="0" t="0" r="r" b="b"/>
            <a:pathLst>
              <a:path w="75" h="30">
                <a:moveTo>
                  <a:pt x="64" y="11"/>
                </a:moveTo>
                <a:cubicBezTo>
                  <a:pt x="68" y="15"/>
                  <a:pt x="72" y="16"/>
                  <a:pt x="75" y="21"/>
                </a:cubicBezTo>
                <a:cubicBezTo>
                  <a:pt x="59" y="21"/>
                  <a:pt x="59" y="21"/>
                  <a:pt x="59" y="21"/>
                </a:cubicBezTo>
                <a:cubicBezTo>
                  <a:pt x="56" y="23"/>
                  <a:pt x="54" y="24"/>
                  <a:pt x="51" y="24"/>
                </a:cubicBezTo>
                <a:cubicBezTo>
                  <a:pt x="49" y="24"/>
                  <a:pt x="49" y="22"/>
                  <a:pt x="47" y="22"/>
                </a:cubicBezTo>
                <a:cubicBezTo>
                  <a:pt x="41" y="22"/>
                  <a:pt x="41" y="30"/>
                  <a:pt x="37" y="30"/>
                </a:cubicBezTo>
                <a:cubicBezTo>
                  <a:pt x="33" y="30"/>
                  <a:pt x="34" y="26"/>
                  <a:pt x="31" y="24"/>
                </a:cubicBezTo>
                <a:cubicBezTo>
                  <a:pt x="27" y="22"/>
                  <a:pt x="17" y="23"/>
                  <a:pt x="11" y="23"/>
                </a:cubicBezTo>
                <a:cubicBezTo>
                  <a:pt x="8" y="23"/>
                  <a:pt x="8" y="24"/>
                  <a:pt x="6" y="23"/>
                </a:cubicBezTo>
                <a:cubicBezTo>
                  <a:pt x="6" y="24"/>
                  <a:pt x="6" y="25"/>
                  <a:pt x="6" y="27"/>
                </a:cubicBezTo>
                <a:cubicBezTo>
                  <a:pt x="3" y="26"/>
                  <a:pt x="0" y="22"/>
                  <a:pt x="0" y="19"/>
                </a:cubicBezTo>
                <a:cubicBezTo>
                  <a:pt x="1" y="19"/>
                  <a:pt x="2" y="18"/>
                  <a:pt x="3" y="18"/>
                </a:cubicBezTo>
                <a:cubicBezTo>
                  <a:pt x="13" y="18"/>
                  <a:pt x="17" y="20"/>
                  <a:pt x="22" y="17"/>
                </a:cubicBezTo>
                <a:cubicBezTo>
                  <a:pt x="20" y="15"/>
                  <a:pt x="19" y="12"/>
                  <a:pt x="19" y="8"/>
                </a:cubicBezTo>
                <a:cubicBezTo>
                  <a:pt x="17" y="8"/>
                  <a:pt x="14" y="6"/>
                  <a:pt x="14" y="3"/>
                </a:cubicBezTo>
                <a:cubicBezTo>
                  <a:pt x="14" y="2"/>
                  <a:pt x="16" y="0"/>
                  <a:pt x="17" y="0"/>
                </a:cubicBezTo>
                <a:cubicBezTo>
                  <a:pt x="21" y="0"/>
                  <a:pt x="24" y="3"/>
                  <a:pt x="28" y="3"/>
                </a:cubicBezTo>
                <a:cubicBezTo>
                  <a:pt x="34" y="3"/>
                  <a:pt x="36" y="1"/>
                  <a:pt x="41" y="1"/>
                </a:cubicBezTo>
                <a:cubicBezTo>
                  <a:pt x="55" y="1"/>
                  <a:pt x="58" y="9"/>
                  <a:pt x="66" y="13"/>
                </a:cubicBezTo>
                <a:lnTo>
                  <a:pt x="64" y="11"/>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25" name="Freeform 45" hidden="1">
            <a:extLst>
              <a:ext uri="{FF2B5EF4-FFF2-40B4-BE49-F238E27FC236}">
                <a16:creationId xmlns:a16="http://schemas.microsoft.com/office/drawing/2014/main" id="{00000000-0008-0000-0000-000019000000}"/>
              </a:ext>
            </a:extLst>
          </xdr:cNvPr>
          <xdr:cNvSpPr>
            <a:spLocks/>
          </xdr:cNvSpPr>
        </xdr:nvSpPr>
        <xdr:spPr bwMode="auto">
          <a:xfrm>
            <a:off x="3076575" y="2455863"/>
            <a:ext cx="9525" cy="11113"/>
          </a:xfrm>
          <a:custGeom>
            <a:avLst/>
            <a:gdLst/>
            <a:ahLst/>
            <a:cxnLst>
              <a:cxn ang="0">
                <a:pos x="2" y="0"/>
              </a:cxn>
              <a:cxn ang="0">
                <a:pos x="7" y="6"/>
              </a:cxn>
              <a:cxn ang="0">
                <a:pos x="5" y="8"/>
              </a:cxn>
              <a:cxn ang="0">
                <a:pos x="0" y="0"/>
              </a:cxn>
              <a:cxn ang="0">
                <a:pos x="2" y="0"/>
              </a:cxn>
            </a:cxnLst>
            <a:rect l="0" t="0" r="r" b="b"/>
            <a:pathLst>
              <a:path w="7" h="8">
                <a:moveTo>
                  <a:pt x="2" y="0"/>
                </a:moveTo>
                <a:cubicBezTo>
                  <a:pt x="6" y="0"/>
                  <a:pt x="7" y="3"/>
                  <a:pt x="7" y="6"/>
                </a:cubicBezTo>
                <a:cubicBezTo>
                  <a:pt x="7" y="7"/>
                  <a:pt x="6" y="8"/>
                  <a:pt x="5" y="8"/>
                </a:cubicBezTo>
                <a:cubicBezTo>
                  <a:pt x="0" y="8"/>
                  <a:pt x="0" y="3"/>
                  <a:pt x="0" y="0"/>
                </a:cubicBezTo>
                <a:cubicBezTo>
                  <a:pt x="0" y="0"/>
                  <a:pt x="2" y="0"/>
                  <a:pt x="2" y="0"/>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26" name="Freeform 46" hidden="1">
            <a:extLst>
              <a:ext uri="{FF2B5EF4-FFF2-40B4-BE49-F238E27FC236}">
                <a16:creationId xmlns:a16="http://schemas.microsoft.com/office/drawing/2014/main" id="{00000000-0008-0000-0000-00001A000000}"/>
              </a:ext>
            </a:extLst>
          </xdr:cNvPr>
          <xdr:cNvSpPr>
            <a:spLocks/>
          </xdr:cNvSpPr>
        </xdr:nvSpPr>
        <xdr:spPr bwMode="auto">
          <a:xfrm>
            <a:off x="3068638" y="2422525"/>
            <a:ext cx="14288" cy="4763"/>
          </a:xfrm>
          <a:custGeom>
            <a:avLst/>
            <a:gdLst/>
            <a:ahLst/>
            <a:cxnLst>
              <a:cxn ang="0">
                <a:pos x="0" y="3"/>
              </a:cxn>
              <a:cxn ang="0">
                <a:pos x="6" y="0"/>
              </a:cxn>
              <a:cxn ang="0">
                <a:pos x="11" y="3"/>
              </a:cxn>
              <a:cxn ang="0">
                <a:pos x="0" y="3"/>
              </a:cxn>
            </a:cxnLst>
            <a:rect l="0" t="0" r="r" b="b"/>
            <a:pathLst>
              <a:path w="11" h="4">
                <a:moveTo>
                  <a:pt x="0" y="3"/>
                </a:moveTo>
                <a:cubicBezTo>
                  <a:pt x="1" y="2"/>
                  <a:pt x="4" y="0"/>
                  <a:pt x="6" y="0"/>
                </a:cubicBezTo>
                <a:cubicBezTo>
                  <a:pt x="9" y="0"/>
                  <a:pt x="10" y="2"/>
                  <a:pt x="11" y="3"/>
                </a:cubicBezTo>
                <a:cubicBezTo>
                  <a:pt x="7" y="4"/>
                  <a:pt x="2" y="3"/>
                  <a:pt x="0" y="3"/>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27" name="Freeform 47" hidden="1">
            <a:extLst>
              <a:ext uri="{FF2B5EF4-FFF2-40B4-BE49-F238E27FC236}">
                <a16:creationId xmlns:a16="http://schemas.microsoft.com/office/drawing/2014/main" id="{00000000-0008-0000-0000-00001B000000}"/>
              </a:ext>
            </a:extLst>
          </xdr:cNvPr>
          <xdr:cNvSpPr>
            <a:spLocks/>
          </xdr:cNvSpPr>
        </xdr:nvSpPr>
        <xdr:spPr bwMode="auto">
          <a:xfrm>
            <a:off x="3094038" y="2428875"/>
            <a:ext cx="4763" cy="6350"/>
          </a:xfrm>
          <a:custGeom>
            <a:avLst/>
            <a:gdLst/>
            <a:ahLst/>
            <a:cxnLst>
              <a:cxn ang="0">
                <a:pos x="3" y="4"/>
              </a:cxn>
              <a:cxn ang="0">
                <a:pos x="1" y="0"/>
              </a:cxn>
              <a:cxn ang="0">
                <a:pos x="3" y="4"/>
              </a:cxn>
            </a:cxnLst>
            <a:rect l="0" t="0" r="r" b="b"/>
            <a:pathLst>
              <a:path w="3" h="4">
                <a:moveTo>
                  <a:pt x="3" y="4"/>
                </a:moveTo>
                <a:cubicBezTo>
                  <a:pt x="2" y="4"/>
                  <a:pt x="0" y="1"/>
                  <a:pt x="1" y="0"/>
                </a:cubicBezTo>
                <a:lnTo>
                  <a:pt x="3" y="4"/>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28" name="Freeform 48" hidden="1">
            <a:extLst>
              <a:ext uri="{FF2B5EF4-FFF2-40B4-BE49-F238E27FC236}">
                <a16:creationId xmlns:a16="http://schemas.microsoft.com/office/drawing/2014/main" id="{00000000-0008-0000-0000-00001C000000}"/>
              </a:ext>
            </a:extLst>
          </xdr:cNvPr>
          <xdr:cNvSpPr>
            <a:spLocks/>
          </xdr:cNvSpPr>
        </xdr:nvSpPr>
        <xdr:spPr bwMode="auto">
          <a:xfrm>
            <a:off x="3154363" y="2517775"/>
            <a:ext cx="11113" cy="7938"/>
          </a:xfrm>
          <a:custGeom>
            <a:avLst/>
            <a:gdLst/>
            <a:ahLst/>
            <a:cxnLst>
              <a:cxn ang="0">
                <a:pos x="0" y="4"/>
              </a:cxn>
              <a:cxn ang="0">
                <a:pos x="0" y="7"/>
              </a:cxn>
              <a:cxn ang="0">
                <a:pos x="2" y="7"/>
              </a:cxn>
              <a:cxn ang="0">
                <a:pos x="9" y="4"/>
              </a:cxn>
              <a:cxn ang="0">
                <a:pos x="9" y="0"/>
              </a:cxn>
              <a:cxn ang="0">
                <a:pos x="0" y="4"/>
              </a:cxn>
            </a:cxnLst>
            <a:rect l="0" t="0" r="r" b="b"/>
            <a:pathLst>
              <a:path w="9" h="7">
                <a:moveTo>
                  <a:pt x="0" y="4"/>
                </a:moveTo>
                <a:cubicBezTo>
                  <a:pt x="0" y="5"/>
                  <a:pt x="0" y="6"/>
                  <a:pt x="0" y="7"/>
                </a:cubicBezTo>
                <a:cubicBezTo>
                  <a:pt x="0" y="7"/>
                  <a:pt x="1" y="7"/>
                  <a:pt x="2" y="7"/>
                </a:cubicBezTo>
                <a:cubicBezTo>
                  <a:pt x="4" y="7"/>
                  <a:pt x="7" y="6"/>
                  <a:pt x="9" y="4"/>
                </a:cubicBezTo>
                <a:cubicBezTo>
                  <a:pt x="9" y="0"/>
                  <a:pt x="9" y="0"/>
                  <a:pt x="9" y="0"/>
                </a:cubicBezTo>
                <a:cubicBezTo>
                  <a:pt x="7" y="3"/>
                  <a:pt x="4" y="5"/>
                  <a:pt x="0" y="4"/>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29" name="Freeform 49" hidden="1">
            <a:extLst>
              <a:ext uri="{FF2B5EF4-FFF2-40B4-BE49-F238E27FC236}">
                <a16:creationId xmlns:a16="http://schemas.microsoft.com/office/drawing/2014/main" id="{00000000-0008-0000-0000-00001D000000}"/>
              </a:ext>
            </a:extLst>
          </xdr:cNvPr>
          <xdr:cNvSpPr>
            <a:spLocks/>
          </xdr:cNvSpPr>
        </xdr:nvSpPr>
        <xdr:spPr bwMode="auto">
          <a:xfrm>
            <a:off x="2301875" y="1979613"/>
            <a:ext cx="966788" cy="473075"/>
          </a:xfrm>
          <a:custGeom>
            <a:avLst/>
            <a:gdLst/>
            <a:ahLst/>
            <a:cxnLst>
              <a:cxn ang="0">
                <a:pos x="543" y="285"/>
              </a:cxn>
              <a:cxn ang="0">
                <a:pos x="555" y="317"/>
              </a:cxn>
              <a:cxn ang="0">
                <a:pos x="560" y="338"/>
              </a:cxn>
              <a:cxn ang="0">
                <a:pos x="542" y="345"/>
              </a:cxn>
              <a:cxn ang="0">
                <a:pos x="507" y="287"/>
              </a:cxn>
              <a:cxn ang="0">
                <a:pos x="474" y="283"/>
              </a:cxn>
              <a:cxn ang="0">
                <a:pos x="460" y="283"/>
              </a:cxn>
              <a:cxn ang="0">
                <a:pos x="443" y="286"/>
              </a:cxn>
              <a:cxn ang="0">
                <a:pos x="412" y="292"/>
              </a:cxn>
              <a:cxn ang="0">
                <a:pos x="393" y="291"/>
              </a:cxn>
              <a:cxn ang="0">
                <a:pos x="357" y="309"/>
              </a:cxn>
              <a:cxn ang="0">
                <a:pos x="343" y="342"/>
              </a:cxn>
              <a:cxn ang="0">
                <a:pos x="282" y="290"/>
              </a:cxn>
              <a:cxn ang="0">
                <a:pos x="246" y="281"/>
              </a:cxn>
              <a:cxn ang="0">
                <a:pos x="207" y="262"/>
              </a:cxn>
              <a:cxn ang="0">
                <a:pos x="170" y="268"/>
              </a:cxn>
              <a:cxn ang="0">
                <a:pos x="95" y="252"/>
              </a:cxn>
              <a:cxn ang="0">
                <a:pos x="47" y="214"/>
              </a:cxn>
              <a:cxn ang="0">
                <a:pos x="4" y="141"/>
              </a:cxn>
              <a:cxn ang="0">
                <a:pos x="4" y="95"/>
              </a:cxn>
              <a:cxn ang="0">
                <a:pos x="0" y="23"/>
              </a:cxn>
              <a:cxn ang="0">
                <a:pos x="20" y="27"/>
              </a:cxn>
              <a:cxn ang="0">
                <a:pos x="20" y="5"/>
              </a:cxn>
              <a:cxn ang="0">
                <a:pos x="373" y="0"/>
              </a:cxn>
              <a:cxn ang="0">
                <a:pos x="406" y="11"/>
              </a:cxn>
              <a:cxn ang="0">
                <a:pos x="408" y="45"/>
              </a:cxn>
              <a:cxn ang="0">
                <a:pos x="423" y="42"/>
              </a:cxn>
              <a:cxn ang="0">
                <a:pos x="441" y="40"/>
              </a:cxn>
              <a:cxn ang="0">
                <a:pos x="456" y="42"/>
              </a:cxn>
              <a:cxn ang="0">
                <a:pos x="472" y="47"/>
              </a:cxn>
              <a:cxn ang="0">
                <a:pos x="510" y="48"/>
              </a:cxn>
              <a:cxn ang="0">
                <a:pos x="490" y="54"/>
              </a:cxn>
              <a:cxn ang="0">
                <a:pos x="472" y="69"/>
              </a:cxn>
              <a:cxn ang="0">
                <a:pos x="471" y="121"/>
              </a:cxn>
              <a:cxn ang="0">
                <a:pos x="480" y="88"/>
              </a:cxn>
              <a:cxn ang="0">
                <a:pos x="501" y="57"/>
              </a:cxn>
              <a:cxn ang="0">
                <a:pos x="516" y="87"/>
              </a:cxn>
              <a:cxn ang="0">
                <a:pos x="531" y="97"/>
              </a:cxn>
              <a:cxn ang="0">
                <a:pos x="527" y="123"/>
              </a:cxn>
              <a:cxn ang="0">
                <a:pos x="564" y="97"/>
              </a:cxn>
              <a:cxn ang="0">
                <a:pos x="610" y="84"/>
              </a:cxn>
              <a:cxn ang="0">
                <a:pos x="653" y="65"/>
              </a:cxn>
              <a:cxn ang="0">
                <a:pos x="675" y="63"/>
              </a:cxn>
              <a:cxn ang="0">
                <a:pos x="699" y="28"/>
              </a:cxn>
              <a:cxn ang="0">
                <a:pos x="726" y="73"/>
              </a:cxn>
              <a:cxn ang="0">
                <a:pos x="701" y="80"/>
              </a:cxn>
              <a:cxn ang="0">
                <a:pos x="681" y="113"/>
              </a:cxn>
              <a:cxn ang="0">
                <a:pos x="690" y="118"/>
              </a:cxn>
              <a:cxn ang="0">
                <a:pos x="676" y="122"/>
              </a:cxn>
              <a:cxn ang="0">
                <a:pos x="648" y="132"/>
              </a:cxn>
              <a:cxn ang="0">
                <a:pos x="642" y="134"/>
              </a:cxn>
              <a:cxn ang="0">
                <a:pos x="635" y="137"/>
              </a:cxn>
              <a:cxn ang="0">
                <a:pos x="627" y="161"/>
              </a:cxn>
              <a:cxn ang="0">
                <a:pos x="622" y="159"/>
              </a:cxn>
              <a:cxn ang="0">
                <a:pos x="615" y="186"/>
              </a:cxn>
              <a:cxn ang="0">
                <a:pos x="614" y="178"/>
              </a:cxn>
              <a:cxn ang="0">
                <a:pos x="608" y="170"/>
              </a:cxn>
              <a:cxn ang="0">
                <a:pos x="611" y="192"/>
              </a:cxn>
              <a:cxn ang="0">
                <a:pos x="614" y="196"/>
              </a:cxn>
              <a:cxn ang="0">
                <a:pos x="614" y="205"/>
              </a:cxn>
              <a:cxn ang="0">
                <a:pos x="607" y="213"/>
              </a:cxn>
              <a:cxn ang="0">
                <a:pos x="607" y="221"/>
              </a:cxn>
              <a:cxn ang="0">
                <a:pos x="589" y="232"/>
              </a:cxn>
            </a:cxnLst>
            <a:rect l="0" t="0" r="r" b="b"/>
            <a:pathLst>
              <a:path w="726" h="356">
                <a:moveTo>
                  <a:pt x="590" y="233"/>
                </a:moveTo>
                <a:cubicBezTo>
                  <a:pt x="569" y="245"/>
                  <a:pt x="543" y="253"/>
                  <a:pt x="543" y="285"/>
                </a:cubicBezTo>
                <a:cubicBezTo>
                  <a:pt x="543" y="300"/>
                  <a:pt x="555" y="304"/>
                  <a:pt x="555" y="318"/>
                </a:cubicBezTo>
                <a:cubicBezTo>
                  <a:pt x="555" y="317"/>
                  <a:pt x="555" y="317"/>
                  <a:pt x="555" y="317"/>
                </a:cubicBezTo>
                <a:cubicBezTo>
                  <a:pt x="555" y="320"/>
                  <a:pt x="555" y="320"/>
                  <a:pt x="555" y="320"/>
                </a:cubicBezTo>
                <a:cubicBezTo>
                  <a:pt x="556" y="326"/>
                  <a:pt x="560" y="330"/>
                  <a:pt x="560" y="338"/>
                </a:cubicBezTo>
                <a:cubicBezTo>
                  <a:pt x="560" y="347"/>
                  <a:pt x="558" y="356"/>
                  <a:pt x="551" y="356"/>
                </a:cubicBezTo>
                <a:cubicBezTo>
                  <a:pt x="544" y="356"/>
                  <a:pt x="544" y="349"/>
                  <a:pt x="542" y="345"/>
                </a:cubicBezTo>
                <a:cubicBezTo>
                  <a:pt x="537" y="338"/>
                  <a:pt x="532" y="335"/>
                  <a:pt x="529" y="328"/>
                </a:cubicBezTo>
                <a:cubicBezTo>
                  <a:pt x="522" y="314"/>
                  <a:pt x="527" y="287"/>
                  <a:pt x="507" y="287"/>
                </a:cubicBezTo>
                <a:cubicBezTo>
                  <a:pt x="503" y="287"/>
                  <a:pt x="502" y="293"/>
                  <a:pt x="498" y="293"/>
                </a:cubicBezTo>
                <a:cubicBezTo>
                  <a:pt x="490" y="293"/>
                  <a:pt x="485" y="283"/>
                  <a:pt x="474" y="283"/>
                </a:cubicBezTo>
                <a:cubicBezTo>
                  <a:pt x="468" y="283"/>
                  <a:pt x="467" y="286"/>
                  <a:pt x="463" y="286"/>
                </a:cubicBezTo>
                <a:cubicBezTo>
                  <a:pt x="462" y="286"/>
                  <a:pt x="460" y="284"/>
                  <a:pt x="460" y="283"/>
                </a:cubicBezTo>
                <a:cubicBezTo>
                  <a:pt x="453" y="285"/>
                  <a:pt x="444" y="284"/>
                  <a:pt x="436" y="286"/>
                </a:cubicBezTo>
                <a:cubicBezTo>
                  <a:pt x="441" y="288"/>
                  <a:pt x="440" y="288"/>
                  <a:pt x="443" y="286"/>
                </a:cubicBezTo>
                <a:cubicBezTo>
                  <a:pt x="442" y="293"/>
                  <a:pt x="438" y="297"/>
                  <a:pt x="443" y="301"/>
                </a:cubicBezTo>
                <a:cubicBezTo>
                  <a:pt x="431" y="307"/>
                  <a:pt x="421" y="292"/>
                  <a:pt x="412" y="292"/>
                </a:cubicBezTo>
                <a:cubicBezTo>
                  <a:pt x="409" y="292"/>
                  <a:pt x="408" y="295"/>
                  <a:pt x="405" y="295"/>
                </a:cubicBezTo>
                <a:cubicBezTo>
                  <a:pt x="400" y="295"/>
                  <a:pt x="398" y="291"/>
                  <a:pt x="393" y="291"/>
                </a:cubicBezTo>
                <a:cubicBezTo>
                  <a:pt x="380" y="291"/>
                  <a:pt x="374" y="302"/>
                  <a:pt x="368" y="307"/>
                </a:cubicBezTo>
                <a:cubicBezTo>
                  <a:pt x="365" y="311"/>
                  <a:pt x="361" y="308"/>
                  <a:pt x="357" y="309"/>
                </a:cubicBezTo>
                <a:cubicBezTo>
                  <a:pt x="347" y="313"/>
                  <a:pt x="341" y="325"/>
                  <a:pt x="341" y="338"/>
                </a:cubicBezTo>
                <a:cubicBezTo>
                  <a:pt x="341" y="339"/>
                  <a:pt x="343" y="341"/>
                  <a:pt x="343" y="342"/>
                </a:cubicBezTo>
                <a:cubicBezTo>
                  <a:pt x="336" y="342"/>
                  <a:pt x="325" y="339"/>
                  <a:pt x="321" y="336"/>
                </a:cubicBezTo>
                <a:cubicBezTo>
                  <a:pt x="307" y="322"/>
                  <a:pt x="308" y="290"/>
                  <a:pt x="282" y="290"/>
                </a:cubicBezTo>
                <a:cubicBezTo>
                  <a:pt x="272" y="290"/>
                  <a:pt x="275" y="302"/>
                  <a:pt x="266" y="302"/>
                </a:cubicBezTo>
                <a:cubicBezTo>
                  <a:pt x="257" y="302"/>
                  <a:pt x="250" y="287"/>
                  <a:pt x="246" y="281"/>
                </a:cubicBezTo>
                <a:cubicBezTo>
                  <a:pt x="239" y="268"/>
                  <a:pt x="230" y="266"/>
                  <a:pt x="215" y="262"/>
                </a:cubicBezTo>
                <a:cubicBezTo>
                  <a:pt x="207" y="262"/>
                  <a:pt x="207" y="262"/>
                  <a:pt x="207" y="262"/>
                </a:cubicBezTo>
                <a:cubicBezTo>
                  <a:pt x="207" y="268"/>
                  <a:pt x="207" y="268"/>
                  <a:pt x="207" y="268"/>
                </a:cubicBezTo>
                <a:cubicBezTo>
                  <a:pt x="170" y="268"/>
                  <a:pt x="170" y="268"/>
                  <a:pt x="170" y="268"/>
                </a:cubicBezTo>
                <a:cubicBezTo>
                  <a:pt x="123" y="252"/>
                  <a:pt x="123" y="252"/>
                  <a:pt x="123" y="252"/>
                </a:cubicBezTo>
                <a:cubicBezTo>
                  <a:pt x="95" y="252"/>
                  <a:pt x="95" y="252"/>
                  <a:pt x="95" y="252"/>
                </a:cubicBezTo>
                <a:cubicBezTo>
                  <a:pt x="88" y="239"/>
                  <a:pt x="66" y="230"/>
                  <a:pt x="50" y="223"/>
                </a:cubicBezTo>
                <a:cubicBezTo>
                  <a:pt x="47" y="222"/>
                  <a:pt x="48" y="217"/>
                  <a:pt x="47" y="214"/>
                </a:cubicBezTo>
                <a:cubicBezTo>
                  <a:pt x="40" y="198"/>
                  <a:pt x="28" y="193"/>
                  <a:pt x="30" y="175"/>
                </a:cubicBezTo>
                <a:cubicBezTo>
                  <a:pt x="21" y="174"/>
                  <a:pt x="11" y="154"/>
                  <a:pt x="4" y="141"/>
                </a:cubicBezTo>
                <a:cubicBezTo>
                  <a:pt x="2" y="137"/>
                  <a:pt x="6" y="134"/>
                  <a:pt x="8" y="133"/>
                </a:cubicBezTo>
                <a:cubicBezTo>
                  <a:pt x="3" y="123"/>
                  <a:pt x="8" y="107"/>
                  <a:pt x="4" y="95"/>
                </a:cubicBezTo>
                <a:cubicBezTo>
                  <a:pt x="0" y="85"/>
                  <a:pt x="11" y="60"/>
                  <a:pt x="11" y="46"/>
                </a:cubicBezTo>
                <a:cubicBezTo>
                  <a:pt x="11" y="36"/>
                  <a:pt x="0" y="32"/>
                  <a:pt x="0" y="23"/>
                </a:cubicBezTo>
                <a:cubicBezTo>
                  <a:pt x="0" y="20"/>
                  <a:pt x="5" y="20"/>
                  <a:pt x="7" y="20"/>
                </a:cubicBezTo>
                <a:cubicBezTo>
                  <a:pt x="13" y="20"/>
                  <a:pt x="17" y="23"/>
                  <a:pt x="20" y="27"/>
                </a:cubicBezTo>
                <a:cubicBezTo>
                  <a:pt x="22" y="24"/>
                  <a:pt x="26" y="19"/>
                  <a:pt x="26" y="15"/>
                </a:cubicBezTo>
                <a:cubicBezTo>
                  <a:pt x="26" y="11"/>
                  <a:pt x="22" y="10"/>
                  <a:pt x="20" y="5"/>
                </a:cubicBezTo>
                <a:cubicBezTo>
                  <a:pt x="373" y="5"/>
                  <a:pt x="373" y="5"/>
                  <a:pt x="373" y="5"/>
                </a:cubicBezTo>
                <a:cubicBezTo>
                  <a:pt x="373" y="0"/>
                  <a:pt x="373" y="0"/>
                  <a:pt x="373" y="0"/>
                </a:cubicBezTo>
                <a:cubicBezTo>
                  <a:pt x="379" y="4"/>
                  <a:pt x="378" y="8"/>
                  <a:pt x="384" y="11"/>
                </a:cubicBezTo>
                <a:cubicBezTo>
                  <a:pt x="406" y="11"/>
                  <a:pt x="406" y="11"/>
                  <a:pt x="406" y="11"/>
                </a:cubicBezTo>
                <a:cubicBezTo>
                  <a:pt x="415" y="20"/>
                  <a:pt x="426" y="20"/>
                  <a:pt x="443" y="20"/>
                </a:cubicBezTo>
                <a:cubicBezTo>
                  <a:pt x="431" y="28"/>
                  <a:pt x="418" y="32"/>
                  <a:pt x="408" y="45"/>
                </a:cubicBezTo>
                <a:cubicBezTo>
                  <a:pt x="415" y="45"/>
                  <a:pt x="415" y="45"/>
                  <a:pt x="415" y="45"/>
                </a:cubicBezTo>
                <a:cubicBezTo>
                  <a:pt x="418" y="43"/>
                  <a:pt x="420" y="42"/>
                  <a:pt x="423" y="42"/>
                </a:cubicBezTo>
                <a:cubicBezTo>
                  <a:pt x="425" y="46"/>
                  <a:pt x="426" y="46"/>
                  <a:pt x="429" y="46"/>
                </a:cubicBezTo>
                <a:cubicBezTo>
                  <a:pt x="437" y="46"/>
                  <a:pt x="437" y="40"/>
                  <a:pt x="441" y="40"/>
                </a:cubicBezTo>
                <a:cubicBezTo>
                  <a:pt x="446" y="40"/>
                  <a:pt x="454" y="32"/>
                  <a:pt x="461" y="31"/>
                </a:cubicBezTo>
                <a:cubicBezTo>
                  <a:pt x="461" y="37"/>
                  <a:pt x="458" y="38"/>
                  <a:pt x="456" y="42"/>
                </a:cubicBezTo>
                <a:cubicBezTo>
                  <a:pt x="465" y="42"/>
                  <a:pt x="465" y="42"/>
                  <a:pt x="465" y="42"/>
                </a:cubicBezTo>
                <a:cubicBezTo>
                  <a:pt x="465" y="45"/>
                  <a:pt x="469" y="47"/>
                  <a:pt x="472" y="47"/>
                </a:cubicBezTo>
                <a:cubicBezTo>
                  <a:pt x="478" y="47"/>
                  <a:pt x="480" y="43"/>
                  <a:pt x="484" y="43"/>
                </a:cubicBezTo>
                <a:cubicBezTo>
                  <a:pt x="495" y="43"/>
                  <a:pt x="500" y="48"/>
                  <a:pt x="510" y="48"/>
                </a:cubicBezTo>
                <a:cubicBezTo>
                  <a:pt x="510" y="54"/>
                  <a:pt x="510" y="54"/>
                  <a:pt x="510" y="54"/>
                </a:cubicBezTo>
                <a:cubicBezTo>
                  <a:pt x="503" y="56"/>
                  <a:pt x="493" y="54"/>
                  <a:pt x="490" y="54"/>
                </a:cubicBezTo>
                <a:cubicBezTo>
                  <a:pt x="480" y="54"/>
                  <a:pt x="462" y="66"/>
                  <a:pt x="462" y="75"/>
                </a:cubicBezTo>
                <a:cubicBezTo>
                  <a:pt x="466" y="72"/>
                  <a:pt x="468" y="69"/>
                  <a:pt x="472" y="69"/>
                </a:cubicBezTo>
                <a:cubicBezTo>
                  <a:pt x="465" y="78"/>
                  <a:pt x="461" y="101"/>
                  <a:pt x="461" y="112"/>
                </a:cubicBezTo>
                <a:cubicBezTo>
                  <a:pt x="461" y="117"/>
                  <a:pt x="466" y="121"/>
                  <a:pt x="471" y="121"/>
                </a:cubicBezTo>
                <a:cubicBezTo>
                  <a:pt x="478" y="121"/>
                  <a:pt x="480" y="108"/>
                  <a:pt x="480" y="102"/>
                </a:cubicBezTo>
                <a:cubicBezTo>
                  <a:pt x="480" y="97"/>
                  <a:pt x="480" y="88"/>
                  <a:pt x="480" y="88"/>
                </a:cubicBezTo>
                <a:cubicBezTo>
                  <a:pt x="480" y="82"/>
                  <a:pt x="480" y="69"/>
                  <a:pt x="485" y="69"/>
                </a:cubicBezTo>
                <a:cubicBezTo>
                  <a:pt x="501" y="68"/>
                  <a:pt x="494" y="57"/>
                  <a:pt x="501" y="57"/>
                </a:cubicBezTo>
                <a:cubicBezTo>
                  <a:pt x="504" y="57"/>
                  <a:pt x="521" y="65"/>
                  <a:pt x="521" y="70"/>
                </a:cubicBezTo>
                <a:cubicBezTo>
                  <a:pt x="521" y="77"/>
                  <a:pt x="517" y="81"/>
                  <a:pt x="516" y="87"/>
                </a:cubicBezTo>
                <a:cubicBezTo>
                  <a:pt x="521" y="87"/>
                  <a:pt x="520" y="85"/>
                  <a:pt x="525" y="84"/>
                </a:cubicBezTo>
                <a:cubicBezTo>
                  <a:pt x="526" y="91"/>
                  <a:pt x="526" y="94"/>
                  <a:pt x="531" y="97"/>
                </a:cubicBezTo>
                <a:cubicBezTo>
                  <a:pt x="526" y="103"/>
                  <a:pt x="521" y="106"/>
                  <a:pt x="521" y="112"/>
                </a:cubicBezTo>
                <a:cubicBezTo>
                  <a:pt x="521" y="117"/>
                  <a:pt x="523" y="123"/>
                  <a:pt x="527" y="123"/>
                </a:cubicBezTo>
                <a:cubicBezTo>
                  <a:pt x="539" y="123"/>
                  <a:pt x="559" y="112"/>
                  <a:pt x="568" y="108"/>
                </a:cubicBezTo>
                <a:cubicBezTo>
                  <a:pt x="567" y="103"/>
                  <a:pt x="565" y="99"/>
                  <a:pt x="564" y="97"/>
                </a:cubicBezTo>
                <a:cubicBezTo>
                  <a:pt x="567" y="97"/>
                  <a:pt x="567" y="97"/>
                  <a:pt x="569" y="97"/>
                </a:cubicBezTo>
                <a:cubicBezTo>
                  <a:pt x="582" y="97"/>
                  <a:pt x="610" y="101"/>
                  <a:pt x="610" y="84"/>
                </a:cubicBezTo>
                <a:cubicBezTo>
                  <a:pt x="611" y="84"/>
                  <a:pt x="627" y="68"/>
                  <a:pt x="630" y="66"/>
                </a:cubicBezTo>
                <a:cubicBezTo>
                  <a:pt x="632" y="64"/>
                  <a:pt x="643" y="65"/>
                  <a:pt x="653" y="65"/>
                </a:cubicBezTo>
                <a:cubicBezTo>
                  <a:pt x="657" y="65"/>
                  <a:pt x="660" y="65"/>
                  <a:pt x="664" y="65"/>
                </a:cubicBezTo>
                <a:cubicBezTo>
                  <a:pt x="668" y="65"/>
                  <a:pt x="672" y="63"/>
                  <a:pt x="675" y="63"/>
                </a:cubicBezTo>
                <a:cubicBezTo>
                  <a:pt x="680" y="62"/>
                  <a:pt x="678" y="61"/>
                  <a:pt x="680" y="59"/>
                </a:cubicBezTo>
                <a:cubicBezTo>
                  <a:pt x="688" y="51"/>
                  <a:pt x="688" y="36"/>
                  <a:pt x="699" y="28"/>
                </a:cubicBezTo>
                <a:cubicBezTo>
                  <a:pt x="704" y="35"/>
                  <a:pt x="712" y="25"/>
                  <a:pt x="716" y="32"/>
                </a:cubicBezTo>
                <a:cubicBezTo>
                  <a:pt x="723" y="44"/>
                  <a:pt x="717" y="62"/>
                  <a:pt x="726" y="73"/>
                </a:cubicBezTo>
                <a:cubicBezTo>
                  <a:pt x="723" y="77"/>
                  <a:pt x="718" y="80"/>
                  <a:pt x="712" y="80"/>
                </a:cubicBezTo>
                <a:cubicBezTo>
                  <a:pt x="706" y="80"/>
                  <a:pt x="706" y="78"/>
                  <a:pt x="701" y="80"/>
                </a:cubicBezTo>
                <a:cubicBezTo>
                  <a:pt x="694" y="87"/>
                  <a:pt x="679" y="92"/>
                  <a:pt x="679" y="109"/>
                </a:cubicBezTo>
                <a:cubicBezTo>
                  <a:pt x="679" y="110"/>
                  <a:pt x="680" y="112"/>
                  <a:pt x="681" y="113"/>
                </a:cubicBezTo>
                <a:cubicBezTo>
                  <a:pt x="681" y="115"/>
                  <a:pt x="683" y="121"/>
                  <a:pt x="686" y="121"/>
                </a:cubicBezTo>
                <a:cubicBezTo>
                  <a:pt x="687" y="121"/>
                  <a:pt x="690" y="118"/>
                  <a:pt x="690" y="118"/>
                </a:cubicBezTo>
                <a:cubicBezTo>
                  <a:pt x="690" y="121"/>
                  <a:pt x="690" y="121"/>
                  <a:pt x="690" y="121"/>
                </a:cubicBezTo>
                <a:cubicBezTo>
                  <a:pt x="685" y="122"/>
                  <a:pt x="678" y="124"/>
                  <a:pt x="676" y="122"/>
                </a:cubicBezTo>
                <a:cubicBezTo>
                  <a:pt x="667" y="129"/>
                  <a:pt x="652" y="126"/>
                  <a:pt x="643" y="132"/>
                </a:cubicBezTo>
                <a:cubicBezTo>
                  <a:pt x="648" y="132"/>
                  <a:pt x="648" y="132"/>
                  <a:pt x="648" y="132"/>
                </a:cubicBezTo>
                <a:cubicBezTo>
                  <a:pt x="652" y="132"/>
                  <a:pt x="656" y="129"/>
                  <a:pt x="659" y="132"/>
                </a:cubicBezTo>
                <a:cubicBezTo>
                  <a:pt x="653" y="134"/>
                  <a:pt x="648" y="134"/>
                  <a:pt x="642" y="134"/>
                </a:cubicBezTo>
                <a:cubicBezTo>
                  <a:pt x="641" y="134"/>
                  <a:pt x="639" y="133"/>
                  <a:pt x="638" y="133"/>
                </a:cubicBezTo>
                <a:cubicBezTo>
                  <a:pt x="637" y="134"/>
                  <a:pt x="635" y="135"/>
                  <a:pt x="635" y="137"/>
                </a:cubicBezTo>
                <a:cubicBezTo>
                  <a:pt x="635" y="139"/>
                  <a:pt x="639" y="142"/>
                  <a:pt x="639" y="142"/>
                </a:cubicBezTo>
                <a:cubicBezTo>
                  <a:pt x="638" y="145"/>
                  <a:pt x="630" y="161"/>
                  <a:pt x="627" y="161"/>
                </a:cubicBezTo>
                <a:cubicBezTo>
                  <a:pt x="626" y="161"/>
                  <a:pt x="625" y="158"/>
                  <a:pt x="624" y="157"/>
                </a:cubicBezTo>
                <a:cubicBezTo>
                  <a:pt x="622" y="159"/>
                  <a:pt x="622" y="159"/>
                  <a:pt x="622" y="159"/>
                </a:cubicBezTo>
                <a:cubicBezTo>
                  <a:pt x="623" y="163"/>
                  <a:pt x="626" y="164"/>
                  <a:pt x="626" y="168"/>
                </a:cubicBezTo>
                <a:cubicBezTo>
                  <a:pt x="626" y="170"/>
                  <a:pt x="617" y="186"/>
                  <a:pt x="615" y="186"/>
                </a:cubicBezTo>
                <a:cubicBezTo>
                  <a:pt x="615" y="186"/>
                  <a:pt x="614" y="184"/>
                  <a:pt x="614" y="183"/>
                </a:cubicBezTo>
                <a:cubicBezTo>
                  <a:pt x="614" y="181"/>
                  <a:pt x="614" y="180"/>
                  <a:pt x="614" y="178"/>
                </a:cubicBezTo>
                <a:cubicBezTo>
                  <a:pt x="614" y="175"/>
                  <a:pt x="610" y="168"/>
                  <a:pt x="609" y="164"/>
                </a:cubicBezTo>
                <a:cubicBezTo>
                  <a:pt x="608" y="166"/>
                  <a:pt x="608" y="170"/>
                  <a:pt x="608" y="170"/>
                </a:cubicBezTo>
                <a:cubicBezTo>
                  <a:pt x="608" y="173"/>
                  <a:pt x="611" y="181"/>
                  <a:pt x="611" y="185"/>
                </a:cubicBezTo>
                <a:cubicBezTo>
                  <a:pt x="611" y="189"/>
                  <a:pt x="608" y="189"/>
                  <a:pt x="611" y="192"/>
                </a:cubicBezTo>
                <a:cubicBezTo>
                  <a:pt x="612" y="192"/>
                  <a:pt x="613" y="192"/>
                  <a:pt x="614" y="192"/>
                </a:cubicBezTo>
                <a:cubicBezTo>
                  <a:pt x="614" y="193"/>
                  <a:pt x="614" y="195"/>
                  <a:pt x="614" y="196"/>
                </a:cubicBezTo>
                <a:cubicBezTo>
                  <a:pt x="614" y="200"/>
                  <a:pt x="610" y="201"/>
                  <a:pt x="608" y="201"/>
                </a:cubicBezTo>
                <a:cubicBezTo>
                  <a:pt x="610" y="205"/>
                  <a:pt x="612" y="205"/>
                  <a:pt x="614" y="205"/>
                </a:cubicBezTo>
                <a:cubicBezTo>
                  <a:pt x="613" y="210"/>
                  <a:pt x="611" y="210"/>
                  <a:pt x="607" y="210"/>
                </a:cubicBezTo>
                <a:cubicBezTo>
                  <a:pt x="607" y="213"/>
                  <a:pt x="607" y="213"/>
                  <a:pt x="607" y="213"/>
                </a:cubicBezTo>
                <a:cubicBezTo>
                  <a:pt x="612" y="216"/>
                  <a:pt x="612" y="216"/>
                  <a:pt x="612" y="216"/>
                </a:cubicBezTo>
                <a:cubicBezTo>
                  <a:pt x="611" y="218"/>
                  <a:pt x="610" y="221"/>
                  <a:pt x="607" y="221"/>
                </a:cubicBezTo>
                <a:cubicBezTo>
                  <a:pt x="602" y="222"/>
                  <a:pt x="600" y="226"/>
                  <a:pt x="596" y="226"/>
                </a:cubicBezTo>
                <a:cubicBezTo>
                  <a:pt x="591" y="228"/>
                  <a:pt x="591" y="230"/>
                  <a:pt x="589" y="232"/>
                </a:cubicBezTo>
                <a:lnTo>
                  <a:pt x="590" y="233"/>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30" name="Freeform 50" hidden="1">
            <a:extLst>
              <a:ext uri="{FF2B5EF4-FFF2-40B4-BE49-F238E27FC236}">
                <a16:creationId xmlns:a16="http://schemas.microsoft.com/office/drawing/2014/main" id="{00000000-0008-0000-0000-00001E000000}"/>
              </a:ext>
            </a:extLst>
          </xdr:cNvPr>
          <xdr:cNvSpPr>
            <a:spLocks/>
          </xdr:cNvSpPr>
        </xdr:nvSpPr>
        <xdr:spPr bwMode="auto">
          <a:xfrm>
            <a:off x="2030413" y="1400175"/>
            <a:ext cx="1425575" cy="736600"/>
          </a:xfrm>
          <a:custGeom>
            <a:avLst/>
            <a:gdLst/>
            <a:ahLst/>
            <a:cxnLst>
              <a:cxn ang="0">
                <a:pos x="950" y="501"/>
              </a:cxn>
              <a:cxn ang="0">
                <a:pos x="950" y="527"/>
              </a:cxn>
              <a:cxn ang="0">
                <a:pos x="955" y="469"/>
              </a:cxn>
              <a:cxn ang="0">
                <a:pos x="944" y="436"/>
              </a:cxn>
              <a:cxn ang="0">
                <a:pos x="982" y="418"/>
              </a:cxn>
              <a:cxn ang="0">
                <a:pos x="1060" y="356"/>
              </a:cxn>
              <a:cxn ang="0">
                <a:pos x="1050" y="346"/>
              </a:cxn>
              <a:cxn ang="0">
                <a:pos x="991" y="310"/>
              </a:cxn>
              <a:cxn ang="0">
                <a:pos x="965" y="247"/>
              </a:cxn>
              <a:cxn ang="0">
                <a:pos x="908" y="267"/>
              </a:cxn>
              <a:cxn ang="0">
                <a:pos x="831" y="204"/>
              </a:cxn>
              <a:cxn ang="0">
                <a:pos x="794" y="247"/>
              </a:cxn>
              <a:cxn ang="0">
                <a:pos x="783" y="387"/>
              </a:cxn>
              <a:cxn ang="0">
                <a:pos x="726" y="334"/>
              </a:cxn>
              <a:cxn ang="0">
                <a:pos x="607" y="306"/>
              </a:cxn>
              <a:cxn ang="0">
                <a:pos x="595" y="216"/>
              </a:cxn>
              <a:cxn ang="0">
                <a:pos x="633" y="178"/>
              </a:cxn>
              <a:cxn ang="0">
                <a:pos x="675" y="146"/>
              </a:cxn>
              <a:cxn ang="0">
                <a:pos x="686" y="127"/>
              </a:cxn>
              <a:cxn ang="0">
                <a:pos x="722" y="120"/>
              </a:cxn>
              <a:cxn ang="0">
                <a:pos x="746" y="61"/>
              </a:cxn>
              <a:cxn ang="0">
                <a:pos x="702" y="67"/>
              </a:cxn>
              <a:cxn ang="0">
                <a:pos x="665" y="74"/>
              </a:cxn>
              <a:cxn ang="0">
                <a:pos x="625" y="55"/>
              </a:cxn>
              <a:cxn ang="0">
                <a:pos x="574" y="0"/>
              </a:cxn>
              <a:cxn ang="0">
                <a:pos x="555" y="38"/>
              </a:cxn>
              <a:cxn ang="0">
                <a:pos x="567" y="98"/>
              </a:cxn>
              <a:cxn ang="0">
                <a:pos x="492" y="92"/>
              </a:cxn>
              <a:cxn ang="0">
                <a:pos x="430" y="75"/>
              </a:cxn>
              <a:cxn ang="0">
                <a:pos x="387" y="89"/>
              </a:cxn>
              <a:cxn ang="0">
                <a:pos x="333" y="81"/>
              </a:cxn>
              <a:cxn ang="0">
                <a:pos x="202" y="42"/>
              </a:cxn>
              <a:cxn ang="0">
                <a:pos x="138" y="40"/>
              </a:cxn>
              <a:cxn ang="0">
                <a:pos x="61" y="70"/>
              </a:cxn>
              <a:cxn ang="0">
                <a:pos x="0" y="242"/>
              </a:cxn>
              <a:cxn ang="0">
                <a:pos x="67" y="253"/>
              </a:cxn>
              <a:cxn ang="0">
                <a:pos x="124" y="316"/>
              </a:cxn>
              <a:cxn ang="0">
                <a:pos x="136" y="366"/>
              </a:cxn>
              <a:cxn ang="0">
                <a:pos x="181" y="413"/>
              </a:cxn>
              <a:cxn ang="0">
                <a:pos x="224" y="440"/>
              </a:cxn>
              <a:cxn ang="0">
                <a:pos x="610" y="446"/>
              </a:cxn>
              <a:cxn ang="0">
                <a:pos x="676" y="453"/>
              </a:cxn>
              <a:cxn ang="0">
                <a:pos x="705" y="477"/>
              </a:cxn>
              <a:cxn ang="0">
                <a:pos x="759" y="512"/>
              </a:cxn>
              <a:cxn ang="0">
                <a:pos x="732" y="553"/>
              </a:cxn>
              <a:cxn ang="0">
                <a:pos x="772" y="543"/>
              </a:cxn>
              <a:cxn ang="0">
                <a:pos x="814" y="519"/>
              </a:cxn>
              <a:cxn ang="0">
                <a:pos x="879" y="498"/>
              </a:cxn>
              <a:cxn ang="0">
                <a:pos x="928" y="505"/>
              </a:cxn>
            </a:cxnLst>
            <a:rect l="0" t="0" r="r" b="b"/>
            <a:pathLst>
              <a:path w="1071" h="553">
                <a:moveTo>
                  <a:pt x="928" y="503"/>
                </a:moveTo>
                <a:cubicBezTo>
                  <a:pt x="928" y="502"/>
                  <a:pt x="928" y="502"/>
                  <a:pt x="928" y="502"/>
                </a:cubicBezTo>
                <a:cubicBezTo>
                  <a:pt x="928" y="502"/>
                  <a:pt x="931" y="502"/>
                  <a:pt x="932" y="502"/>
                </a:cubicBezTo>
                <a:cubicBezTo>
                  <a:pt x="935" y="502"/>
                  <a:pt x="946" y="504"/>
                  <a:pt x="950" y="501"/>
                </a:cubicBezTo>
                <a:cubicBezTo>
                  <a:pt x="954" y="498"/>
                  <a:pt x="954" y="493"/>
                  <a:pt x="960" y="492"/>
                </a:cubicBezTo>
                <a:cubicBezTo>
                  <a:pt x="960" y="498"/>
                  <a:pt x="960" y="499"/>
                  <a:pt x="967" y="499"/>
                </a:cubicBezTo>
                <a:cubicBezTo>
                  <a:pt x="957" y="500"/>
                  <a:pt x="941" y="507"/>
                  <a:pt x="941" y="516"/>
                </a:cubicBezTo>
                <a:cubicBezTo>
                  <a:pt x="941" y="520"/>
                  <a:pt x="947" y="527"/>
                  <a:pt x="950" y="527"/>
                </a:cubicBezTo>
                <a:cubicBezTo>
                  <a:pt x="953" y="527"/>
                  <a:pt x="961" y="516"/>
                  <a:pt x="970" y="513"/>
                </a:cubicBezTo>
                <a:cubicBezTo>
                  <a:pt x="972" y="513"/>
                  <a:pt x="1003" y="501"/>
                  <a:pt x="1003" y="497"/>
                </a:cubicBezTo>
                <a:cubicBezTo>
                  <a:pt x="1003" y="493"/>
                  <a:pt x="991" y="492"/>
                  <a:pt x="988" y="492"/>
                </a:cubicBezTo>
                <a:cubicBezTo>
                  <a:pt x="976" y="492"/>
                  <a:pt x="955" y="480"/>
                  <a:pt x="955" y="469"/>
                </a:cubicBezTo>
                <a:cubicBezTo>
                  <a:pt x="955" y="466"/>
                  <a:pt x="959" y="463"/>
                  <a:pt x="960" y="458"/>
                </a:cubicBezTo>
                <a:cubicBezTo>
                  <a:pt x="958" y="458"/>
                  <a:pt x="953" y="457"/>
                  <a:pt x="949" y="457"/>
                </a:cubicBezTo>
                <a:cubicBezTo>
                  <a:pt x="951" y="453"/>
                  <a:pt x="967" y="451"/>
                  <a:pt x="967" y="442"/>
                </a:cubicBezTo>
                <a:cubicBezTo>
                  <a:pt x="967" y="434"/>
                  <a:pt x="954" y="436"/>
                  <a:pt x="944" y="436"/>
                </a:cubicBezTo>
                <a:cubicBezTo>
                  <a:pt x="925" y="436"/>
                  <a:pt x="916" y="449"/>
                  <a:pt x="903" y="451"/>
                </a:cubicBezTo>
                <a:cubicBezTo>
                  <a:pt x="909" y="439"/>
                  <a:pt x="918" y="443"/>
                  <a:pt x="928" y="433"/>
                </a:cubicBezTo>
                <a:cubicBezTo>
                  <a:pt x="934" y="427"/>
                  <a:pt x="929" y="423"/>
                  <a:pt x="939" y="420"/>
                </a:cubicBezTo>
                <a:cubicBezTo>
                  <a:pt x="955" y="415"/>
                  <a:pt x="965" y="418"/>
                  <a:pt x="982" y="418"/>
                </a:cubicBezTo>
                <a:cubicBezTo>
                  <a:pt x="1004" y="418"/>
                  <a:pt x="1016" y="425"/>
                  <a:pt x="1029" y="408"/>
                </a:cubicBezTo>
                <a:cubicBezTo>
                  <a:pt x="1035" y="400"/>
                  <a:pt x="1071" y="398"/>
                  <a:pt x="1071" y="384"/>
                </a:cubicBezTo>
                <a:cubicBezTo>
                  <a:pt x="1071" y="374"/>
                  <a:pt x="1067" y="370"/>
                  <a:pt x="1063" y="363"/>
                </a:cubicBezTo>
                <a:cubicBezTo>
                  <a:pt x="1060" y="363"/>
                  <a:pt x="1065" y="359"/>
                  <a:pt x="1060" y="356"/>
                </a:cubicBezTo>
                <a:cubicBezTo>
                  <a:pt x="1060" y="351"/>
                  <a:pt x="1060" y="351"/>
                  <a:pt x="1060" y="351"/>
                </a:cubicBezTo>
                <a:cubicBezTo>
                  <a:pt x="1050" y="357"/>
                  <a:pt x="1029" y="364"/>
                  <a:pt x="1018" y="364"/>
                </a:cubicBezTo>
                <a:cubicBezTo>
                  <a:pt x="1017" y="364"/>
                  <a:pt x="1014" y="363"/>
                  <a:pt x="1014" y="362"/>
                </a:cubicBezTo>
                <a:cubicBezTo>
                  <a:pt x="1022" y="358"/>
                  <a:pt x="1047" y="354"/>
                  <a:pt x="1050" y="346"/>
                </a:cubicBezTo>
                <a:cubicBezTo>
                  <a:pt x="1050" y="344"/>
                  <a:pt x="1046" y="343"/>
                  <a:pt x="1046" y="341"/>
                </a:cubicBezTo>
                <a:cubicBezTo>
                  <a:pt x="1035" y="342"/>
                  <a:pt x="1013" y="337"/>
                  <a:pt x="1013" y="322"/>
                </a:cubicBezTo>
                <a:cubicBezTo>
                  <a:pt x="1013" y="321"/>
                  <a:pt x="1013" y="321"/>
                  <a:pt x="1013" y="321"/>
                </a:cubicBezTo>
                <a:cubicBezTo>
                  <a:pt x="1003" y="321"/>
                  <a:pt x="997" y="315"/>
                  <a:pt x="991" y="310"/>
                </a:cubicBezTo>
                <a:cubicBezTo>
                  <a:pt x="994" y="309"/>
                  <a:pt x="998" y="308"/>
                  <a:pt x="998" y="302"/>
                </a:cubicBezTo>
                <a:cubicBezTo>
                  <a:pt x="998" y="298"/>
                  <a:pt x="994" y="295"/>
                  <a:pt x="995" y="290"/>
                </a:cubicBezTo>
                <a:cubicBezTo>
                  <a:pt x="991" y="289"/>
                  <a:pt x="977" y="280"/>
                  <a:pt x="980" y="272"/>
                </a:cubicBezTo>
                <a:cubicBezTo>
                  <a:pt x="985" y="262"/>
                  <a:pt x="966" y="259"/>
                  <a:pt x="965" y="247"/>
                </a:cubicBezTo>
                <a:cubicBezTo>
                  <a:pt x="964" y="247"/>
                  <a:pt x="959" y="243"/>
                  <a:pt x="958" y="242"/>
                </a:cubicBezTo>
                <a:cubicBezTo>
                  <a:pt x="954" y="244"/>
                  <a:pt x="947" y="248"/>
                  <a:pt x="947" y="254"/>
                </a:cubicBezTo>
                <a:cubicBezTo>
                  <a:pt x="947" y="261"/>
                  <a:pt x="933" y="277"/>
                  <a:pt x="922" y="277"/>
                </a:cubicBezTo>
                <a:cubicBezTo>
                  <a:pt x="914" y="277"/>
                  <a:pt x="913" y="267"/>
                  <a:pt x="908" y="267"/>
                </a:cubicBezTo>
                <a:cubicBezTo>
                  <a:pt x="900" y="267"/>
                  <a:pt x="897" y="246"/>
                  <a:pt x="896" y="236"/>
                </a:cubicBezTo>
                <a:cubicBezTo>
                  <a:pt x="894" y="224"/>
                  <a:pt x="870" y="233"/>
                  <a:pt x="870" y="216"/>
                </a:cubicBezTo>
                <a:cubicBezTo>
                  <a:pt x="858" y="215"/>
                  <a:pt x="855" y="200"/>
                  <a:pt x="843" y="200"/>
                </a:cubicBezTo>
                <a:cubicBezTo>
                  <a:pt x="837" y="200"/>
                  <a:pt x="837" y="204"/>
                  <a:pt x="831" y="204"/>
                </a:cubicBezTo>
                <a:cubicBezTo>
                  <a:pt x="818" y="204"/>
                  <a:pt x="810" y="197"/>
                  <a:pt x="797" y="197"/>
                </a:cubicBezTo>
                <a:cubicBezTo>
                  <a:pt x="791" y="197"/>
                  <a:pt x="784" y="200"/>
                  <a:pt x="784" y="208"/>
                </a:cubicBezTo>
                <a:cubicBezTo>
                  <a:pt x="784" y="212"/>
                  <a:pt x="800" y="218"/>
                  <a:pt x="786" y="227"/>
                </a:cubicBezTo>
                <a:cubicBezTo>
                  <a:pt x="780" y="231"/>
                  <a:pt x="794" y="241"/>
                  <a:pt x="794" y="247"/>
                </a:cubicBezTo>
                <a:cubicBezTo>
                  <a:pt x="796" y="260"/>
                  <a:pt x="783" y="264"/>
                  <a:pt x="778" y="266"/>
                </a:cubicBezTo>
                <a:cubicBezTo>
                  <a:pt x="788" y="283"/>
                  <a:pt x="803" y="289"/>
                  <a:pt x="803" y="318"/>
                </a:cubicBezTo>
                <a:cubicBezTo>
                  <a:pt x="803" y="326"/>
                  <a:pt x="777" y="346"/>
                  <a:pt x="768" y="347"/>
                </a:cubicBezTo>
                <a:cubicBezTo>
                  <a:pt x="783" y="355"/>
                  <a:pt x="777" y="379"/>
                  <a:pt x="783" y="387"/>
                </a:cubicBezTo>
                <a:cubicBezTo>
                  <a:pt x="782" y="389"/>
                  <a:pt x="776" y="392"/>
                  <a:pt x="775" y="397"/>
                </a:cubicBezTo>
                <a:cubicBezTo>
                  <a:pt x="770" y="397"/>
                  <a:pt x="766" y="406"/>
                  <a:pt x="762" y="403"/>
                </a:cubicBezTo>
                <a:cubicBezTo>
                  <a:pt x="751" y="394"/>
                  <a:pt x="736" y="380"/>
                  <a:pt x="736" y="367"/>
                </a:cubicBezTo>
                <a:cubicBezTo>
                  <a:pt x="736" y="353"/>
                  <a:pt x="738" y="342"/>
                  <a:pt x="726" y="334"/>
                </a:cubicBezTo>
                <a:cubicBezTo>
                  <a:pt x="697" y="334"/>
                  <a:pt x="697" y="334"/>
                  <a:pt x="697" y="334"/>
                </a:cubicBezTo>
                <a:cubicBezTo>
                  <a:pt x="681" y="322"/>
                  <a:pt x="662" y="315"/>
                  <a:pt x="643" y="308"/>
                </a:cubicBezTo>
                <a:cubicBezTo>
                  <a:pt x="640" y="306"/>
                  <a:pt x="629" y="299"/>
                  <a:pt x="623" y="299"/>
                </a:cubicBezTo>
                <a:cubicBezTo>
                  <a:pt x="617" y="299"/>
                  <a:pt x="614" y="306"/>
                  <a:pt x="607" y="306"/>
                </a:cubicBezTo>
                <a:cubicBezTo>
                  <a:pt x="607" y="295"/>
                  <a:pt x="600" y="270"/>
                  <a:pt x="590" y="270"/>
                </a:cubicBezTo>
                <a:cubicBezTo>
                  <a:pt x="586" y="270"/>
                  <a:pt x="584" y="274"/>
                  <a:pt x="579" y="275"/>
                </a:cubicBezTo>
                <a:cubicBezTo>
                  <a:pt x="581" y="269"/>
                  <a:pt x="579" y="268"/>
                  <a:pt x="579" y="255"/>
                </a:cubicBezTo>
                <a:cubicBezTo>
                  <a:pt x="579" y="237"/>
                  <a:pt x="584" y="227"/>
                  <a:pt x="595" y="216"/>
                </a:cubicBezTo>
                <a:cubicBezTo>
                  <a:pt x="598" y="213"/>
                  <a:pt x="606" y="196"/>
                  <a:pt x="609" y="194"/>
                </a:cubicBezTo>
                <a:cubicBezTo>
                  <a:pt x="617" y="192"/>
                  <a:pt x="630" y="196"/>
                  <a:pt x="630" y="186"/>
                </a:cubicBezTo>
                <a:cubicBezTo>
                  <a:pt x="630" y="179"/>
                  <a:pt x="613" y="178"/>
                  <a:pt x="607" y="175"/>
                </a:cubicBezTo>
                <a:cubicBezTo>
                  <a:pt x="611" y="176"/>
                  <a:pt x="597" y="167"/>
                  <a:pt x="633" y="178"/>
                </a:cubicBezTo>
                <a:cubicBezTo>
                  <a:pt x="643" y="181"/>
                  <a:pt x="637" y="169"/>
                  <a:pt x="642" y="169"/>
                </a:cubicBezTo>
                <a:cubicBezTo>
                  <a:pt x="643" y="169"/>
                  <a:pt x="647" y="169"/>
                  <a:pt x="652" y="169"/>
                </a:cubicBezTo>
                <a:cubicBezTo>
                  <a:pt x="662" y="169"/>
                  <a:pt x="668" y="158"/>
                  <a:pt x="675" y="153"/>
                </a:cubicBezTo>
                <a:cubicBezTo>
                  <a:pt x="675" y="146"/>
                  <a:pt x="675" y="146"/>
                  <a:pt x="675" y="146"/>
                </a:cubicBezTo>
                <a:cubicBezTo>
                  <a:pt x="660" y="142"/>
                  <a:pt x="645" y="145"/>
                  <a:pt x="639" y="131"/>
                </a:cubicBezTo>
                <a:cubicBezTo>
                  <a:pt x="639" y="131"/>
                  <a:pt x="643" y="131"/>
                  <a:pt x="647" y="131"/>
                </a:cubicBezTo>
                <a:cubicBezTo>
                  <a:pt x="652" y="135"/>
                  <a:pt x="658" y="141"/>
                  <a:pt x="666" y="141"/>
                </a:cubicBezTo>
                <a:cubicBezTo>
                  <a:pt x="673" y="141"/>
                  <a:pt x="686" y="132"/>
                  <a:pt x="686" y="127"/>
                </a:cubicBezTo>
                <a:cubicBezTo>
                  <a:pt x="686" y="125"/>
                  <a:pt x="680" y="117"/>
                  <a:pt x="683" y="117"/>
                </a:cubicBezTo>
                <a:cubicBezTo>
                  <a:pt x="693" y="117"/>
                  <a:pt x="696" y="126"/>
                  <a:pt x="703" y="126"/>
                </a:cubicBezTo>
                <a:cubicBezTo>
                  <a:pt x="707" y="126"/>
                  <a:pt x="709" y="123"/>
                  <a:pt x="717" y="123"/>
                </a:cubicBezTo>
                <a:cubicBezTo>
                  <a:pt x="715" y="120"/>
                  <a:pt x="717" y="112"/>
                  <a:pt x="722" y="120"/>
                </a:cubicBezTo>
                <a:cubicBezTo>
                  <a:pt x="725" y="125"/>
                  <a:pt x="748" y="105"/>
                  <a:pt x="748" y="100"/>
                </a:cubicBezTo>
                <a:cubicBezTo>
                  <a:pt x="748" y="96"/>
                  <a:pt x="738" y="91"/>
                  <a:pt x="738" y="89"/>
                </a:cubicBezTo>
                <a:cubicBezTo>
                  <a:pt x="738" y="85"/>
                  <a:pt x="732" y="78"/>
                  <a:pt x="746" y="72"/>
                </a:cubicBezTo>
                <a:cubicBezTo>
                  <a:pt x="748" y="68"/>
                  <a:pt x="746" y="68"/>
                  <a:pt x="746" y="61"/>
                </a:cubicBezTo>
                <a:cubicBezTo>
                  <a:pt x="732" y="61"/>
                  <a:pt x="735" y="50"/>
                  <a:pt x="717" y="50"/>
                </a:cubicBezTo>
                <a:cubicBezTo>
                  <a:pt x="713" y="49"/>
                  <a:pt x="710" y="47"/>
                  <a:pt x="706" y="47"/>
                </a:cubicBezTo>
                <a:cubicBezTo>
                  <a:pt x="701" y="47"/>
                  <a:pt x="695" y="50"/>
                  <a:pt x="695" y="55"/>
                </a:cubicBezTo>
                <a:cubicBezTo>
                  <a:pt x="695" y="61"/>
                  <a:pt x="702" y="63"/>
                  <a:pt x="702" y="67"/>
                </a:cubicBezTo>
                <a:cubicBezTo>
                  <a:pt x="702" y="72"/>
                  <a:pt x="692" y="72"/>
                  <a:pt x="689" y="76"/>
                </a:cubicBezTo>
                <a:cubicBezTo>
                  <a:pt x="686" y="84"/>
                  <a:pt x="687" y="90"/>
                  <a:pt x="681" y="98"/>
                </a:cubicBezTo>
                <a:cubicBezTo>
                  <a:pt x="671" y="110"/>
                  <a:pt x="658" y="90"/>
                  <a:pt x="658" y="85"/>
                </a:cubicBezTo>
                <a:cubicBezTo>
                  <a:pt x="658" y="79"/>
                  <a:pt x="665" y="81"/>
                  <a:pt x="665" y="74"/>
                </a:cubicBezTo>
                <a:cubicBezTo>
                  <a:pt x="665" y="71"/>
                  <a:pt x="652" y="59"/>
                  <a:pt x="649" y="59"/>
                </a:cubicBezTo>
                <a:cubicBezTo>
                  <a:pt x="636" y="59"/>
                  <a:pt x="645" y="78"/>
                  <a:pt x="631" y="78"/>
                </a:cubicBezTo>
                <a:cubicBezTo>
                  <a:pt x="631" y="70"/>
                  <a:pt x="630" y="65"/>
                  <a:pt x="621" y="60"/>
                </a:cubicBezTo>
                <a:cubicBezTo>
                  <a:pt x="622" y="58"/>
                  <a:pt x="623" y="57"/>
                  <a:pt x="625" y="55"/>
                </a:cubicBezTo>
                <a:cubicBezTo>
                  <a:pt x="618" y="51"/>
                  <a:pt x="609" y="55"/>
                  <a:pt x="603" y="48"/>
                </a:cubicBezTo>
                <a:cubicBezTo>
                  <a:pt x="606" y="47"/>
                  <a:pt x="614" y="44"/>
                  <a:pt x="614" y="38"/>
                </a:cubicBezTo>
                <a:cubicBezTo>
                  <a:pt x="614" y="29"/>
                  <a:pt x="601" y="30"/>
                  <a:pt x="601" y="23"/>
                </a:cubicBezTo>
                <a:cubicBezTo>
                  <a:pt x="601" y="10"/>
                  <a:pt x="591" y="1"/>
                  <a:pt x="574" y="0"/>
                </a:cubicBezTo>
                <a:cubicBezTo>
                  <a:pt x="565" y="0"/>
                  <a:pt x="569" y="6"/>
                  <a:pt x="569" y="10"/>
                </a:cubicBezTo>
                <a:cubicBezTo>
                  <a:pt x="564" y="11"/>
                  <a:pt x="557" y="10"/>
                  <a:pt x="557" y="17"/>
                </a:cubicBezTo>
                <a:cubicBezTo>
                  <a:pt x="557" y="21"/>
                  <a:pt x="561" y="23"/>
                  <a:pt x="561" y="28"/>
                </a:cubicBezTo>
                <a:cubicBezTo>
                  <a:pt x="561" y="32"/>
                  <a:pt x="555" y="32"/>
                  <a:pt x="555" y="38"/>
                </a:cubicBezTo>
                <a:cubicBezTo>
                  <a:pt x="555" y="52"/>
                  <a:pt x="585" y="44"/>
                  <a:pt x="585" y="59"/>
                </a:cubicBezTo>
                <a:cubicBezTo>
                  <a:pt x="585" y="61"/>
                  <a:pt x="581" y="72"/>
                  <a:pt x="581" y="72"/>
                </a:cubicBezTo>
                <a:cubicBezTo>
                  <a:pt x="584" y="70"/>
                  <a:pt x="587" y="69"/>
                  <a:pt x="591" y="67"/>
                </a:cubicBezTo>
                <a:cubicBezTo>
                  <a:pt x="596" y="85"/>
                  <a:pt x="567" y="77"/>
                  <a:pt x="567" y="98"/>
                </a:cubicBezTo>
                <a:cubicBezTo>
                  <a:pt x="553" y="102"/>
                  <a:pt x="564" y="88"/>
                  <a:pt x="561" y="83"/>
                </a:cubicBezTo>
                <a:cubicBezTo>
                  <a:pt x="559" y="81"/>
                  <a:pt x="547" y="78"/>
                  <a:pt x="541" y="78"/>
                </a:cubicBezTo>
                <a:cubicBezTo>
                  <a:pt x="533" y="78"/>
                  <a:pt x="530" y="82"/>
                  <a:pt x="530" y="92"/>
                </a:cubicBezTo>
                <a:cubicBezTo>
                  <a:pt x="522" y="91"/>
                  <a:pt x="517" y="92"/>
                  <a:pt x="492" y="92"/>
                </a:cubicBezTo>
                <a:cubicBezTo>
                  <a:pt x="468" y="92"/>
                  <a:pt x="441" y="83"/>
                  <a:pt x="435" y="65"/>
                </a:cubicBezTo>
                <a:cubicBezTo>
                  <a:pt x="427" y="67"/>
                  <a:pt x="400" y="68"/>
                  <a:pt x="400" y="78"/>
                </a:cubicBezTo>
                <a:cubicBezTo>
                  <a:pt x="400" y="81"/>
                  <a:pt x="403" y="82"/>
                  <a:pt x="406" y="82"/>
                </a:cubicBezTo>
                <a:cubicBezTo>
                  <a:pt x="413" y="82"/>
                  <a:pt x="425" y="79"/>
                  <a:pt x="430" y="75"/>
                </a:cubicBezTo>
                <a:cubicBezTo>
                  <a:pt x="432" y="90"/>
                  <a:pt x="409" y="78"/>
                  <a:pt x="409" y="93"/>
                </a:cubicBezTo>
                <a:cubicBezTo>
                  <a:pt x="409" y="96"/>
                  <a:pt x="414" y="106"/>
                  <a:pt x="412" y="106"/>
                </a:cubicBezTo>
                <a:cubicBezTo>
                  <a:pt x="403" y="106"/>
                  <a:pt x="401" y="95"/>
                  <a:pt x="394" y="92"/>
                </a:cubicBezTo>
                <a:cubicBezTo>
                  <a:pt x="387" y="89"/>
                  <a:pt x="387" y="89"/>
                  <a:pt x="387" y="89"/>
                </a:cubicBezTo>
                <a:cubicBezTo>
                  <a:pt x="377" y="89"/>
                  <a:pt x="370" y="89"/>
                  <a:pt x="359" y="89"/>
                </a:cubicBezTo>
                <a:cubicBezTo>
                  <a:pt x="350" y="89"/>
                  <a:pt x="344" y="92"/>
                  <a:pt x="335" y="93"/>
                </a:cubicBezTo>
                <a:cubicBezTo>
                  <a:pt x="317" y="93"/>
                  <a:pt x="317" y="87"/>
                  <a:pt x="317" y="86"/>
                </a:cubicBezTo>
                <a:cubicBezTo>
                  <a:pt x="317" y="82"/>
                  <a:pt x="331" y="83"/>
                  <a:pt x="333" y="81"/>
                </a:cubicBezTo>
                <a:cubicBezTo>
                  <a:pt x="321" y="64"/>
                  <a:pt x="323" y="66"/>
                  <a:pt x="298" y="68"/>
                </a:cubicBezTo>
                <a:cubicBezTo>
                  <a:pt x="271" y="70"/>
                  <a:pt x="258" y="48"/>
                  <a:pt x="231" y="48"/>
                </a:cubicBezTo>
                <a:cubicBezTo>
                  <a:pt x="223" y="48"/>
                  <a:pt x="219" y="54"/>
                  <a:pt x="212" y="54"/>
                </a:cubicBezTo>
                <a:cubicBezTo>
                  <a:pt x="207" y="54"/>
                  <a:pt x="202" y="46"/>
                  <a:pt x="202" y="42"/>
                </a:cubicBezTo>
                <a:cubicBezTo>
                  <a:pt x="193" y="44"/>
                  <a:pt x="193" y="54"/>
                  <a:pt x="184" y="54"/>
                </a:cubicBezTo>
                <a:cubicBezTo>
                  <a:pt x="176" y="54"/>
                  <a:pt x="164" y="34"/>
                  <a:pt x="161" y="34"/>
                </a:cubicBezTo>
                <a:cubicBezTo>
                  <a:pt x="153" y="34"/>
                  <a:pt x="156" y="47"/>
                  <a:pt x="146" y="47"/>
                </a:cubicBezTo>
                <a:cubicBezTo>
                  <a:pt x="143" y="47"/>
                  <a:pt x="140" y="44"/>
                  <a:pt x="138" y="40"/>
                </a:cubicBezTo>
                <a:cubicBezTo>
                  <a:pt x="125" y="44"/>
                  <a:pt x="120" y="44"/>
                  <a:pt x="108" y="49"/>
                </a:cubicBezTo>
                <a:cubicBezTo>
                  <a:pt x="103" y="50"/>
                  <a:pt x="91" y="59"/>
                  <a:pt x="87" y="55"/>
                </a:cubicBezTo>
                <a:cubicBezTo>
                  <a:pt x="76" y="44"/>
                  <a:pt x="78" y="58"/>
                  <a:pt x="74" y="58"/>
                </a:cubicBezTo>
                <a:cubicBezTo>
                  <a:pt x="45" y="59"/>
                  <a:pt x="65" y="70"/>
                  <a:pt x="61" y="70"/>
                </a:cubicBezTo>
                <a:cubicBezTo>
                  <a:pt x="50" y="70"/>
                  <a:pt x="30" y="67"/>
                  <a:pt x="12" y="56"/>
                </a:cubicBezTo>
                <a:cubicBezTo>
                  <a:pt x="11" y="56"/>
                  <a:pt x="6" y="52"/>
                  <a:pt x="6" y="51"/>
                </a:cubicBezTo>
                <a:cubicBezTo>
                  <a:pt x="3" y="52"/>
                  <a:pt x="5" y="52"/>
                  <a:pt x="0" y="51"/>
                </a:cubicBezTo>
                <a:cubicBezTo>
                  <a:pt x="0" y="242"/>
                  <a:pt x="0" y="242"/>
                  <a:pt x="0" y="242"/>
                </a:cubicBezTo>
                <a:cubicBezTo>
                  <a:pt x="6" y="247"/>
                  <a:pt x="19" y="240"/>
                  <a:pt x="25" y="248"/>
                </a:cubicBezTo>
                <a:cubicBezTo>
                  <a:pt x="29" y="254"/>
                  <a:pt x="38" y="266"/>
                  <a:pt x="47" y="266"/>
                </a:cubicBezTo>
                <a:cubicBezTo>
                  <a:pt x="53" y="266"/>
                  <a:pt x="53" y="257"/>
                  <a:pt x="59" y="255"/>
                </a:cubicBezTo>
                <a:cubicBezTo>
                  <a:pt x="62" y="254"/>
                  <a:pt x="64" y="255"/>
                  <a:pt x="67" y="253"/>
                </a:cubicBezTo>
                <a:cubicBezTo>
                  <a:pt x="81" y="266"/>
                  <a:pt x="87" y="271"/>
                  <a:pt x="99" y="288"/>
                </a:cubicBezTo>
                <a:cubicBezTo>
                  <a:pt x="100" y="290"/>
                  <a:pt x="103" y="291"/>
                  <a:pt x="105" y="295"/>
                </a:cubicBezTo>
                <a:cubicBezTo>
                  <a:pt x="106" y="300"/>
                  <a:pt x="108" y="306"/>
                  <a:pt x="113" y="311"/>
                </a:cubicBezTo>
                <a:cubicBezTo>
                  <a:pt x="116" y="314"/>
                  <a:pt x="121" y="313"/>
                  <a:pt x="124" y="316"/>
                </a:cubicBezTo>
                <a:cubicBezTo>
                  <a:pt x="128" y="320"/>
                  <a:pt x="135" y="322"/>
                  <a:pt x="135" y="332"/>
                </a:cubicBezTo>
                <a:cubicBezTo>
                  <a:pt x="135" y="336"/>
                  <a:pt x="129" y="337"/>
                  <a:pt x="129" y="340"/>
                </a:cubicBezTo>
                <a:cubicBezTo>
                  <a:pt x="129" y="343"/>
                  <a:pt x="132" y="344"/>
                  <a:pt x="132" y="347"/>
                </a:cubicBezTo>
                <a:cubicBezTo>
                  <a:pt x="132" y="352"/>
                  <a:pt x="130" y="364"/>
                  <a:pt x="136" y="366"/>
                </a:cubicBezTo>
                <a:cubicBezTo>
                  <a:pt x="140" y="367"/>
                  <a:pt x="143" y="367"/>
                  <a:pt x="146" y="370"/>
                </a:cubicBezTo>
                <a:cubicBezTo>
                  <a:pt x="150" y="373"/>
                  <a:pt x="145" y="379"/>
                  <a:pt x="150" y="383"/>
                </a:cubicBezTo>
                <a:cubicBezTo>
                  <a:pt x="150" y="383"/>
                  <a:pt x="162" y="390"/>
                  <a:pt x="162" y="391"/>
                </a:cubicBezTo>
                <a:cubicBezTo>
                  <a:pt x="165" y="401"/>
                  <a:pt x="166" y="413"/>
                  <a:pt x="181" y="413"/>
                </a:cubicBezTo>
                <a:cubicBezTo>
                  <a:pt x="183" y="422"/>
                  <a:pt x="199" y="416"/>
                  <a:pt x="202" y="428"/>
                </a:cubicBezTo>
                <a:cubicBezTo>
                  <a:pt x="204" y="432"/>
                  <a:pt x="215" y="433"/>
                  <a:pt x="219" y="437"/>
                </a:cubicBezTo>
                <a:cubicBezTo>
                  <a:pt x="220" y="438"/>
                  <a:pt x="222" y="439"/>
                  <a:pt x="224" y="440"/>
                </a:cubicBezTo>
                <a:cubicBezTo>
                  <a:pt x="224" y="440"/>
                  <a:pt x="224" y="440"/>
                  <a:pt x="224" y="440"/>
                </a:cubicBezTo>
                <a:cubicBezTo>
                  <a:pt x="577" y="440"/>
                  <a:pt x="577" y="440"/>
                  <a:pt x="577" y="440"/>
                </a:cubicBezTo>
                <a:cubicBezTo>
                  <a:pt x="577" y="435"/>
                  <a:pt x="577" y="435"/>
                  <a:pt x="577" y="435"/>
                </a:cubicBezTo>
                <a:cubicBezTo>
                  <a:pt x="583" y="439"/>
                  <a:pt x="582" y="443"/>
                  <a:pt x="588" y="446"/>
                </a:cubicBezTo>
                <a:cubicBezTo>
                  <a:pt x="610" y="446"/>
                  <a:pt x="610" y="446"/>
                  <a:pt x="610" y="446"/>
                </a:cubicBezTo>
                <a:cubicBezTo>
                  <a:pt x="619" y="455"/>
                  <a:pt x="630" y="455"/>
                  <a:pt x="647" y="455"/>
                </a:cubicBezTo>
                <a:cubicBezTo>
                  <a:pt x="652" y="453"/>
                  <a:pt x="653" y="455"/>
                  <a:pt x="658" y="452"/>
                </a:cubicBezTo>
                <a:cubicBezTo>
                  <a:pt x="662" y="450"/>
                  <a:pt x="661" y="443"/>
                  <a:pt x="665" y="443"/>
                </a:cubicBezTo>
                <a:cubicBezTo>
                  <a:pt x="670" y="443"/>
                  <a:pt x="674" y="451"/>
                  <a:pt x="676" y="453"/>
                </a:cubicBezTo>
                <a:cubicBezTo>
                  <a:pt x="677" y="451"/>
                  <a:pt x="676" y="448"/>
                  <a:pt x="676" y="447"/>
                </a:cubicBezTo>
                <a:cubicBezTo>
                  <a:pt x="677" y="447"/>
                  <a:pt x="678" y="447"/>
                  <a:pt x="680" y="447"/>
                </a:cubicBezTo>
                <a:cubicBezTo>
                  <a:pt x="682" y="447"/>
                  <a:pt x="701" y="462"/>
                  <a:pt x="702" y="463"/>
                </a:cubicBezTo>
                <a:cubicBezTo>
                  <a:pt x="704" y="469"/>
                  <a:pt x="702" y="473"/>
                  <a:pt x="705" y="477"/>
                </a:cubicBezTo>
                <a:cubicBezTo>
                  <a:pt x="715" y="487"/>
                  <a:pt x="729" y="485"/>
                  <a:pt x="740" y="492"/>
                </a:cubicBezTo>
                <a:cubicBezTo>
                  <a:pt x="752" y="492"/>
                  <a:pt x="752" y="492"/>
                  <a:pt x="752" y="492"/>
                </a:cubicBezTo>
                <a:cubicBezTo>
                  <a:pt x="757" y="495"/>
                  <a:pt x="763" y="500"/>
                  <a:pt x="763" y="506"/>
                </a:cubicBezTo>
                <a:cubicBezTo>
                  <a:pt x="763" y="509"/>
                  <a:pt x="762" y="512"/>
                  <a:pt x="759" y="512"/>
                </a:cubicBezTo>
                <a:cubicBezTo>
                  <a:pt x="754" y="512"/>
                  <a:pt x="748" y="506"/>
                  <a:pt x="747" y="504"/>
                </a:cubicBezTo>
                <a:cubicBezTo>
                  <a:pt x="745" y="511"/>
                  <a:pt x="741" y="532"/>
                  <a:pt x="735" y="532"/>
                </a:cubicBezTo>
                <a:cubicBezTo>
                  <a:pt x="730" y="538"/>
                  <a:pt x="725" y="541"/>
                  <a:pt x="725" y="547"/>
                </a:cubicBezTo>
                <a:cubicBezTo>
                  <a:pt x="726" y="549"/>
                  <a:pt x="729" y="553"/>
                  <a:pt x="732" y="553"/>
                </a:cubicBezTo>
                <a:cubicBezTo>
                  <a:pt x="736" y="553"/>
                  <a:pt x="736" y="550"/>
                  <a:pt x="738" y="548"/>
                </a:cubicBezTo>
                <a:cubicBezTo>
                  <a:pt x="742" y="544"/>
                  <a:pt x="748" y="545"/>
                  <a:pt x="755" y="545"/>
                </a:cubicBezTo>
                <a:cubicBezTo>
                  <a:pt x="760" y="545"/>
                  <a:pt x="763" y="548"/>
                  <a:pt x="765" y="546"/>
                </a:cubicBezTo>
                <a:cubicBezTo>
                  <a:pt x="768" y="545"/>
                  <a:pt x="770" y="544"/>
                  <a:pt x="772" y="543"/>
                </a:cubicBezTo>
                <a:cubicBezTo>
                  <a:pt x="772" y="540"/>
                  <a:pt x="771" y="538"/>
                  <a:pt x="770" y="536"/>
                </a:cubicBezTo>
                <a:cubicBezTo>
                  <a:pt x="769" y="534"/>
                  <a:pt x="767" y="533"/>
                  <a:pt x="767" y="531"/>
                </a:cubicBezTo>
                <a:cubicBezTo>
                  <a:pt x="767" y="529"/>
                  <a:pt x="771" y="528"/>
                  <a:pt x="773" y="528"/>
                </a:cubicBezTo>
                <a:cubicBezTo>
                  <a:pt x="782" y="525"/>
                  <a:pt x="803" y="519"/>
                  <a:pt x="814" y="519"/>
                </a:cubicBezTo>
                <a:cubicBezTo>
                  <a:pt x="815" y="519"/>
                  <a:pt x="831" y="503"/>
                  <a:pt x="834" y="501"/>
                </a:cubicBezTo>
                <a:cubicBezTo>
                  <a:pt x="836" y="499"/>
                  <a:pt x="847" y="500"/>
                  <a:pt x="857" y="500"/>
                </a:cubicBezTo>
                <a:cubicBezTo>
                  <a:pt x="861" y="500"/>
                  <a:pt x="864" y="500"/>
                  <a:pt x="868" y="500"/>
                </a:cubicBezTo>
                <a:cubicBezTo>
                  <a:pt x="872" y="500"/>
                  <a:pt x="876" y="498"/>
                  <a:pt x="879" y="498"/>
                </a:cubicBezTo>
                <a:cubicBezTo>
                  <a:pt x="884" y="497"/>
                  <a:pt x="882" y="496"/>
                  <a:pt x="884" y="494"/>
                </a:cubicBezTo>
                <a:cubicBezTo>
                  <a:pt x="892" y="486"/>
                  <a:pt x="892" y="471"/>
                  <a:pt x="903" y="463"/>
                </a:cubicBezTo>
                <a:cubicBezTo>
                  <a:pt x="908" y="470"/>
                  <a:pt x="916" y="460"/>
                  <a:pt x="920" y="467"/>
                </a:cubicBezTo>
                <a:cubicBezTo>
                  <a:pt x="926" y="478"/>
                  <a:pt x="922" y="494"/>
                  <a:pt x="928" y="505"/>
                </a:cubicBezTo>
                <a:lnTo>
                  <a:pt x="928" y="503"/>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31" name="Freeform 51" hidden="1">
            <a:extLst>
              <a:ext uri="{FF2B5EF4-FFF2-40B4-BE49-F238E27FC236}">
                <a16:creationId xmlns:a16="http://schemas.microsoft.com/office/drawing/2014/main" id="{00000000-0008-0000-0000-00001F000000}"/>
              </a:ext>
            </a:extLst>
          </xdr:cNvPr>
          <xdr:cNvSpPr>
            <a:spLocks/>
          </xdr:cNvSpPr>
        </xdr:nvSpPr>
        <xdr:spPr bwMode="auto">
          <a:xfrm>
            <a:off x="1585913" y="1417638"/>
            <a:ext cx="623888" cy="457200"/>
          </a:xfrm>
          <a:custGeom>
            <a:avLst/>
            <a:gdLst/>
            <a:ahLst/>
            <a:cxnLst>
              <a:cxn ang="0">
                <a:pos x="334" y="228"/>
              </a:cxn>
              <a:cxn ang="0">
                <a:pos x="381" y="252"/>
              </a:cxn>
              <a:cxn ang="0">
                <a:pos x="401" y="239"/>
              </a:cxn>
              <a:cxn ang="0">
                <a:pos x="439" y="281"/>
              </a:cxn>
              <a:cxn ang="0">
                <a:pos x="458" y="302"/>
              </a:cxn>
              <a:cxn ang="0">
                <a:pos x="463" y="326"/>
              </a:cxn>
              <a:cxn ang="0">
                <a:pos x="440" y="314"/>
              </a:cxn>
              <a:cxn ang="0">
                <a:pos x="427" y="300"/>
              </a:cxn>
              <a:cxn ang="0">
                <a:pos x="426" y="286"/>
              </a:cxn>
              <a:cxn ang="0">
                <a:pos x="414" y="286"/>
              </a:cxn>
              <a:cxn ang="0">
                <a:pos x="412" y="270"/>
              </a:cxn>
              <a:cxn ang="0">
                <a:pos x="390" y="261"/>
              </a:cxn>
              <a:cxn ang="0">
                <a:pos x="363" y="252"/>
              </a:cxn>
              <a:cxn ang="0">
                <a:pos x="299" y="236"/>
              </a:cxn>
              <a:cxn ang="0">
                <a:pos x="240" y="221"/>
              </a:cxn>
              <a:cxn ang="0">
                <a:pos x="200" y="252"/>
              </a:cxn>
              <a:cxn ang="0">
                <a:pos x="199" y="245"/>
              </a:cxn>
              <a:cxn ang="0">
                <a:pos x="218" y="219"/>
              </a:cxn>
              <a:cxn ang="0">
                <a:pos x="213" y="214"/>
              </a:cxn>
              <a:cxn ang="0">
                <a:pos x="173" y="260"/>
              </a:cxn>
              <a:cxn ang="0">
                <a:pos x="143" y="288"/>
              </a:cxn>
              <a:cxn ang="0">
                <a:pos x="79" y="322"/>
              </a:cxn>
              <a:cxn ang="0">
                <a:pos x="57" y="328"/>
              </a:cxn>
              <a:cxn ang="0">
                <a:pos x="92" y="307"/>
              </a:cxn>
              <a:cxn ang="0">
                <a:pos x="148" y="256"/>
              </a:cxn>
              <a:cxn ang="0">
                <a:pos x="125" y="262"/>
              </a:cxn>
              <a:cxn ang="0">
                <a:pos x="110" y="266"/>
              </a:cxn>
              <a:cxn ang="0">
                <a:pos x="88" y="261"/>
              </a:cxn>
              <a:cxn ang="0">
                <a:pos x="76" y="264"/>
              </a:cxn>
              <a:cxn ang="0">
                <a:pos x="72" y="244"/>
              </a:cxn>
              <a:cxn ang="0">
                <a:pos x="60" y="245"/>
              </a:cxn>
              <a:cxn ang="0">
                <a:pos x="37" y="224"/>
              </a:cxn>
              <a:cxn ang="0">
                <a:pos x="52" y="180"/>
              </a:cxn>
              <a:cxn ang="0">
                <a:pos x="79" y="152"/>
              </a:cxn>
              <a:cxn ang="0">
                <a:pos x="85" y="145"/>
              </a:cxn>
              <a:cxn ang="0">
                <a:pos x="60" y="153"/>
              </a:cxn>
              <a:cxn ang="0">
                <a:pos x="18" y="150"/>
              </a:cxn>
              <a:cxn ang="0">
                <a:pos x="13" y="133"/>
              </a:cxn>
              <a:cxn ang="0">
                <a:pos x="40" y="106"/>
              </a:cxn>
              <a:cxn ang="0">
                <a:pos x="64" y="116"/>
              </a:cxn>
              <a:cxn ang="0">
                <a:pos x="50" y="95"/>
              </a:cxn>
              <a:cxn ang="0">
                <a:pos x="13" y="68"/>
              </a:cxn>
              <a:cxn ang="0">
                <a:pos x="44" y="56"/>
              </a:cxn>
              <a:cxn ang="0">
                <a:pos x="117" y="13"/>
              </a:cxn>
              <a:cxn ang="0">
                <a:pos x="150" y="7"/>
              </a:cxn>
              <a:cxn ang="0">
                <a:pos x="157" y="7"/>
              </a:cxn>
              <a:cxn ang="0">
                <a:pos x="189" y="11"/>
              </a:cxn>
              <a:cxn ang="0">
                <a:pos x="236" y="20"/>
              </a:cxn>
              <a:cxn ang="0">
                <a:pos x="307" y="28"/>
              </a:cxn>
              <a:cxn ang="0">
                <a:pos x="334" y="36"/>
              </a:cxn>
            </a:cxnLst>
            <a:rect l="0" t="0" r="r" b="b"/>
            <a:pathLst>
              <a:path w="469" h="343">
                <a:moveTo>
                  <a:pt x="334" y="37"/>
                </a:moveTo>
                <a:cubicBezTo>
                  <a:pt x="334" y="228"/>
                  <a:pt x="334" y="228"/>
                  <a:pt x="334" y="228"/>
                </a:cubicBezTo>
                <a:cubicBezTo>
                  <a:pt x="340" y="233"/>
                  <a:pt x="353" y="226"/>
                  <a:pt x="359" y="234"/>
                </a:cubicBezTo>
                <a:cubicBezTo>
                  <a:pt x="363" y="240"/>
                  <a:pt x="372" y="252"/>
                  <a:pt x="381" y="252"/>
                </a:cubicBezTo>
                <a:cubicBezTo>
                  <a:pt x="387" y="252"/>
                  <a:pt x="387" y="243"/>
                  <a:pt x="393" y="241"/>
                </a:cubicBezTo>
                <a:cubicBezTo>
                  <a:pt x="396" y="240"/>
                  <a:pt x="398" y="241"/>
                  <a:pt x="401" y="239"/>
                </a:cubicBezTo>
                <a:cubicBezTo>
                  <a:pt x="415" y="252"/>
                  <a:pt x="421" y="257"/>
                  <a:pt x="433" y="274"/>
                </a:cubicBezTo>
                <a:cubicBezTo>
                  <a:pt x="434" y="276"/>
                  <a:pt x="437" y="277"/>
                  <a:pt x="439" y="281"/>
                </a:cubicBezTo>
                <a:cubicBezTo>
                  <a:pt x="440" y="286"/>
                  <a:pt x="442" y="292"/>
                  <a:pt x="447" y="297"/>
                </a:cubicBezTo>
                <a:cubicBezTo>
                  <a:pt x="450" y="300"/>
                  <a:pt x="455" y="299"/>
                  <a:pt x="458" y="302"/>
                </a:cubicBezTo>
                <a:cubicBezTo>
                  <a:pt x="462" y="306"/>
                  <a:pt x="469" y="308"/>
                  <a:pt x="469" y="318"/>
                </a:cubicBezTo>
                <a:cubicBezTo>
                  <a:pt x="469" y="322"/>
                  <a:pt x="463" y="323"/>
                  <a:pt x="463" y="326"/>
                </a:cubicBezTo>
                <a:cubicBezTo>
                  <a:pt x="461" y="326"/>
                  <a:pt x="461" y="327"/>
                  <a:pt x="459" y="327"/>
                </a:cubicBezTo>
                <a:cubicBezTo>
                  <a:pt x="451" y="327"/>
                  <a:pt x="440" y="318"/>
                  <a:pt x="440" y="314"/>
                </a:cubicBezTo>
                <a:cubicBezTo>
                  <a:pt x="440" y="310"/>
                  <a:pt x="440" y="311"/>
                  <a:pt x="440" y="307"/>
                </a:cubicBezTo>
                <a:cubicBezTo>
                  <a:pt x="440" y="300"/>
                  <a:pt x="435" y="300"/>
                  <a:pt x="427" y="300"/>
                </a:cubicBezTo>
                <a:cubicBezTo>
                  <a:pt x="421" y="300"/>
                  <a:pt x="419" y="296"/>
                  <a:pt x="419" y="294"/>
                </a:cubicBezTo>
                <a:cubicBezTo>
                  <a:pt x="419" y="290"/>
                  <a:pt x="426" y="290"/>
                  <a:pt x="426" y="286"/>
                </a:cubicBezTo>
                <a:cubicBezTo>
                  <a:pt x="426" y="283"/>
                  <a:pt x="426" y="281"/>
                  <a:pt x="426" y="281"/>
                </a:cubicBezTo>
                <a:cubicBezTo>
                  <a:pt x="417" y="281"/>
                  <a:pt x="420" y="286"/>
                  <a:pt x="414" y="286"/>
                </a:cubicBezTo>
                <a:cubicBezTo>
                  <a:pt x="412" y="286"/>
                  <a:pt x="407" y="282"/>
                  <a:pt x="407" y="280"/>
                </a:cubicBezTo>
                <a:cubicBezTo>
                  <a:pt x="407" y="274"/>
                  <a:pt x="410" y="273"/>
                  <a:pt x="412" y="270"/>
                </a:cubicBezTo>
                <a:cubicBezTo>
                  <a:pt x="409" y="268"/>
                  <a:pt x="405" y="264"/>
                  <a:pt x="404" y="267"/>
                </a:cubicBezTo>
                <a:cubicBezTo>
                  <a:pt x="397" y="267"/>
                  <a:pt x="394" y="264"/>
                  <a:pt x="390" y="261"/>
                </a:cubicBezTo>
                <a:cubicBezTo>
                  <a:pt x="389" y="264"/>
                  <a:pt x="387" y="269"/>
                  <a:pt x="384" y="269"/>
                </a:cubicBezTo>
                <a:cubicBezTo>
                  <a:pt x="375" y="269"/>
                  <a:pt x="368" y="256"/>
                  <a:pt x="363" y="252"/>
                </a:cubicBezTo>
                <a:cubicBezTo>
                  <a:pt x="352" y="243"/>
                  <a:pt x="337" y="244"/>
                  <a:pt x="323" y="236"/>
                </a:cubicBezTo>
                <a:cubicBezTo>
                  <a:pt x="299" y="236"/>
                  <a:pt x="299" y="236"/>
                  <a:pt x="299" y="236"/>
                </a:cubicBezTo>
                <a:cubicBezTo>
                  <a:pt x="285" y="232"/>
                  <a:pt x="265" y="230"/>
                  <a:pt x="258" y="214"/>
                </a:cubicBezTo>
                <a:cubicBezTo>
                  <a:pt x="252" y="217"/>
                  <a:pt x="244" y="219"/>
                  <a:pt x="240" y="221"/>
                </a:cubicBezTo>
                <a:cubicBezTo>
                  <a:pt x="241" y="224"/>
                  <a:pt x="242" y="225"/>
                  <a:pt x="244" y="227"/>
                </a:cubicBezTo>
                <a:cubicBezTo>
                  <a:pt x="238" y="236"/>
                  <a:pt x="210" y="252"/>
                  <a:pt x="200" y="252"/>
                </a:cubicBezTo>
                <a:cubicBezTo>
                  <a:pt x="198" y="252"/>
                  <a:pt x="195" y="251"/>
                  <a:pt x="195" y="249"/>
                </a:cubicBezTo>
                <a:cubicBezTo>
                  <a:pt x="195" y="246"/>
                  <a:pt x="198" y="246"/>
                  <a:pt x="199" y="245"/>
                </a:cubicBezTo>
                <a:cubicBezTo>
                  <a:pt x="197" y="242"/>
                  <a:pt x="199" y="242"/>
                  <a:pt x="199" y="240"/>
                </a:cubicBezTo>
                <a:cubicBezTo>
                  <a:pt x="199" y="230"/>
                  <a:pt x="205" y="223"/>
                  <a:pt x="218" y="219"/>
                </a:cubicBezTo>
                <a:cubicBezTo>
                  <a:pt x="218" y="217"/>
                  <a:pt x="218" y="216"/>
                  <a:pt x="218" y="214"/>
                </a:cubicBezTo>
                <a:cubicBezTo>
                  <a:pt x="214" y="214"/>
                  <a:pt x="215" y="214"/>
                  <a:pt x="213" y="214"/>
                </a:cubicBezTo>
                <a:cubicBezTo>
                  <a:pt x="203" y="214"/>
                  <a:pt x="173" y="239"/>
                  <a:pt x="173" y="253"/>
                </a:cubicBezTo>
                <a:cubicBezTo>
                  <a:pt x="173" y="255"/>
                  <a:pt x="173" y="258"/>
                  <a:pt x="173" y="260"/>
                </a:cubicBezTo>
                <a:cubicBezTo>
                  <a:pt x="173" y="270"/>
                  <a:pt x="164" y="273"/>
                  <a:pt x="154" y="277"/>
                </a:cubicBezTo>
                <a:cubicBezTo>
                  <a:pt x="148" y="280"/>
                  <a:pt x="146" y="284"/>
                  <a:pt x="143" y="288"/>
                </a:cubicBezTo>
                <a:cubicBezTo>
                  <a:pt x="136" y="297"/>
                  <a:pt x="121" y="301"/>
                  <a:pt x="114" y="308"/>
                </a:cubicBezTo>
                <a:cubicBezTo>
                  <a:pt x="107" y="315"/>
                  <a:pt x="91" y="320"/>
                  <a:pt x="79" y="322"/>
                </a:cubicBezTo>
                <a:cubicBezTo>
                  <a:pt x="63" y="324"/>
                  <a:pt x="54" y="343"/>
                  <a:pt x="35" y="337"/>
                </a:cubicBezTo>
                <a:cubicBezTo>
                  <a:pt x="41" y="329"/>
                  <a:pt x="49" y="333"/>
                  <a:pt x="57" y="328"/>
                </a:cubicBezTo>
                <a:cubicBezTo>
                  <a:pt x="62" y="325"/>
                  <a:pt x="66" y="316"/>
                  <a:pt x="71" y="314"/>
                </a:cubicBezTo>
                <a:cubicBezTo>
                  <a:pt x="78" y="309"/>
                  <a:pt x="87" y="314"/>
                  <a:pt x="92" y="307"/>
                </a:cubicBezTo>
                <a:cubicBezTo>
                  <a:pt x="99" y="297"/>
                  <a:pt x="117" y="290"/>
                  <a:pt x="127" y="283"/>
                </a:cubicBezTo>
                <a:cubicBezTo>
                  <a:pt x="137" y="276"/>
                  <a:pt x="137" y="263"/>
                  <a:pt x="148" y="256"/>
                </a:cubicBezTo>
                <a:cubicBezTo>
                  <a:pt x="141" y="256"/>
                  <a:pt x="141" y="256"/>
                  <a:pt x="141" y="256"/>
                </a:cubicBezTo>
                <a:cubicBezTo>
                  <a:pt x="135" y="259"/>
                  <a:pt x="132" y="262"/>
                  <a:pt x="125" y="262"/>
                </a:cubicBezTo>
                <a:cubicBezTo>
                  <a:pt x="120" y="262"/>
                  <a:pt x="117" y="260"/>
                  <a:pt x="113" y="258"/>
                </a:cubicBezTo>
                <a:cubicBezTo>
                  <a:pt x="112" y="262"/>
                  <a:pt x="110" y="263"/>
                  <a:pt x="110" y="266"/>
                </a:cubicBezTo>
                <a:cubicBezTo>
                  <a:pt x="99" y="262"/>
                  <a:pt x="96" y="260"/>
                  <a:pt x="89" y="254"/>
                </a:cubicBezTo>
                <a:cubicBezTo>
                  <a:pt x="88" y="257"/>
                  <a:pt x="88" y="259"/>
                  <a:pt x="88" y="261"/>
                </a:cubicBezTo>
                <a:cubicBezTo>
                  <a:pt x="84" y="261"/>
                  <a:pt x="85" y="261"/>
                  <a:pt x="83" y="261"/>
                </a:cubicBezTo>
                <a:cubicBezTo>
                  <a:pt x="80" y="261"/>
                  <a:pt x="78" y="264"/>
                  <a:pt x="76" y="264"/>
                </a:cubicBezTo>
                <a:cubicBezTo>
                  <a:pt x="74" y="264"/>
                  <a:pt x="72" y="257"/>
                  <a:pt x="72" y="253"/>
                </a:cubicBezTo>
                <a:cubicBezTo>
                  <a:pt x="72" y="248"/>
                  <a:pt x="72" y="248"/>
                  <a:pt x="72" y="244"/>
                </a:cubicBezTo>
                <a:cubicBezTo>
                  <a:pt x="72" y="243"/>
                  <a:pt x="72" y="238"/>
                  <a:pt x="68" y="238"/>
                </a:cubicBezTo>
                <a:cubicBezTo>
                  <a:pt x="65" y="238"/>
                  <a:pt x="61" y="245"/>
                  <a:pt x="60" y="245"/>
                </a:cubicBezTo>
                <a:cubicBezTo>
                  <a:pt x="54" y="245"/>
                  <a:pt x="33" y="229"/>
                  <a:pt x="30" y="225"/>
                </a:cubicBezTo>
                <a:cubicBezTo>
                  <a:pt x="32" y="225"/>
                  <a:pt x="35" y="224"/>
                  <a:pt x="37" y="224"/>
                </a:cubicBezTo>
                <a:cubicBezTo>
                  <a:pt x="33" y="214"/>
                  <a:pt x="19" y="212"/>
                  <a:pt x="19" y="205"/>
                </a:cubicBezTo>
                <a:cubicBezTo>
                  <a:pt x="19" y="191"/>
                  <a:pt x="43" y="180"/>
                  <a:pt x="52" y="180"/>
                </a:cubicBezTo>
                <a:cubicBezTo>
                  <a:pt x="56" y="180"/>
                  <a:pt x="86" y="169"/>
                  <a:pt x="86" y="163"/>
                </a:cubicBezTo>
                <a:cubicBezTo>
                  <a:pt x="86" y="160"/>
                  <a:pt x="79" y="153"/>
                  <a:pt x="79" y="152"/>
                </a:cubicBezTo>
                <a:cubicBezTo>
                  <a:pt x="83" y="150"/>
                  <a:pt x="82" y="150"/>
                  <a:pt x="85" y="152"/>
                </a:cubicBezTo>
                <a:cubicBezTo>
                  <a:pt x="85" y="145"/>
                  <a:pt x="85" y="145"/>
                  <a:pt x="85" y="145"/>
                </a:cubicBezTo>
                <a:cubicBezTo>
                  <a:pt x="81" y="145"/>
                  <a:pt x="81" y="145"/>
                  <a:pt x="79" y="145"/>
                </a:cubicBezTo>
                <a:cubicBezTo>
                  <a:pt x="72" y="145"/>
                  <a:pt x="69" y="153"/>
                  <a:pt x="60" y="153"/>
                </a:cubicBezTo>
                <a:cubicBezTo>
                  <a:pt x="51" y="153"/>
                  <a:pt x="48" y="148"/>
                  <a:pt x="41" y="150"/>
                </a:cubicBezTo>
                <a:cubicBezTo>
                  <a:pt x="32" y="150"/>
                  <a:pt x="21" y="150"/>
                  <a:pt x="18" y="150"/>
                </a:cubicBezTo>
                <a:cubicBezTo>
                  <a:pt x="17" y="143"/>
                  <a:pt x="12" y="141"/>
                  <a:pt x="12" y="137"/>
                </a:cubicBezTo>
                <a:cubicBezTo>
                  <a:pt x="12" y="136"/>
                  <a:pt x="13" y="134"/>
                  <a:pt x="13" y="133"/>
                </a:cubicBezTo>
                <a:cubicBezTo>
                  <a:pt x="6" y="133"/>
                  <a:pt x="2" y="130"/>
                  <a:pt x="0" y="126"/>
                </a:cubicBezTo>
                <a:cubicBezTo>
                  <a:pt x="11" y="119"/>
                  <a:pt x="29" y="113"/>
                  <a:pt x="40" y="106"/>
                </a:cubicBezTo>
                <a:cubicBezTo>
                  <a:pt x="48" y="106"/>
                  <a:pt x="48" y="106"/>
                  <a:pt x="48" y="106"/>
                </a:cubicBezTo>
                <a:cubicBezTo>
                  <a:pt x="48" y="120"/>
                  <a:pt x="55" y="116"/>
                  <a:pt x="64" y="116"/>
                </a:cubicBezTo>
                <a:cubicBezTo>
                  <a:pt x="70" y="116"/>
                  <a:pt x="71" y="118"/>
                  <a:pt x="76" y="116"/>
                </a:cubicBezTo>
                <a:cubicBezTo>
                  <a:pt x="72" y="102"/>
                  <a:pt x="63" y="101"/>
                  <a:pt x="50" y="95"/>
                </a:cubicBezTo>
                <a:cubicBezTo>
                  <a:pt x="46" y="94"/>
                  <a:pt x="41" y="80"/>
                  <a:pt x="37" y="78"/>
                </a:cubicBezTo>
                <a:cubicBezTo>
                  <a:pt x="31" y="75"/>
                  <a:pt x="13" y="71"/>
                  <a:pt x="13" y="68"/>
                </a:cubicBezTo>
                <a:cubicBezTo>
                  <a:pt x="13" y="68"/>
                  <a:pt x="20" y="57"/>
                  <a:pt x="20" y="56"/>
                </a:cubicBezTo>
                <a:cubicBezTo>
                  <a:pt x="44" y="56"/>
                  <a:pt x="44" y="56"/>
                  <a:pt x="44" y="56"/>
                </a:cubicBezTo>
                <a:cubicBezTo>
                  <a:pt x="57" y="38"/>
                  <a:pt x="77" y="21"/>
                  <a:pt x="101" y="14"/>
                </a:cubicBezTo>
                <a:cubicBezTo>
                  <a:pt x="107" y="12"/>
                  <a:pt x="111" y="15"/>
                  <a:pt x="117" y="13"/>
                </a:cubicBezTo>
                <a:cubicBezTo>
                  <a:pt x="124" y="10"/>
                  <a:pt x="128" y="0"/>
                  <a:pt x="136" y="0"/>
                </a:cubicBezTo>
                <a:cubicBezTo>
                  <a:pt x="142" y="0"/>
                  <a:pt x="144" y="5"/>
                  <a:pt x="150" y="7"/>
                </a:cubicBezTo>
                <a:cubicBezTo>
                  <a:pt x="147" y="10"/>
                  <a:pt x="147" y="11"/>
                  <a:pt x="146" y="13"/>
                </a:cubicBezTo>
                <a:cubicBezTo>
                  <a:pt x="150" y="14"/>
                  <a:pt x="154" y="11"/>
                  <a:pt x="157" y="7"/>
                </a:cubicBezTo>
                <a:cubicBezTo>
                  <a:pt x="162" y="9"/>
                  <a:pt x="163" y="10"/>
                  <a:pt x="167" y="11"/>
                </a:cubicBezTo>
                <a:cubicBezTo>
                  <a:pt x="189" y="11"/>
                  <a:pt x="189" y="11"/>
                  <a:pt x="189" y="11"/>
                </a:cubicBezTo>
                <a:cubicBezTo>
                  <a:pt x="194" y="15"/>
                  <a:pt x="196" y="17"/>
                  <a:pt x="202" y="20"/>
                </a:cubicBezTo>
                <a:cubicBezTo>
                  <a:pt x="236" y="20"/>
                  <a:pt x="236" y="20"/>
                  <a:pt x="236" y="20"/>
                </a:cubicBezTo>
                <a:cubicBezTo>
                  <a:pt x="245" y="29"/>
                  <a:pt x="272" y="31"/>
                  <a:pt x="286" y="31"/>
                </a:cubicBezTo>
                <a:cubicBezTo>
                  <a:pt x="294" y="31"/>
                  <a:pt x="299" y="28"/>
                  <a:pt x="307" y="28"/>
                </a:cubicBezTo>
                <a:cubicBezTo>
                  <a:pt x="319" y="28"/>
                  <a:pt x="323" y="34"/>
                  <a:pt x="334" y="37"/>
                </a:cubicBezTo>
                <a:cubicBezTo>
                  <a:pt x="334" y="36"/>
                  <a:pt x="334" y="36"/>
                  <a:pt x="334" y="36"/>
                </a:cubicBezTo>
                <a:lnTo>
                  <a:pt x="334" y="37"/>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32" name="Freeform 52" hidden="1">
            <a:extLst>
              <a:ext uri="{FF2B5EF4-FFF2-40B4-BE49-F238E27FC236}">
                <a16:creationId xmlns:a16="http://schemas.microsoft.com/office/drawing/2014/main" id="{00000000-0008-0000-0000-000020000000}"/>
              </a:ext>
            </a:extLst>
          </xdr:cNvPr>
          <xdr:cNvSpPr>
            <a:spLocks/>
          </xdr:cNvSpPr>
        </xdr:nvSpPr>
        <xdr:spPr bwMode="auto">
          <a:xfrm>
            <a:off x="2149475" y="1820863"/>
            <a:ext cx="28575" cy="38100"/>
          </a:xfrm>
          <a:custGeom>
            <a:avLst/>
            <a:gdLst/>
            <a:ahLst/>
            <a:cxnLst>
              <a:cxn ang="0">
                <a:pos x="9" y="11"/>
              </a:cxn>
              <a:cxn ang="0">
                <a:pos x="0" y="11"/>
              </a:cxn>
              <a:cxn ang="0">
                <a:pos x="11" y="2"/>
              </a:cxn>
              <a:cxn ang="0">
                <a:pos x="22" y="25"/>
              </a:cxn>
              <a:cxn ang="0">
                <a:pos x="18" y="29"/>
              </a:cxn>
              <a:cxn ang="0">
                <a:pos x="9" y="20"/>
              </a:cxn>
              <a:cxn ang="0">
                <a:pos x="9" y="11"/>
              </a:cxn>
            </a:cxnLst>
            <a:rect l="0" t="0" r="r" b="b"/>
            <a:pathLst>
              <a:path w="22" h="29">
                <a:moveTo>
                  <a:pt x="9" y="11"/>
                </a:moveTo>
                <a:cubicBezTo>
                  <a:pt x="2" y="9"/>
                  <a:pt x="5" y="7"/>
                  <a:pt x="0" y="11"/>
                </a:cubicBezTo>
                <a:cubicBezTo>
                  <a:pt x="0" y="0"/>
                  <a:pt x="2" y="0"/>
                  <a:pt x="11" y="2"/>
                </a:cubicBezTo>
                <a:cubicBezTo>
                  <a:pt x="10" y="14"/>
                  <a:pt x="22" y="15"/>
                  <a:pt x="22" y="25"/>
                </a:cubicBezTo>
                <a:cubicBezTo>
                  <a:pt x="22" y="28"/>
                  <a:pt x="20" y="29"/>
                  <a:pt x="18" y="29"/>
                </a:cubicBezTo>
                <a:cubicBezTo>
                  <a:pt x="14" y="29"/>
                  <a:pt x="9" y="20"/>
                  <a:pt x="9" y="20"/>
                </a:cubicBezTo>
                <a:cubicBezTo>
                  <a:pt x="9" y="16"/>
                  <a:pt x="8" y="13"/>
                  <a:pt x="9" y="11"/>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33" name="Freeform 53" hidden="1">
            <a:extLst>
              <a:ext uri="{FF2B5EF4-FFF2-40B4-BE49-F238E27FC236}">
                <a16:creationId xmlns:a16="http://schemas.microsoft.com/office/drawing/2014/main" id="{00000000-0008-0000-0000-000021000000}"/>
              </a:ext>
            </a:extLst>
          </xdr:cNvPr>
          <xdr:cNvSpPr>
            <a:spLocks/>
          </xdr:cNvSpPr>
        </xdr:nvSpPr>
        <xdr:spPr bwMode="auto">
          <a:xfrm>
            <a:off x="2105025" y="1776413"/>
            <a:ext cx="30163" cy="46038"/>
          </a:xfrm>
          <a:custGeom>
            <a:avLst/>
            <a:gdLst/>
            <a:ahLst/>
            <a:cxnLst>
              <a:cxn ang="0">
                <a:pos x="15" y="18"/>
              </a:cxn>
              <a:cxn ang="0">
                <a:pos x="19" y="18"/>
              </a:cxn>
              <a:cxn ang="0">
                <a:pos x="19" y="35"/>
              </a:cxn>
              <a:cxn ang="0">
                <a:pos x="11" y="17"/>
              </a:cxn>
              <a:cxn ang="0">
                <a:pos x="0" y="4"/>
              </a:cxn>
              <a:cxn ang="0">
                <a:pos x="5" y="0"/>
              </a:cxn>
              <a:cxn ang="0">
                <a:pos x="15" y="0"/>
              </a:cxn>
              <a:cxn ang="0">
                <a:pos x="15" y="18"/>
              </a:cxn>
            </a:cxnLst>
            <a:rect l="0" t="0" r="r" b="b"/>
            <a:pathLst>
              <a:path w="23" h="35">
                <a:moveTo>
                  <a:pt x="15" y="18"/>
                </a:moveTo>
                <a:cubicBezTo>
                  <a:pt x="15" y="19"/>
                  <a:pt x="19" y="19"/>
                  <a:pt x="19" y="18"/>
                </a:cubicBezTo>
                <a:cubicBezTo>
                  <a:pt x="19" y="24"/>
                  <a:pt x="23" y="30"/>
                  <a:pt x="19" y="35"/>
                </a:cubicBezTo>
                <a:cubicBezTo>
                  <a:pt x="13" y="30"/>
                  <a:pt x="11" y="24"/>
                  <a:pt x="11" y="17"/>
                </a:cubicBezTo>
                <a:cubicBezTo>
                  <a:pt x="5" y="16"/>
                  <a:pt x="0" y="11"/>
                  <a:pt x="0" y="4"/>
                </a:cubicBezTo>
                <a:cubicBezTo>
                  <a:pt x="0" y="1"/>
                  <a:pt x="3" y="0"/>
                  <a:pt x="5" y="0"/>
                </a:cubicBezTo>
                <a:cubicBezTo>
                  <a:pt x="13" y="0"/>
                  <a:pt x="9" y="3"/>
                  <a:pt x="15" y="0"/>
                </a:cubicBezTo>
                <a:cubicBezTo>
                  <a:pt x="15" y="11"/>
                  <a:pt x="13" y="11"/>
                  <a:pt x="15" y="18"/>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34" name="Freeform 54" hidden="1">
            <a:extLst>
              <a:ext uri="{FF2B5EF4-FFF2-40B4-BE49-F238E27FC236}">
                <a16:creationId xmlns:a16="http://schemas.microsoft.com/office/drawing/2014/main" id="{00000000-0008-0000-0000-000022000000}"/>
              </a:ext>
            </a:extLst>
          </xdr:cNvPr>
          <xdr:cNvSpPr>
            <a:spLocks/>
          </xdr:cNvSpPr>
        </xdr:nvSpPr>
        <xdr:spPr bwMode="auto">
          <a:xfrm>
            <a:off x="2389188" y="1335088"/>
            <a:ext cx="307975" cy="161925"/>
          </a:xfrm>
          <a:custGeom>
            <a:avLst/>
            <a:gdLst/>
            <a:ahLst/>
            <a:cxnLst>
              <a:cxn ang="0">
                <a:pos x="214" y="96"/>
              </a:cxn>
              <a:cxn ang="0">
                <a:pos x="209" y="100"/>
              </a:cxn>
              <a:cxn ang="0">
                <a:pos x="215" y="103"/>
              </a:cxn>
              <a:cxn ang="0">
                <a:pos x="220" y="110"/>
              </a:cxn>
              <a:cxn ang="0">
                <a:pos x="195" y="118"/>
              </a:cxn>
              <a:cxn ang="0">
                <a:pos x="158" y="104"/>
              </a:cxn>
              <a:cxn ang="0">
                <a:pos x="147" y="112"/>
              </a:cxn>
              <a:cxn ang="0">
                <a:pos x="115" y="121"/>
              </a:cxn>
              <a:cxn ang="0">
                <a:pos x="75" y="121"/>
              </a:cxn>
              <a:cxn ang="0">
                <a:pos x="68" y="110"/>
              </a:cxn>
              <a:cxn ang="0">
                <a:pos x="43" y="108"/>
              </a:cxn>
              <a:cxn ang="0">
                <a:pos x="23" y="92"/>
              </a:cxn>
              <a:cxn ang="0">
                <a:pos x="65" y="82"/>
              </a:cxn>
              <a:cxn ang="0">
                <a:pos x="80" y="81"/>
              </a:cxn>
              <a:cxn ang="0">
                <a:pos x="69" y="77"/>
              </a:cxn>
              <a:cxn ang="0">
                <a:pos x="45" y="77"/>
              </a:cxn>
              <a:cxn ang="0">
                <a:pos x="12" y="69"/>
              </a:cxn>
              <a:cxn ang="0">
                <a:pos x="29" y="60"/>
              </a:cxn>
              <a:cxn ang="0">
                <a:pos x="14" y="59"/>
              </a:cxn>
              <a:cxn ang="0">
                <a:pos x="0" y="51"/>
              </a:cxn>
              <a:cxn ang="0">
                <a:pos x="56" y="13"/>
              </a:cxn>
              <a:cxn ang="0">
                <a:pos x="64" y="29"/>
              </a:cxn>
              <a:cxn ang="0">
                <a:pos x="78" y="21"/>
              </a:cxn>
              <a:cxn ang="0">
                <a:pos x="98" y="34"/>
              </a:cxn>
              <a:cxn ang="0">
                <a:pos x="111" y="31"/>
              </a:cxn>
              <a:cxn ang="0">
                <a:pos x="109" y="23"/>
              </a:cxn>
              <a:cxn ang="0">
                <a:pos x="118" y="23"/>
              </a:cxn>
              <a:cxn ang="0">
                <a:pos x="133" y="35"/>
              </a:cxn>
              <a:cxn ang="0">
                <a:pos x="140" y="51"/>
              </a:cxn>
              <a:cxn ang="0">
                <a:pos x="146" y="48"/>
              </a:cxn>
              <a:cxn ang="0">
                <a:pos x="136" y="17"/>
              </a:cxn>
              <a:cxn ang="0">
                <a:pos x="144" y="12"/>
              </a:cxn>
              <a:cxn ang="0">
                <a:pos x="156" y="12"/>
              </a:cxn>
              <a:cxn ang="0">
                <a:pos x="156" y="7"/>
              </a:cxn>
              <a:cxn ang="0">
                <a:pos x="169" y="0"/>
              </a:cxn>
              <a:cxn ang="0">
                <a:pos x="184" y="10"/>
              </a:cxn>
              <a:cxn ang="0">
                <a:pos x="175" y="24"/>
              </a:cxn>
              <a:cxn ang="0">
                <a:pos x="187" y="62"/>
              </a:cxn>
              <a:cxn ang="0">
                <a:pos x="232" y="92"/>
              </a:cxn>
              <a:cxn ang="0">
                <a:pos x="214" y="96"/>
              </a:cxn>
            </a:cxnLst>
            <a:rect l="0" t="0" r="r" b="b"/>
            <a:pathLst>
              <a:path w="232" h="121">
                <a:moveTo>
                  <a:pt x="214" y="96"/>
                </a:moveTo>
                <a:cubicBezTo>
                  <a:pt x="211" y="96"/>
                  <a:pt x="209" y="97"/>
                  <a:pt x="209" y="100"/>
                </a:cubicBezTo>
                <a:cubicBezTo>
                  <a:pt x="209" y="103"/>
                  <a:pt x="214" y="103"/>
                  <a:pt x="215" y="103"/>
                </a:cubicBezTo>
                <a:cubicBezTo>
                  <a:pt x="216" y="107"/>
                  <a:pt x="218" y="108"/>
                  <a:pt x="220" y="110"/>
                </a:cubicBezTo>
                <a:cubicBezTo>
                  <a:pt x="216" y="118"/>
                  <a:pt x="206" y="118"/>
                  <a:pt x="195" y="118"/>
                </a:cubicBezTo>
                <a:cubicBezTo>
                  <a:pt x="177" y="118"/>
                  <a:pt x="171" y="104"/>
                  <a:pt x="158" y="104"/>
                </a:cubicBezTo>
                <a:cubicBezTo>
                  <a:pt x="150" y="104"/>
                  <a:pt x="154" y="109"/>
                  <a:pt x="147" y="112"/>
                </a:cubicBezTo>
                <a:cubicBezTo>
                  <a:pt x="135" y="118"/>
                  <a:pt x="124" y="115"/>
                  <a:pt x="115" y="121"/>
                </a:cubicBezTo>
                <a:cubicBezTo>
                  <a:pt x="95" y="121"/>
                  <a:pt x="87" y="121"/>
                  <a:pt x="75" y="121"/>
                </a:cubicBezTo>
                <a:cubicBezTo>
                  <a:pt x="68" y="121"/>
                  <a:pt x="73" y="114"/>
                  <a:pt x="68" y="110"/>
                </a:cubicBezTo>
                <a:cubicBezTo>
                  <a:pt x="63" y="107"/>
                  <a:pt x="49" y="108"/>
                  <a:pt x="43" y="108"/>
                </a:cubicBezTo>
                <a:cubicBezTo>
                  <a:pt x="34" y="108"/>
                  <a:pt x="26" y="98"/>
                  <a:pt x="23" y="92"/>
                </a:cubicBezTo>
                <a:cubicBezTo>
                  <a:pt x="33" y="85"/>
                  <a:pt x="47" y="82"/>
                  <a:pt x="65" y="82"/>
                </a:cubicBezTo>
                <a:cubicBezTo>
                  <a:pt x="72" y="82"/>
                  <a:pt x="75" y="82"/>
                  <a:pt x="80" y="81"/>
                </a:cubicBezTo>
                <a:cubicBezTo>
                  <a:pt x="77" y="80"/>
                  <a:pt x="73" y="77"/>
                  <a:pt x="69" y="77"/>
                </a:cubicBezTo>
                <a:cubicBezTo>
                  <a:pt x="60" y="77"/>
                  <a:pt x="50" y="77"/>
                  <a:pt x="45" y="77"/>
                </a:cubicBezTo>
                <a:cubicBezTo>
                  <a:pt x="36" y="77"/>
                  <a:pt x="12" y="81"/>
                  <a:pt x="12" y="69"/>
                </a:cubicBezTo>
                <a:cubicBezTo>
                  <a:pt x="12" y="59"/>
                  <a:pt x="24" y="63"/>
                  <a:pt x="29" y="60"/>
                </a:cubicBezTo>
                <a:cubicBezTo>
                  <a:pt x="22" y="58"/>
                  <a:pt x="19" y="59"/>
                  <a:pt x="14" y="59"/>
                </a:cubicBezTo>
                <a:cubicBezTo>
                  <a:pt x="9" y="59"/>
                  <a:pt x="0" y="53"/>
                  <a:pt x="0" y="51"/>
                </a:cubicBezTo>
                <a:cubicBezTo>
                  <a:pt x="0" y="29"/>
                  <a:pt x="41" y="13"/>
                  <a:pt x="56" y="13"/>
                </a:cubicBezTo>
                <a:cubicBezTo>
                  <a:pt x="63" y="13"/>
                  <a:pt x="62" y="26"/>
                  <a:pt x="64" y="29"/>
                </a:cubicBezTo>
                <a:cubicBezTo>
                  <a:pt x="68" y="26"/>
                  <a:pt x="71" y="21"/>
                  <a:pt x="78" y="21"/>
                </a:cubicBezTo>
                <a:cubicBezTo>
                  <a:pt x="90" y="21"/>
                  <a:pt x="94" y="26"/>
                  <a:pt x="98" y="34"/>
                </a:cubicBezTo>
                <a:cubicBezTo>
                  <a:pt x="102" y="33"/>
                  <a:pt x="106" y="32"/>
                  <a:pt x="111" y="31"/>
                </a:cubicBezTo>
                <a:cubicBezTo>
                  <a:pt x="110" y="27"/>
                  <a:pt x="109" y="25"/>
                  <a:pt x="109" y="23"/>
                </a:cubicBezTo>
                <a:cubicBezTo>
                  <a:pt x="118" y="23"/>
                  <a:pt x="118" y="23"/>
                  <a:pt x="118" y="23"/>
                </a:cubicBezTo>
                <a:cubicBezTo>
                  <a:pt x="124" y="25"/>
                  <a:pt x="131" y="30"/>
                  <a:pt x="133" y="35"/>
                </a:cubicBezTo>
                <a:cubicBezTo>
                  <a:pt x="135" y="40"/>
                  <a:pt x="132" y="51"/>
                  <a:pt x="140" y="51"/>
                </a:cubicBezTo>
                <a:cubicBezTo>
                  <a:pt x="144" y="51"/>
                  <a:pt x="144" y="50"/>
                  <a:pt x="146" y="48"/>
                </a:cubicBezTo>
                <a:cubicBezTo>
                  <a:pt x="142" y="42"/>
                  <a:pt x="136" y="21"/>
                  <a:pt x="136" y="17"/>
                </a:cubicBezTo>
                <a:cubicBezTo>
                  <a:pt x="136" y="14"/>
                  <a:pt x="140" y="12"/>
                  <a:pt x="144" y="12"/>
                </a:cubicBezTo>
                <a:cubicBezTo>
                  <a:pt x="152" y="12"/>
                  <a:pt x="149" y="15"/>
                  <a:pt x="156" y="12"/>
                </a:cubicBezTo>
                <a:cubicBezTo>
                  <a:pt x="156" y="10"/>
                  <a:pt x="156" y="9"/>
                  <a:pt x="156" y="7"/>
                </a:cubicBezTo>
                <a:cubicBezTo>
                  <a:pt x="156" y="3"/>
                  <a:pt x="162" y="0"/>
                  <a:pt x="169" y="0"/>
                </a:cubicBezTo>
                <a:cubicBezTo>
                  <a:pt x="177" y="0"/>
                  <a:pt x="184" y="3"/>
                  <a:pt x="184" y="10"/>
                </a:cubicBezTo>
                <a:cubicBezTo>
                  <a:pt x="184" y="16"/>
                  <a:pt x="175" y="20"/>
                  <a:pt x="175" y="24"/>
                </a:cubicBezTo>
                <a:cubicBezTo>
                  <a:pt x="175" y="40"/>
                  <a:pt x="187" y="50"/>
                  <a:pt x="187" y="62"/>
                </a:cubicBezTo>
                <a:cubicBezTo>
                  <a:pt x="187" y="76"/>
                  <a:pt x="224" y="85"/>
                  <a:pt x="232" y="92"/>
                </a:cubicBezTo>
                <a:cubicBezTo>
                  <a:pt x="224" y="97"/>
                  <a:pt x="222" y="96"/>
                  <a:pt x="214" y="96"/>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35" name="Freeform 55" hidden="1">
            <a:extLst>
              <a:ext uri="{FF2B5EF4-FFF2-40B4-BE49-F238E27FC236}">
                <a16:creationId xmlns:a16="http://schemas.microsoft.com/office/drawing/2014/main" id="{00000000-0008-0000-0000-000023000000}"/>
              </a:ext>
            </a:extLst>
          </xdr:cNvPr>
          <xdr:cNvSpPr>
            <a:spLocks/>
          </xdr:cNvSpPr>
        </xdr:nvSpPr>
        <xdr:spPr bwMode="auto">
          <a:xfrm>
            <a:off x="2274888" y="1309688"/>
            <a:ext cx="173038" cy="114300"/>
          </a:xfrm>
          <a:custGeom>
            <a:avLst/>
            <a:gdLst/>
            <a:ahLst/>
            <a:cxnLst>
              <a:cxn ang="0">
                <a:pos x="28" y="82"/>
              </a:cxn>
              <a:cxn ang="0">
                <a:pos x="22" y="73"/>
              </a:cxn>
              <a:cxn ang="0">
                <a:pos x="0" y="64"/>
              </a:cxn>
              <a:cxn ang="0">
                <a:pos x="22" y="21"/>
              </a:cxn>
              <a:cxn ang="0">
                <a:pos x="16" y="5"/>
              </a:cxn>
              <a:cxn ang="0">
                <a:pos x="42" y="5"/>
              </a:cxn>
              <a:cxn ang="0">
                <a:pos x="60" y="2"/>
              </a:cxn>
              <a:cxn ang="0">
                <a:pos x="84" y="11"/>
              </a:cxn>
              <a:cxn ang="0">
                <a:pos x="99" y="10"/>
              </a:cxn>
              <a:cxn ang="0">
                <a:pos x="130" y="29"/>
              </a:cxn>
              <a:cxn ang="0">
                <a:pos x="102" y="38"/>
              </a:cxn>
              <a:cxn ang="0">
                <a:pos x="69" y="71"/>
              </a:cxn>
              <a:cxn ang="0">
                <a:pos x="35" y="86"/>
              </a:cxn>
              <a:cxn ang="0">
                <a:pos x="28" y="82"/>
              </a:cxn>
            </a:cxnLst>
            <a:rect l="0" t="0" r="r" b="b"/>
            <a:pathLst>
              <a:path w="130" h="86">
                <a:moveTo>
                  <a:pt x="28" y="82"/>
                </a:moveTo>
                <a:cubicBezTo>
                  <a:pt x="26" y="82"/>
                  <a:pt x="23" y="75"/>
                  <a:pt x="22" y="73"/>
                </a:cubicBezTo>
                <a:cubicBezTo>
                  <a:pt x="18" y="68"/>
                  <a:pt x="0" y="69"/>
                  <a:pt x="0" y="64"/>
                </a:cubicBezTo>
                <a:cubicBezTo>
                  <a:pt x="0" y="49"/>
                  <a:pt x="22" y="37"/>
                  <a:pt x="22" y="21"/>
                </a:cubicBezTo>
                <a:cubicBezTo>
                  <a:pt x="22" y="17"/>
                  <a:pt x="16" y="10"/>
                  <a:pt x="16" y="5"/>
                </a:cubicBezTo>
                <a:cubicBezTo>
                  <a:pt x="27" y="1"/>
                  <a:pt x="32" y="5"/>
                  <a:pt x="42" y="5"/>
                </a:cubicBezTo>
                <a:cubicBezTo>
                  <a:pt x="48" y="5"/>
                  <a:pt x="52" y="0"/>
                  <a:pt x="60" y="2"/>
                </a:cubicBezTo>
                <a:cubicBezTo>
                  <a:pt x="70" y="5"/>
                  <a:pt x="74" y="10"/>
                  <a:pt x="84" y="11"/>
                </a:cubicBezTo>
                <a:cubicBezTo>
                  <a:pt x="88" y="15"/>
                  <a:pt x="93" y="10"/>
                  <a:pt x="99" y="10"/>
                </a:cubicBezTo>
                <a:cubicBezTo>
                  <a:pt x="108" y="10"/>
                  <a:pt x="130" y="19"/>
                  <a:pt x="130" y="29"/>
                </a:cubicBezTo>
                <a:cubicBezTo>
                  <a:pt x="130" y="34"/>
                  <a:pt x="106" y="37"/>
                  <a:pt x="102" y="38"/>
                </a:cubicBezTo>
                <a:cubicBezTo>
                  <a:pt x="88" y="43"/>
                  <a:pt x="69" y="61"/>
                  <a:pt x="69" y="71"/>
                </a:cubicBezTo>
                <a:cubicBezTo>
                  <a:pt x="69" y="75"/>
                  <a:pt x="38" y="86"/>
                  <a:pt x="35" y="86"/>
                </a:cubicBezTo>
                <a:cubicBezTo>
                  <a:pt x="32" y="86"/>
                  <a:pt x="30" y="82"/>
                  <a:pt x="28" y="82"/>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36" name="Freeform 56" hidden="1">
            <a:extLst>
              <a:ext uri="{FF2B5EF4-FFF2-40B4-BE49-F238E27FC236}">
                <a16:creationId xmlns:a16="http://schemas.microsoft.com/office/drawing/2014/main" id="{00000000-0008-0000-0000-000024000000}"/>
              </a:ext>
            </a:extLst>
          </xdr:cNvPr>
          <xdr:cNvSpPr>
            <a:spLocks/>
          </xdr:cNvSpPr>
        </xdr:nvSpPr>
        <xdr:spPr bwMode="auto">
          <a:xfrm>
            <a:off x="2413000" y="1228725"/>
            <a:ext cx="204788" cy="87313"/>
          </a:xfrm>
          <a:custGeom>
            <a:avLst/>
            <a:gdLst/>
            <a:ahLst/>
            <a:cxnLst>
              <a:cxn ang="0">
                <a:pos x="53" y="65"/>
              </a:cxn>
              <a:cxn ang="0">
                <a:pos x="41" y="59"/>
              </a:cxn>
              <a:cxn ang="0">
                <a:pos x="53" y="53"/>
              </a:cxn>
              <a:cxn ang="0">
                <a:pos x="46" y="43"/>
              </a:cxn>
              <a:cxn ang="0">
                <a:pos x="41" y="49"/>
              </a:cxn>
              <a:cxn ang="0">
                <a:pos x="22" y="52"/>
              </a:cxn>
              <a:cxn ang="0">
                <a:pos x="7" y="49"/>
              </a:cxn>
              <a:cxn ang="0">
                <a:pos x="0" y="42"/>
              </a:cxn>
              <a:cxn ang="0">
                <a:pos x="0" y="36"/>
              </a:cxn>
              <a:cxn ang="0">
                <a:pos x="11" y="31"/>
              </a:cxn>
              <a:cxn ang="0">
                <a:pos x="31" y="36"/>
              </a:cxn>
              <a:cxn ang="0">
                <a:pos x="11" y="30"/>
              </a:cxn>
              <a:cxn ang="0">
                <a:pos x="11" y="23"/>
              </a:cxn>
              <a:cxn ang="0">
                <a:pos x="19" y="23"/>
              </a:cxn>
              <a:cxn ang="0">
                <a:pos x="38" y="26"/>
              </a:cxn>
              <a:cxn ang="0">
                <a:pos x="16" y="22"/>
              </a:cxn>
              <a:cxn ang="0">
                <a:pos x="25" y="17"/>
              </a:cxn>
              <a:cxn ang="0">
                <a:pos x="36" y="18"/>
              </a:cxn>
              <a:cxn ang="0">
                <a:pos x="23" y="12"/>
              </a:cxn>
              <a:cxn ang="0">
                <a:pos x="38" y="12"/>
              </a:cxn>
              <a:cxn ang="0">
                <a:pos x="45" y="19"/>
              </a:cxn>
              <a:cxn ang="0">
                <a:pos x="55" y="19"/>
              </a:cxn>
              <a:cxn ang="0">
                <a:pos x="97" y="36"/>
              </a:cxn>
              <a:cxn ang="0">
                <a:pos x="107" y="30"/>
              </a:cxn>
              <a:cxn ang="0">
                <a:pos x="98" y="29"/>
              </a:cxn>
              <a:cxn ang="0">
                <a:pos x="102" y="27"/>
              </a:cxn>
              <a:cxn ang="0">
                <a:pos x="102" y="21"/>
              </a:cxn>
              <a:cxn ang="0">
                <a:pos x="91" y="15"/>
              </a:cxn>
              <a:cxn ang="0">
                <a:pos x="107" y="0"/>
              </a:cxn>
              <a:cxn ang="0">
                <a:pos x="116" y="4"/>
              </a:cxn>
              <a:cxn ang="0">
                <a:pos x="116" y="9"/>
              </a:cxn>
              <a:cxn ang="0">
                <a:pos x="132" y="26"/>
              </a:cxn>
              <a:cxn ang="0">
                <a:pos x="144" y="20"/>
              </a:cxn>
              <a:cxn ang="0">
                <a:pos x="154" y="31"/>
              </a:cxn>
              <a:cxn ang="0">
                <a:pos x="140" y="52"/>
              </a:cxn>
              <a:cxn ang="0">
                <a:pos x="111" y="51"/>
              </a:cxn>
              <a:cxn ang="0">
                <a:pos x="82" y="59"/>
              </a:cxn>
              <a:cxn ang="0">
                <a:pos x="53" y="65"/>
              </a:cxn>
            </a:cxnLst>
            <a:rect l="0" t="0" r="r" b="b"/>
            <a:pathLst>
              <a:path w="154" h="65">
                <a:moveTo>
                  <a:pt x="53" y="65"/>
                </a:moveTo>
                <a:cubicBezTo>
                  <a:pt x="48" y="65"/>
                  <a:pt x="41" y="61"/>
                  <a:pt x="41" y="59"/>
                </a:cubicBezTo>
                <a:cubicBezTo>
                  <a:pt x="41" y="52"/>
                  <a:pt x="47" y="53"/>
                  <a:pt x="53" y="53"/>
                </a:cubicBezTo>
                <a:cubicBezTo>
                  <a:pt x="50" y="50"/>
                  <a:pt x="46" y="48"/>
                  <a:pt x="46" y="43"/>
                </a:cubicBezTo>
                <a:cubicBezTo>
                  <a:pt x="43" y="44"/>
                  <a:pt x="41" y="46"/>
                  <a:pt x="41" y="49"/>
                </a:cubicBezTo>
                <a:cubicBezTo>
                  <a:pt x="33" y="50"/>
                  <a:pt x="27" y="52"/>
                  <a:pt x="22" y="52"/>
                </a:cubicBezTo>
                <a:cubicBezTo>
                  <a:pt x="16" y="52"/>
                  <a:pt x="10" y="49"/>
                  <a:pt x="7" y="49"/>
                </a:cubicBezTo>
                <a:cubicBezTo>
                  <a:pt x="3" y="49"/>
                  <a:pt x="0" y="46"/>
                  <a:pt x="0" y="42"/>
                </a:cubicBezTo>
                <a:cubicBezTo>
                  <a:pt x="0" y="38"/>
                  <a:pt x="2" y="39"/>
                  <a:pt x="0" y="36"/>
                </a:cubicBezTo>
                <a:cubicBezTo>
                  <a:pt x="5" y="35"/>
                  <a:pt x="7" y="31"/>
                  <a:pt x="11" y="31"/>
                </a:cubicBezTo>
                <a:cubicBezTo>
                  <a:pt x="20" y="31"/>
                  <a:pt x="24" y="35"/>
                  <a:pt x="31" y="36"/>
                </a:cubicBezTo>
                <a:cubicBezTo>
                  <a:pt x="24" y="35"/>
                  <a:pt x="17" y="32"/>
                  <a:pt x="11" y="30"/>
                </a:cubicBezTo>
                <a:cubicBezTo>
                  <a:pt x="11" y="23"/>
                  <a:pt x="11" y="23"/>
                  <a:pt x="11" y="23"/>
                </a:cubicBezTo>
                <a:cubicBezTo>
                  <a:pt x="15" y="23"/>
                  <a:pt x="19" y="23"/>
                  <a:pt x="19" y="23"/>
                </a:cubicBezTo>
                <a:cubicBezTo>
                  <a:pt x="20" y="23"/>
                  <a:pt x="34" y="26"/>
                  <a:pt x="38" y="26"/>
                </a:cubicBezTo>
                <a:cubicBezTo>
                  <a:pt x="30" y="25"/>
                  <a:pt x="23" y="26"/>
                  <a:pt x="16" y="22"/>
                </a:cubicBezTo>
                <a:cubicBezTo>
                  <a:pt x="18" y="19"/>
                  <a:pt x="22" y="17"/>
                  <a:pt x="25" y="17"/>
                </a:cubicBezTo>
                <a:cubicBezTo>
                  <a:pt x="31" y="17"/>
                  <a:pt x="32" y="19"/>
                  <a:pt x="36" y="18"/>
                </a:cubicBezTo>
                <a:cubicBezTo>
                  <a:pt x="31" y="19"/>
                  <a:pt x="23" y="18"/>
                  <a:pt x="23" y="12"/>
                </a:cubicBezTo>
                <a:cubicBezTo>
                  <a:pt x="31" y="11"/>
                  <a:pt x="34" y="12"/>
                  <a:pt x="38" y="12"/>
                </a:cubicBezTo>
                <a:cubicBezTo>
                  <a:pt x="39" y="12"/>
                  <a:pt x="45" y="14"/>
                  <a:pt x="45" y="19"/>
                </a:cubicBezTo>
                <a:cubicBezTo>
                  <a:pt x="50" y="19"/>
                  <a:pt x="54" y="19"/>
                  <a:pt x="55" y="19"/>
                </a:cubicBezTo>
                <a:cubicBezTo>
                  <a:pt x="68" y="19"/>
                  <a:pt x="78" y="36"/>
                  <a:pt x="97" y="36"/>
                </a:cubicBezTo>
                <a:cubicBezTo>
                  <a:pt x="103" y="36"/>
                  <a:pt x="105" y="34"/>
                  <a:pt x="107" y="30"/>
                </a:cubicBezTo>
                <a:cubicBezTo>
                  <a:pt x="102" y="30"/>
                  <a:pt x="100" y="30"/>
                  <a:pt x="98" y="29"/>
                </a:cubicBezTo>
                <a:cubicBezTo>
                  <a:pt x="98" y="28"/>
                  <a:pt x="101" y="27"/>
                  <a:pt x="102" y="27"/>
                </a:cubicBezTo>
                <a:cubicBezTo>
                  <a:pt x="102" y="21"/>
                  <a:pt x="102" y="21"/>
                  <a:pt x="102" y="21"/>
                </a:cubicBezTo>
                <a:cubicBezTo>
                  <a:pt x="99" y="21"/>
                  <a:pt x="91" y="19"/>
                  <a:pt x="91" y="15"/>
                </a:cubicBezTo>
                <a:cubicBezTo>
                  <a:pt x="91" y="7"/>
                  <a:pt x="103" y="4"/>
                  <a:pt x="107" y="0"/>
                </a:cubicBezTo>
                <a:cubicBezTo>
                  <a:pt x="110" y="2"/>
                  <a:pt x="113" y="4"/>
                  <a:pt x="116" y="4"/>
                </a:cubicBezTo>
                <a:cubicBezTo>
                  <a:pt x="115" y="7"/>
                  <a:pt x="116" y="8"/>
                  <a:pt x="116" y="9"/>
                </a:cubicBezTo>
                <a:cubicBezTo>
                  <a:pt x="116" y="16"/>
                  <a:pt x="124" y="26"/>
                  <a:pt x="132" y="26"/>
                </a:cubicBezTo>
                <a:cubicBezTo>
                  <a:pt x="136" y="26"/>
                  <a:pt x="139" y="20"/>
                  <a:pt x="144" y="20"/>
                </a:cubicBezTo>
                <a:cubicBezTo>
                  <a:pt x="150" y="20"/>
                  <a:pt x="154" y="26"/>
                  <a:pt x="154" y="31"/>
                </a:cubicBezTo>
                <a:cubicBezTo>
                  <a:pt x="154" y="37"/>
                  <a:pt x="144" y="51"/>
                  <a:pt x="140" y="52"/>
                </a:cubicBezTo>
                <a:cubicBezTo>
                  <a:pt x="137" y="53"/>
                  <a:pt x="111" y="50"/>
                  <a:pt x="111" y="51"/>
                </a:cubicBezTo>
                <a:cubicBezTo>
                  <a:pt x="111" y="52"/>
                  <a:pt x="83" y="58"/>
                  <a:pt x="82" y="59"/>
                </a:cubicBezTo>
                <a:cubicBezTo>
                  <a:pt x="73" y="62"/>
                  <a:pt x="64" y="65"/>
                  <a:pt x="53" y="65"/>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37" name="Freeform 57" hidden="1">
            <a:extLst>
              <a:ext uri="{FF2B5EF4-FFF2-40B4-BE49-F238E27FC236}">
                <a16:creationId xmlns:a16="http://schemas.microsoft.com/office/drawing/2014/main" id="{00000000-0008-0000-0000-000025000000}"/>
              </a:ext>
            </a:extLst>
          </xdr:cNvPr>
          <xdr:cNvSpPr>
            <a:spLocks/>
          </xdr:cNvSpPr>
        </xdr:nvSpPr>
        <xdr:spPr bwMode="auto">
          <a:xfrm>
            <a:off x="2382838" y="1260475"/>
            <a:ext cx="28575" cy="20638"/>
          </a:xfrm>
          <a:custGeom>
            <a:avLst/>
            <a:gdLst/>
            <a:ahLst/>
            <a:cxnLst>
              <a:cxn ang="0">
                <a:pos x="8" y="16"/>
              </a:cxn>
              <a:cxn ang="0">
                <a:pos x="0" y="11"/>
              </a:cxn>
              <a:cxn ang="0">
                <a:pos x="21" y="0"/>
              </a:cxn>
              <a:cxn ang="0">
                <a:pos x="8" y="16"/>
              </a:cxn>
            </a:cxnLst>
            <a:rect l="0" t="0" r="r" b="b"/>
            <a:pathLst>
              <a:path w="21" h="16">
                <a:moveTo>
                  <a:pt x="8" y="16"/>
                </a:moveTo>
                <a:cubicBezTo>
                  <a:pt x="4" y="16"/>
                  <a:pt x="0" y="14"/>
                  <a:pt x="0" y="11"/>
                </a:cubicBezTo>
                <a:cubicBezTo>
                  <a:pt x="0" y="3"/>
                  <a:pt x="16" y="0"/>
                  <a:pt x="21" y="0"/>
                </a:cubicBezTo>
                <a:cubicBezTo>
                  <a:pt x="20" y="7"/>
                  <a:pt x="13" y="16"/>
                  <a:pt x="8" y="16"/>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38" name="Freeform 58" hidden="1">
            <a:extLst>
              <a:ext uri="{FF2B5EF4-FFF2-40B4-BE49-F238E27FC236}">
                <a16:creationId xmlns:a16="http://schemas.microsoft.com/office/drawing/2014/main" id="{00000000-0008-0000-0000-000026000000}"/>
              </a:ext>
            </a:extLst>
          </xdr:cNvPr>
          <xdr:cNvSpPr>
            <a:spLocks/>
          </xdr:cNvSpPr>
        </xdr:nvSpPr>
        <xdr:spPr bwMode="auto">
          <a:xfrm>
            <a:off x="2457450" y="1230313"/>
            <a:ext cx="22225" cy="7938"/>
          </a:xfrm>
          <a:custGeom>
            <a:avLst/>
            <a:gdLst/>
            <a:ahLst/>
            <a:cxnLst>
              <a:cxn ang="0">
                <a:pos x="6" y="6"/>
              </a:cxn>
              <a:cxn ang="0">
                <a:pos x="0" y="0"/>
              </a:cxn>
              <a:cxn ang="0">
                <a:pos x="16" y="0"/>
              </a:cxn>
              <a:cxn ang="0">
                <a:pos x="16" y="6"/>
              </a:cxn>
              <a:cxn ang="0">
                <a:pos x="6" y="6"/>
              </a:cxn>
            </a:cxnLst>
            <a:rect l="0" t="0" r="r" b="b"/>
            <a:pathLst>
              <a:path w="16" h="6">
                <a:moveTo>
                  <a:pt x="6" y="6"/>
                </a:moveTo>
                <a:cubicBezTo>
                  <a:pt x="4" y="6"/>
                  <a:pt x="0" y="4"/>
                  <a:pt x="0" y="0"/>
                </a:cubicBezTo>
                <a:cubicBezTo>
                  <a:pt x="16" y="0"/>
                  <a:pt x="16" y="0"/>
                  <a:pt x="16" y="0"/>
                </a:cubicBezTo>
                <a:cubicBezTo>
                  <a:pt x="16" y="6"/>
                  <a:pt x="16" y="6"/>
                  <a:pt x="16" y="6"/>
                </a:cubicBezTo>
                <a:cubicBezTo>
                  <a:pt x="14" y="6"/>
                  <a:pt x="6" y="6"/>
                  <a:pt x="6" y="6"/>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39" name="Freeform 59" hidden="1">
            <a:extLst>
              <a:ext uri="{FF2B5EF4-FFF2-40B4-BE49-F238E27FC236}">
                <a16:creationId xmlns:a16="http://schemas.microsoft.com/office/drawing/2014/main" id="{00000000-0008-0000-0000-000027000000}"/>
              </a:ext>
            </a:extLst>
          </xdr:cNvPr>
          <xdr:cNvSpPr>
            <a:spLocks/>
          </xdr:cNvSpPr>
        </xdr:nvSpPr>
        <xdr:spPr bwMode="auto">
          <a:xfrm>
            <a:off x="2324100" y="1203325"/>
            <a:ext cx="117475" cy="65088"/>
          </a:xfrm>
          <a:custGeom>
            <a:avLst/>
            <a:gdLst/>
            <a:ahLst/>
            <a:cxnLst>
              <a:cxn ang="0">
                <a:pos x="88" y="8"/>
              </a:cxn>
              <a:cxn ang="0">
                <a:pos x="82" y="15"/>
              </a:cxn>
              <a:cxn ang="0">
                <a:pos x="86" y="24"/>
              </a:cxn>
              <a:cxn ang="0">
                <a:pos x="67" y="38"/>
              </a:cxn>
              <a:cxn ang="0">
                <a:pos x="56" y="26"/>
              </a:cxn>
              <a:cxn ang="0">
                <a:pos x="41" y="39"/>
              </a:cxn>
              <a:cxn ang="0">
                <a:pos x="32" y="49"/>
              </a:cxn>
              <a:cxn ang="0">
                <a:pos x="24" y="42"/>
              </a:cxn>
              <a:cxn ang="0">
                <a:pos x="12" y="42"/>
              </a:cxn>
              <a:cxn ang="0">
                <a:pos x="4" y="46"/>
              </a:cxn>
              <a:cxn ang="0">
                <a:pos x="0" y="39"/>
              </a:cxn>
              <a:cxn ang="0">
                <a:pos x="10" y="31"/>
              </a:cxn>
              <a:cxn ang="0">
                <a:pos x="31" y="23"/>
              </a:cxn>
              <a:cxn ang="0">
                <a:pos x="54" y="6"/>
              </a:cxn>
              <a:cxn ang="0">
                <a:pos x="62" y="7"/>
              </a:cxn>
              <a:cxn ang="0">
                <a:pos x="88" y="8"/>
              </a:cxn>
            </a:cxnLst>
            <a:rect l="0" t="0" r="r" b="b"/>
            <a:pathLst>
              <a:path w="88" h="49">
                <a:moveTo>
                  <a:pt x="88" y="8"/>
                </a:moveTo>
                <a:cubicBezTo>
                  <a:pt x="88" y="11"/>
                  <a:pt x="86" y="14"/>
                  <a:pt x="82" y="15"/>
                </a:cubicBezTo>
                <a:cubicBezTo>
                  <a:pt x="83" y="19"/>
                  <a:pt x="86" y="20"/>
                  <a:pt x="86" y="24"/>
                </a:cubicBezTo>
                <a:cubicBezTo>
                  <a:pt x="67" y="38"/>
                  <a:pt x="67" y="38"/>
                  <a:pt x="67" y="38"/>
                </a:cubicBezTo>
                <a:cubicBezTo>
                  <a:pt x="60" y="38"/>
                  <a:pt x="60" y="28"/>
                  <a:pt x="56" y="26"/>
                </a:cubicBezTo>
                <a:cubicBezTo>
                  <a:pt x="55" y="33"/>
                  <a:pt x="48" y="40"/>
                  <a:pt x="41" y="39"/>
                </a:cubicBezTo>
                <a:cubicBezTo>
                  <a:pt x="40" y="44"/>
                  <a:pt x="37" y="49"/>
                  <a:pt x="32" y="49"/>
                </a:cubicBezTo>
                <a:cubicBezTo>
                  <a:pt x="28" y="49"/>
                  <a:pt x="25" y="44"/>
                  <a:pt x="24" y="42"/>
                </a:cubicBezTo>
                <a:cubicBezTo>
                  <a:pt x="19" y="45"/>
                  <a:pt x="16" y="42"/>
                  <a:pt x="12" y="42"/>
                </a:cubicBezTo>
                <a:cubicBezTo>
                  <a:pt x="9" y="42"/>
                  <a:pt x="8" y="45"/>
                  <a:pt x="4" y="46"/>
                </a:cubicBezTo>
                <a:cubicBezTo>
                  <a:pt x="4" y="43"/>
                  <a:pt x="0" y="41"/>
                  <a:pt x="0" y="39"/>
                </a:cubicBezTo>
                <a:cubicBezTo>
                  <a:pt x="0" y="38"/>
                  <a:pt x="8" y="32"/>
                  <a:pt x="10" y="31"/>
                </a:cubicBezTo>
                <a:cubicBezTo>
                  <a:pt x="17" y="28"/>
                  <a:pt x="23" y="27"/>
                  <a:pt x="31" y="23"/>
                </a:cubicBezTo>
                <a:cubicBezTo>
                  <a:pt x="39" y="18"/>
                  <a:pt x="41" y="6"/>
                  <a:pt x="54" y="6"/>
                </a:cubicBezTo>
                <a:cubicBezTo>
                  <a:pt x="57" y="6"/>
                  <a:pt x="58" y="7"/>
                  <a:pt x="62" y="7"/>
                </a:cubicBezTo>
                <a:cubicBezTo>
                  <a:pt x="62" y="7"/>
                  <a:pt x="88" y="0"/>
                  <a:pt x="88" y="8"/>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40" name="Freeform 60" hidden="1">
            <a:extLst>
              <a:ext uri="{FF2B5EF4-FFF2-40B4-BE49-F238E27FC236}">
                <a16:creationId xmlns:a16="http://schemas.microsoft.com/office/drawing/2014/main" id="{00000000-0008-0000-0000-000028000000}"/>
              </a:ext>
            </a:extLst>
          </xdr:cNvPr>
          <xdr:cNvSpPr>
            <a:spLocks/>
          </xdr:cNvSpPr>
        </xdr:nvSpPr>
        <xdr:spPr bwMode="auto">
          <a:xfrm>
            <a:off x="2481263" y="1162050"/>
            <a:ext cx="66675" cy="20638"/>
          </a:xfrm>
          <a:custGeom>
            <a:avLst/>
            <a:gdLst/>
            <a:ahLst/>
            <a:cxnLst>
              <a:cxn ang="0">
                <a:pos x="20" y="15"/>
              </a:cxn>
              <a:cxn ang="0">
                <a:pos x="9" y="12"/>
              </a:cxn>
              <a:cxn ang="0">
                <a:pos x="0" y="15"/>
              </a:cxn>
              <a:cxn ang="0">
                <a:pos x="32" y="0"/>
              </a:cxn>
              <a:cxn ang="0">
                <a:pos x="50" y="11"/>
              </a:cxn>
              <a:cxn ang="0">
                <a:pos x="39" y="15"/>
              </a:cxn>
              <a:cxn ang="0">
                <a:pos x="20" y="15"/>
              </a:cxn>
            </a:cxnLst>
            <a:rect l="0" t="0" r="r" b="b"/>
            <a:pathLst>
              <a:path w="50" h="15">
                <a:moveTo>
                  <a:pt x="20" y="15"/>
                </a:moveTo>
                <a:cubicBezTo>
                  <a:pt x="14" y="15"/>
                  <a:pt x="13" y="12"/>
                  <a:pt x="9" y="12"/>
                </a:cubicBezTo>
                <a:cubicBezTo>
                  <a:pt x="5" y="12"/>
                  <a:pt x="3" y="15"/>
                  <a:pt x="0" y="15"/>
                </a:cubicBezTo>
                <a:cubicBezTo>
                  <a:pt x="0" y="9"/>
                  <a:pt x="26" y="0"/>
                  <a:pt x="32" y="0"/>
                </a:cubicBezTo>
                <a:cubicBezTo>
                  <a:pt x="41" y="0"/>
                  <a:pt x="49" y="5"/>
                  <a:pt x="50" y="11"/>
                </a:cubicBezTo>
                <a:cubicBezTo>
                  <a:pt x="47" y="12"/>
                  <a:pt x="44" y="15"/>
                  <a:pt x="39" y="15"/>
                </a:cubicBezTo>
                <a:cubicBezTo>
                  <a:pt x="27" y="15"/>
                  <a:pt x="29" y="15"/>
                  <a:pt x="20" y="15"/>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41" name="Freeform 61" hidden="1">
            <a:extLst>
              <a:ext uri="{FF2B5EF4-FFF2-40B4-BE49-F238E27FC236}">
                <a16:creationId xmlns:a16="http://schemas.microsoft.com/office/drawing/2014/main" id="{00000000-0008-0000-0000-000029000000}"/>
              </a:ext>
            </a:extLst>
          </xdr:cNvPr>
          <xdr:cNvSpPr>
            <a:spLocks/>
          </xdr:cNvSpPr>
        </xdr:nvSpPr>
        <xdr:spPr bwMode="auto">
          <a:xfrm>
            <a:off x="2482850" y="1185863"/>
            <a:ext cx="58738" cy="30163"/>
          </a:xfrm>
          <a:custGeom>
            <a:avLst/>
            <a:gdLst/>
            <a:ahLst/>
            <a:cxnLst>
              <a:cxn ang="0">
                <a:pos x="38" y="10"/>
              </a:cxn>
              <a:cxn ang="0">
                <a:pos x="14" y="23"/>
              </a:cxn>
              <a:cxn ang="0">
                <a:pos x="0" y="11"/>
              </a:cxn>
              <a:cxn ang="0">
                <a:pos x="36" y="0"/>
              </a:cxn>
              <a:cxn ang="0">
                <a:pos x="44" y="5"/>
              </a:cxn>
              <a:cxn ang="0">
                <a:pos x="25" y="10"/>
              </a:cxn>
              <a:cxn ang="0">
                <a:pos x="38" y="10"/>
              </a:cxn>
            </a:cxnLst>
            <a:rect l="0" t="0" r="r" b="b"/>
            <a:pathLst>
              <a:path w="44" h="23">
                <a:moveTo>
                  <a:pt x="38" y="10"/>
                </a:moveTo>
                <a:cubicBezTo>
                  <a:pt x="38" y="19"/>
                  <a:pt x="24" y="23"/>
                  <a:pt x="14" y="23"/>
                </a:cubicBezTo>
                <a:cubicBezTo>
                  <a:pt x="8" y="23"/>
                  <a:pt x="0" y="15"/>
                  <a:pt x="0" y="11"/>
                </a:cubicBezTo>
                <a:cubicBezTo>
                  <a:pt x="0" y="1"/>
                  <a:pt x="27" y="0"/>
                  <a:pt x="36" y="0"/>
                </a:cubicBezTo>
                <a:cubicBezTo>
                  <a:pt x="41" y="0"/>
                  <a:pt x="43" y="3"/>
                  <a:pt x="44" y="5"/>
                </a:cubicBezTo>
                <a:cubicBezTo>
                  <a:pt x="39" y="9"/>
                  <a:pt x="32" y="10"/>
                  <a:pt x="25" y="10"/>
                </a:cubicBezTo>
                <a:lnTo>
                  <a:pt x="38" y="10"/>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42" name="Freeform 62" hidden="1">
            <a:extLst>
              <a:ext uri="{FF2B5EF4-FFF2-40B4-BE49-F238E27FC236}">
                <a16:creationId xmlns:a16="http://schemas.microsoft.com/office/drawing/2014/main" id="{00000000-0008-0000-0000-00002A000000}"/>
              </a:ext>
            </a:extLst>
          </xdr:cNvPr>
          <xdr:cNvSpPr>
            <a:spLocks/>
          </xdr:cNvSpPr>
        </xdr:nvSpPr>
        <xdr:spPr bwMode="auto">
          <a:xfrm>
            <a:off x="2454275" y="1181100"/>
            <a:ext cx="20638" cy="22225"/>
          </a:xfrm>
          <a:custGeom>
            <a:avLst/>
            <a:gdLst/>
            <a:ahLst/>
            <a:cxnLst>
              <a:cxn ang="0">
                <a:pos x="15" y="12"/>
              </a:cxn>
              <a:cxn ang="0">
                <a:pos x="9" y="17"/>
              </a:cxn>
              <a:cxn ang="0">
                <a:pos x="0" y="11"/>
              </a:cxn>
              <a:cxn ang="0">
                <a:pos x="15" y="12"/>
              </a:cxn>
            </a:cxnLst>
            <a:rect l="0" t="0" r="r" b="b"/>
            <a:pathLst>
              <a:path w="15" h="17">
                <a:moveTo>
                  <a:pt x="15" y="12"/>
                </a:moveTo>
                <a:cubicBezTo>
                  <a:pt x="13" y="15"/>
                  <a:pt x="12" y="17"/>
                  <a:pt x="9" y="17"/>
                </a:cubicBezTo>
                <a:cubicBezTo>
                  <a:pt x="5" y="17"/>
                  <a:pt x="0" y="13"/>
                  <a:pt x="0" y="11"/>
                </a:cubicBezTo>
                <a:cubicBezTo>
                  <a:pt x="0" y="0"/>
                  <a:pt x="12" y="11"/>
                  <a:pt x="15" y="12"/>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43" name="Freeform 63" hidden="1">
            <a:extLst>
              <a:ext uri="{FF2B5EF4-FFF2-40B4-BE49-F238E27FC236}">
                <a16:creationId xmlns:a16="http://schemas.microsoft.com/office/drawing/2014/main" id="{00000000-0008-0000-0000-00002B000000}"/>
              </a:ext>
            </a:extLst>
          </xdr:cNvPr>
          <xdr:cNvSpPr>
            <a:spLocks/>
          </xdr:cNvSpPr>
        </xdr:nvSpPr>
        <xdr:spPr bwMode="auto">
          <a:xfrm>
            <a:off x="2671763" y="1335088"/>
            <a:ext cx="100013" cy="80963"/>
          </a:xfrm>
          <a:custGeom>
            <a:avLst/>
            <a:gdLst/>
            <a:ahLst/>
            <a:cxnLst>
              <a:cxn ang="0">
                <a:pos x="66" y="23"/>
              </a:cxn>
              <a:cxn ang="0">
                <a:pos x="65" y="30"/>
              </a:cxn>
              <a:cxn ang="0">
                <a:pos x="75" y="32"/>
              </a:cxn>
              <a:cxn ang="0">
                <a:pos x="57" y="55"/>
              </a:cxn>
              <a:cxn ang="0">
                <a:pos x="49" y="61"/>
              </a:cxn>
              <a:cxn ang="0">
                <a:pos x="39" y="54"/>
              </a:cxn>
              <a:cxn ang="0">
                <a:pos x="0" y="30"/>
              </a:cxn>
              <a:cxn ang="0">
                <a:pos x="0" y="23"/>
              </a:cxn>
              <a:cxn ang="0">
                <a:pos x="20" y="28"/>
              </a:cxn>
              <a:cxn ang="0">
                <a:pos x="27" y="28"/>
              </a:cxn>
              <a:cxn ang="0">
                <a:pos x="27" y="16"/>
              </a:cxn>
              <a:cxn ang="0">
                <a:pos x="12" y="11"/>
              </a:cxn>
              <a:cxn ang="0">
                <a:pos x="16" y="7"/>
              </a:cxn>
              <a:cxn ang="0">
                <a:pos x="42" y="2"/>
              </a:cxn>
              <a:cxn ang="0">
                <a:pos x="60" y="2"/>
              </a:cxn>
              <a:cxn ang="0">
                <a:pos x="64" y="6"/>
              </a:cxn>
              <a:cxn ang="0">
                <a:pos x="50" y="22"/>
              </a:cxn>
              <a:cxn ang="0">
                <a:pos x="66" y="23"/>
              </a:cxn>
            </a:cxnLst>
            <a:rect l="0" t="0" r="r" b="b"/>
            <a:pathLst>
              <a:path w="75" h="61">
                <a:moveTo>
                  <a:pt x="66" y="23"/>
                </a:moveTo>
                <a:cubicBezTo>
                  <a:pt x="66" y="29"/>
                  <a:pt x="65" y="25"/>
                  <a:pt x="65" y="30"/>
                </a:cubicBezTo>
                <a:cubicBezTo>
                  <a:pt x="67" y="30"/>
                  <a:pt x="72" y="31"/>
                  <a:pt x="75" y="32"/>
                </a:cubicBezTo>
                <a:cubicBezTo>
                  <a:pt x="73" y="56"/>
                  <a:pt x="72" y="49"/>
                  <a:pt x="57" y="55"/>
                </a:cubicBezTo>
                <a:cubicBezTo>
                  <a:pt x="53" y="56"/>
                  <a:pt x="53" y="61"/>
                  <a:pt x="49" y="61"/>
                </a:cubicBezTo>
                <a:cubicBezTo>
                  <a:pt x="42" y="61"/>
                  <a:pt x="42" y="56"/>
                  <a:pt x="39" y="54"/>
                </a:cubicBezTo>
                <a:cubicBezTo>
                  <a:pt x="27" y="41"/>
                  <a:pt x="13" y="43"/>
                  <a:pt x="0" y="30"/>
                </a:cubicBezTo>
                <a:cubicBezTo>
                  <a:pt x="0" y="23"/>
                  <a:pt x="0" y="23"/>
                  <a:pt x="0" y="23"/>
                </a:cubicBezTo>
                <a:cubicBezTo>
                  <a:pt x="6" y="23"/>
                  <a:pt x="12" y="28"/>
                  <a:pt x="20" y="28"/>
                </a:cubicBezTo>
                <a:cubicBezTo>
                  <a:pt x="24" y="28"/>
                  <a:pt x="23" y="28"/>
                  <a:pt x="27" y="28"/>
                </a:cubicBezTo>
                <a:cubicBezTo>
                  <a:pt x="27" y="16"/>
                  <a:pt x="27" y="16"/>
                  <a:pt x="27" y="16"/>
                </a:cubicBezTo>
                <a:cubicBezTo>
                  <a:pt x="21" y="15"/>
                  <a:pt x="12" y="16"/>
                  <a:pt x="12" y="11"/>
                </a:cubicBezTo>
                <a:cubicBezTo>
                  <a:pt x="12" y="9"/>
                  <a:pt x="15" y="8"/>
                  <a:pt x="16" y="7"/>
                </a:cubicBezTo>
                <a:cubicBezTo>
                  <a:pt x="23" y="0"/>
                  <a:pt x="32" y="2"/>
                  <a:pt x="42" y="2"/>
                </a:cubicBezTo>
                <a:cubicBezTo>
                  <a:pt x="50" y="2"/>
                  <a:pt x="60" y="2"/>
                  <a:pt x="60" y="2"/>
                </a:cubicBezTo>
                <a:cubicBezTo>
                  <a:pt x="61" y="2"/>
                  <a:pt x="64" y="4"/>
                  <a:pt x="64" y="6"/>
                </a:cubicBezTo>
                <a:cubicBezTo>
                  <a:pt x="64" y="15"/>
                  <a:pt x="53" y="18"/>
                  <a:pt x="50" y="22"/>
                </a:cubicBezTo>
                <a:cubicBezTo>
                  <a:pt x="53" y="22"/>
                  <a:pt x="66" y="18"/>
                  <a:pt x="66" y="23"/>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44" name="Freeform 64" hidden="1">
            <a:extLst>
              <a:ext uri="{FF2B5EF4-FFF2-40B4-BE49-F238E27FC236}">
                <a16:creationId xmlns:a16="http://schemas.microsoft.com/office/drawing/2014/main" id="{00000000-0008-0000-0000-00002C000000}"/>
              </a:ext>
            </a:extLst>
          </xdr:cNvPr>
          <xdr:cNvSpPr>
            <a:spLocks/>
          </xdr:cNvSpPr>
        </xdr:nvSpPr>
        <xdr:spPr bwMode="auto">
          <a:xfrm>
            <a:off x="2636838" y="1236663"/>
            <a:ext cx="111125" cy="60325"/>
          </a:xfrm>
          <a:custGeom>
            <a:avLst/>
            <a:gdLst/>
            <a:ahLst/>
            <a:cxnLst>
              <a:cxn ang="0">
                <a:pos x="4" y="11"/>
              </a:cxn>
              <a:cxn ang="0">
                <a:pos x="0" y="2"/>
              </a:cxn>
              <a:cxn ang="0">
                <a:pos x="5" y="2"/>
              </a:cxn>
              <a:cxn ang="0">
                <a:pos x="38" y="20"/>
              </a:cxn>
              <a:cxn ang="0">
                <a:pos x="29" y="13"/>
              </a:cxn>
              <a:cxn ang="0">
                <a:pos x="29" y="8"/>
              </a:cxn>
              <a:cxn ang="0">
                <a:pos x="54" y="17"/>
              </a:cxn>
              <a:cxn ang="0">
                <a:pos x="54" y="8"/>
              </a:cxn>
              <a:cxn ang="0">
                <a:pos x="38" y="1"/>
              </a:cxn>
              <a:cxn ang="0">
                <a:pos x="46" y="1"/>
              </a:cxn>
              <a:cxn ang="0">
                <a:pos x="66" y="5"/>
              </a:cxn>
              <a:cxn ang="0">
                <a:pos x="75" y="2"/>
              </a:cxn>
              <a:cxn ang="0">
                <a:pos x="84" y="13"/>
              </a:cxn>
              <a:cxn ang="0">
                <a:pos x="80" y="41"/>
              </a:cxn>
              <a:cxn ang="0">
                <a:pos x="62" y="43"/>
              </a:cxn>
              <a:cxn ang="0">
                <a:pos x="48" y="41"/>
              </a:cxn>
              <a:cxn ang="0">
                <a:pos x="51" y="36"/>
              </a:cxn>
              <a:cxn ang="0">
                <a:pos x="51" y="32"/>
              </a:cxn>
              <a:cxn ang="0">
                <a:pos x="62" y="25"/>
              </a:cxn>
              <a:cxn ang="0">
                <a:pos x="57" y="24"/>
              </a:cxn>
              <a:cxn ang="0">
                <a:pos x="25" y="28"/>
              </a:cxn>
              <a:cxn ang="0">
                <a:pos x="20" y="23"/>
              </a:cxn>
              <a:cxn ang="0">
                <a:pos x="13" y="23"/>
              </a:cxn>
              <a:cxn ang="0">
                <a:pos x="12" y="19"/>
              </a:cxn>
              <a:cxn ang="0">
                <a:pos x="1" y="14"/>
              </a:cxn>
              <a:cxn ang="0">
                <a:pos x="1" y="6"/>
              </a:cxn>
              <a:cxn ang="0">
                <a:pos x="4" y="11"/>
              </a:cxn>
            </a:cxnLst>
            <a:rect l="0" t="0" r="r" b="b"/>
            <a:pathLst>
              <a:path w="84" h="45">
                <a:moveTo>
                  <a:pt x="4" y="11"/>
                </a:moveTo>
                <a:cubicBezTo>
                  <a:pt x="2" y="9"/>
                  <a:pt x="0" y="6"/>
                  <a:pt x="0" y="2"/>
                </a:cubicBezTo>
                <a:cubicBezTo>
                  <a:pt x="1" y="2"/>
                  <a:pt x="3" y="2"/>
                  <a:pt x="5" y="2"/>
                </a:cubicBezTo>
                <a:cubicBezTo>
                  <a:pt x="18" y="2"/>
                  <a:pt x="24" y="24"/>
                  <a:pt x="38" y="20"/>
                </a:cubicBezTo>
                <a:cubicBezTo>
                  <a:pt x="35" y="18"/>
                  <a:pt x="31" y="15"/>
                  <a:pt x="29" y="13"/>
                </a:cubicBezTo>
                <a:cubicBezTo>
                  <a:pt x="29" y="8"/>
                  <a:pt x="29" y="8"/>
                  <a:pt x="29" y="8"/>
                </a:cubicBezTo>
                <a:cubicBezTo>
                  <a:pt x="39" y="8"/>
                  <a:pt x="43" y="17"/>
                  <a:pt x="54" y="17"/>
                </a:cubicBezTo>
                <a:cubicBezTo>
                  <a:pt x="54" y="8"/>
                  <a:pt x="54" y="8"/>
                  <a:pt x="54" y="8"/>
                </a:cubicBezTo>
                <a:cubicBezTo>
                  <a:pt x="46" y="8"/>
                  <a:pt x="40" y="8"/>
                  <a:pt x="38" y="1"/>
                </a:cubicBezTo>
                <a:cubicBezTo>
                  <a:pt x="41" y="0"/>
                  <a:pt x="43" y="1"/>
                  <a:pt x="46" y="1"/>
                </a:cubicBezTo>
                <a:cubicBezTo>
                  <a:pt x="53" y="1"/>
                  <a:pt x="58" y="5"/>
                  <a:pt x="66" y="5"/>
                </a:cubicBezTo>
                <a:cubicBezTo>
                  <a:pt x="69" y="5"/>
                  <a:pt x="71" y="2"/>
                  <a:pt x="75" y="2"/>
                </a:cubicBezTo>
                <a:cubicBezTo>
                  <a:pt x="83" y="2"/>
                  <a:pt x="84" y="6"/>
                  <a:pt x="84" y="13"/>
                </a:cubicBezTo>
                <a:cubicBezTo>
                  <a:pt x="84" y="23"/>
                  <a:pt x="78" y="28"/>
                  <a:pt x="80" y="41"/>
                </a:cubicBezTo>
                <a:cubicBezTo>
                  <a:pt x="73" y="43"/>
                  <a:pt x="64" y="43"/>
                  <a:pt x="62" y="43"/>
                </a:cubicBezTo>
                <a:cubicBezTo>
                  <a:pt x="60" y="43"/>
                  <a:pt x="48" y="45"/>
                  <a:pt x="48" y="41"/>
                </a:cubicBezTo>
                <a:cubicBezTo>
                  <a:pt x="48" y="39"/>
                  <a:pt x="50" y="37"/>
                  <a:pt x="51" y="36"/>
                </a:cubicBezTo>
                <a:cubicBezTo>
                  <a:pt x="51" y="35"/>
                  <a:pt x="51" y="33"/>
                  <a:pt x="51" y="32"/>
                </a:cubicBezTo>
                <a:cubicBezTo>
                  <a:pt x="51" y="28"/>
                  <a:pt x="60" y="28"/>
                  <a:pt x="62" y="25"/>
                </a:cubicBezTo>
                <a:cubicBezTo>
                  <a:pt x="61" y="24"/>
                  <a:pt x="59" y="24"/>
                  <a:pt x="57" y="24"/>
                </a:cubicBezTo>
                <a:cubicBezTo>
                  <a:pt x="49" y="24"/>
                  <a:pt x="34" y="28"/>
                  <a:pt x="25" y="28"/>
                </a:cubicBezTo>
                <a:cubicBezTo>
                  <a:pt x="22" y="28"/>
                  <a:pt x="20" y="26"/>
                  <a:pt x="20" y="23"/>
                </a:cubicBezTo>
                <a:cubicBezTo>
                  <a:pt x="13" y="23"/>
                  <a:pt x="13" y="23"/>
                  <a:pt x="13" y="23"/>
                </a:cubicBezTo>
                <a:cubicBezTo>
                  <a:pt x="12" y="19"/>
                  <a:pt x="12" y="19"/>
                  <a:pt x="12" y="19"/>
                </a:cubicBezTo>
                <a:cubicBezTo>
                  <a:pt x="7" y="20"/>
                  <a:pt x="4" y="17"/>
                  <a:pt x="1" y="14"/>
                </a:cubicBezTo>
                <a:cubicBezTo>
                  <a:pt x="1" y="6"/>
                  <a:pt x="1" y="6"/>
                  <a:pt x="1" y="6"/>
                </a:cubicBezTo>
                <a:lnTo>
                  <a:pt x="4" y="11"/>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45" name="Freeform 65" hidden="1">
            <a:extLst>
              <a:ext uri="{FF2B5EF4-FFF2-40B4-BE49-F238E27FC236}">
                <a16:creationId xmlns:a16="http://schemas.microsoft.com/office/drawing/2014/main" id="{00000000-0008-0000-0000-00002D000000}"/>
              </a:ext>
            </a:extLst>
          </xdr:cNvPr>
          <xdr:cNvSpPr>
            <a:spLocks/>
          </xdr:cNvSpPr>
        </xdr:nvSpPr>
        <xdr:spPr bwMode="auto">
          <a:xfrm>
            <a:off x="2720975" y="1462088"/>
            <a:ext cx="65088" cy="38100"/>
          </a:xfrm>
          <a:custGeom>
            <a:avLst/>
            <a:gdLst/>
            <a:ahLst/>
            <a:cxnLst>
              <a:cxn ang="0">
                <a:pos x="38" y="29"/>
              </a:cxn>
              <a:cxn ang="0">
                <a:pos x="0" y="16"/>
              </a:cxn>
              <a:cxn ang="0">
                <a:pos x="9" y="14"/>
              </a:cxn>
              <a:cxn ang="0">
                <a:pos x="22" y="0"/>
              </a:cxn>
              <a:cxn ang="0">
                <a:pos x="49" y="22"/>
              </a:cxn>
              <a:cxn ang="0">
                <a:pos x="38" y="29"/>
              </a:cxn>
            </a:cxnLst>
            <a:rect l="0" t="0" r="r" b="b"/>
            <a:pathLst>
              <a:path w="49" h="29">
                <a:moveTo>
                  <a:pt x="38" y="29"/>
                </a:moveTo>
                <a:cubicBezTo>
                  <a:pt x="32" y="29"/>
                  <a:pt x="0" y="17"/>
                  <a:pt x="0" y="16"/>
                </a:cubicBezTo>
                <a:cubicBezTo>
                  <a:pt x="0" y="12"/>
                  <a:pt x="8" y="14"/>
                  <a:pt x="9" y="14"/>
                </a:cubicBezTo>
                <a:cubicBezTo>
                  <a:pt x="15" y="12"/>
                  <a:pt x="13" y="0"/>
                  <a:pt x="22" y="0"/>
                </a:cubicBezTo>
                <a:cubicBezTo>
                  <a:pt x="28" y="0"/>
                  <a:pt x="46" y="16"/>
                  <a:pt x="49" y="22"/>
                </a:cubicBezTo>
                <a:cubicBezTo>
                  <a:pt x="45" y="25"/>
                  <a:pt x="43" y="29"/>
                  <a:pt x="38" y="29"/>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46" name="Freeform 66" hidden="1">
            <a:extLst>
              <a:ext uri="{FF2B5EF4-FFF2-40B4-BE49-F238E27FC236}">
                <a16:creationId xmlns:a16="http://schemas.microsoft.com/office/drawing/2014/main" id="{00000000-0008-0000-0000-00002E000000}"/>
              </a:ext>
            </a:extLst>
          </xdr:cNvPr>
          <xdr:cNvSpPr>
            <a:spLocks/>
          </xdr:cNvSpPr>
        </xdr:nvSpPr>
        <xdr:spPr bwMode="auto">
          <a:xfrm>
            <a:off x="2784475" y="1323975"/>
            <a:ext cx="85725" cy="69850"/>
          </a:xfrm>
          <a:custGeom>
            <a:avLst/>
            <a:gdLst/>
            <a:ahLst/>
            <a:cxnLst>
              <a:cxn ang="0">
                <a:pos x="65" y="11"/>
              </a:cxn>
              <a:cxn ang="0">
                <a:pos x="57" y="18"/>
              </a:cxn>
              <a:cxn ang="0">
                <a:pos x="32" y="35"/>
              </a:cxn>
              <a:cxn ang="0">
                <a:pos x="20" y="38"/>
              </a:cxn>
              <a:cxn ang="0">
                <a:pos x="25" y="38"/>
              </a:cxn>
              <a:cxn ang="0">
                <a:pos x="15" y="53"/>
              </a:cxn>
              <a:cxn ang="0">
                <a:pos x="6" y="53"/>
              </a:cxn>
              <a:cxn ang="0">
                <a:pos x="7" y="40"/>
              </a:cxn>
              <a:cxn ang="0">
                <a:pos x="0" y="19"/>
              </a:cxn>
              <a:cxn ang="0">
                <a:pos x="0" y="11"/>
              </a:cxn>
              <a:cxn ang="0">
                <a:pos x="10" y="11"/>
              </a:cxn>
              <a:cxn ang="0">
                <a:pos x="10" y="7"/>
              </a:cxn>
              <a:cxn ang="0">
                <a:pos x="22" y="0"/>
              </a:cxn>
              <a:cxn ang="0">
                <a:pos x="65" y="5"/>
              </a:cxn>
              <a:cxn ang="0">
                <a:pos x="65" y="11"/>
              </a:cxn>
            </a:cxnLst>
            <a:rect l="0" t="0" r="r" b="b"/>
            <a:pathLst>
              <a:path w="65" h="53">
                <a:moveTo>
                  <a:pt x="65" y="11"/>
                </a:moveTo>
                <a:cubicBezTo>
                  <a:pt x="65" y="12"/>
                  <a:pt x="57" y="18"/>
                  <a:pt x="57" y="18"/>
                </a:cubicBezTo>
                <a:cubicBezTo>
                  <a:pt x="51" y="26"/>
                  <a:pt x="45" y="35"/>
                  <a:pt x="32" y="35"/>
                </a:cubicBezTo>
                <a:cubicBezTo>
                  <a:pt x="22" y="35"/>
                  <a:pt x="22" y="30"/>
                  <a:pt x="20" y="38"/>
                </a:cubicBezTo>
                <a:cubicBezTo>
                  <a:pt x="25" y="38"/>
                  <a:pt x="25" y="38"/>
                  <a:pt x="25" y="38"/>
                </a:cubicBezTo>
                <a:cubicBezTo>
                  <a:pt x="24" y="46"/>
                  <a:pt x="21" y="48"/>
                  <a:pt x="15" y="53"/>
                </a:cubicBezTo>
                <a:cubicBezTo>
                  <a:pt x="6" y="53"/>
                  <a:pt x="6" y="53"/>
                  <a:pt x="6" y="53"/>
                </a:cubicBezTo>
                <a:cubicBezTo>
                  <a:pt x="6" y="47"/>
                  <a:pt x="6" y="42"/>
                  <a:pt x="7" y="40"/>
                </a:cubicBezTo>
                <a:cubicBezTo>
                  <a:pt x="0" y="33"/>
                  <a:pt x="3" y="27"/>
                  <a:pt x="0" y="19"/>
                </a:cubicBezTo>
                <a:cubicBezTo>
                  <a:pt x="0" y="11"/>
                  <a:pt x="0" y="11"/>
                  <a:pt x="0" y="11"/>
                </a:cubicBezTo>
                <a:cubicBezTo>
                  <a:pt x="3" y="11"/>
                  <a:pt x="8" y="11"/>
                  <a:pt x="10" y="11"/>
                </a:cubicBezTo>
                <a:cubicBezTo>
                  <a:pt x="9" y="11"/>
                  <a:pt x="10" y="8"/>
                  <a:pt x="10" y="7"/>
                </a:cubicBezTo>
                <a:cubicBezTo>
                  <a:pt x="10" y="6"/>
                  <a:pt x="13" y="0"/>
                  <a:pt x="22" y="0"/>
                </a:cubicBezTo>
                <a:cubicBezTo>
                  <a:pt x="37" y="0"/>
                  <a:pt x="49" y="5"/>
                  <a:pt x="65" y="5"/>
                </a:cubicBezTo>
                <a:cubicBezTo>
                  <a:pt x="65" y="8"/>
                  <a:pt x="65" y="9"/>
                  <a:pt x="65" y="11"/>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47" name="Freeform 67" hidden="1">
            <a:extLst>
              <a:ext uri="{FF2B5EF4-FFF2-40B4-BE49-F238E27FC236}">
                <a16:creationId xmlns:a16="http://schemas.microsoft.com/office/drawing/2014/main" id="{00000000-0008-0000-0000-00002F000000}"/>
              </a:ext>
            </a:extLst>
          </xdr:cNvPr>
          <xdr:cNvSpPr>
            <a:spLocks/>
          </xdr:cNvSpPr>
        </xdr:nvSpPr>
        <xdr:spPr bwMode="auto">
          <a:xfrm>
            <a:off x="2608263" y="1198563"/>
            <a:ext cx="28575" cy="23813"/>
          </a:xfrm>
          <a:custGeom>
            <a:avLst/>
            <a:gdLst/>
            <a:ahLst/>
            <a:cxnLst>
              <a:cxn ang="0">
                <a:pos x="21" y="12"/>
              </a:cxn>
              <a:cxn ang="0">
                <a:pos x="15" y="18"/>
              </a:cxn>
              <a:cxn ang="0">
                <a:pos x="0" y="0"/>
              </a:cxn>
              <a:cxn ang="0">
                <a:pos x="21" y="12"/>
              </a:cxn>
            </a:cxnLst>
            <a:rect l="0" t="0" r="r" b="b"/>
            <a:pathLst>
              <a:path w="21" h="18">
                <a:moveTo>
                  <a:pt x="21" y="12"/>
                </a:moveTo>
                <a:cubicBezTo>
                  <a:pt x="21" y="16"/>
                  <a:pt x="18" y="18"/>
                  <a:pt x="15" y="18"/>
                </a:cubicBezTo>
                <a:cubicBezTo>
                  <a:pt x="10" y="18"/>
                  <a:pt x="0" y="6"/>
                  <a:pt x="0" y="0"/>
                </a:cubicBezTo>
                <a:cubicBezTo>
                  <a:pt x="11" y="0"/>
                  <a:pt x="12" y="9"/>
                  <a:pt x="21" y="12"/>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48" name="Freeform 68" hidden="1">
            <a:extLst>
              <a:ext uri="{FF2B5EF4-FFF2-40B4-BE49-F238E27FC236}">
                <a16:creationId xmlns:a16="http://schemas.microsoft.com/office/drawing/2014/main" id="{00000000-0008-0000-0000-000030000000}"/>
              </a:ext>
            </a:extLst>
          </xdr:cNvPr>
          <xdr:cNvSpPr>
            <a:spLocks/>
          </xdr:cNvSpPr>
        </xdr:nvSpPr>
        <xdr:spPr bwMode="auto">
          <a:xfrm>
            <a:off x="2625725" y="1277938"/>
            <a:ext cx="19050" cy="15875"/>
          </a:xfrm>
          <a:custGeom>
            <a:avLst/>
            <a:gdLst/>
            <a:ahLst/>
            <a:cxnLst>
              <a:cxn ang="0">
                <a:pos x="12" y="0"/>
              </a:cxn>
              <a:cxn ang="0">
                <a:pos x="15" y="6"/>
              </a:cxn>
              <a:cxn ang="0">
                <a:pos x="9" y="12"/>
              </a:cxn>
              <a:cxn ang="0">
                <a:pos x="0" y="12"/>
              </a:cxn>
              <a:cxn ang="0">
                <a:pos x="12" y="0"/>
              </a:cxn>
            </a:cxnLst>
            <a:rect l="0" t="0" r="r" b="b"/>
            <a:pathLst>
              <a:path w="15" h="12">
                <a:moveTo>
                  <a:pt x="12" y="0"/>
                </a:moveTo>
                <a:cubicBezTo>
                  <a:pt x="13" y="2"/>
                  <a:pt x="15" y="3"/>
                  <a:pt x="15" y="6"/>
                </a:cubicBezTo>
                <a:cubicBezTo>
                  <a:pt x="15" y="12"/>
                  <a:pt x="11" y="12"/>
                  <a:pt x="9" y="12"/>
                </a:cubicBezTo>
                <a:cubicBezTo>
                  <a:pt x="4" y="12"/>
                  <a:pt x="3" y="11"/>
                  <a:pt x="0" y="12"/>
                </a:cubicBezTo>
                <a:cubicBezTo>
                  <a:pt x="2" y="4"/>
                  <a:pt x="6" y="2"/>
                  <a:pt x="12" y="0"/>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49" name="Freeform 69" hidden="1">
            <a:extLst>
              <a:ext uri="{FF2B5EF4-FFF2-40B4-BE49-F238E27FC236}">
                <a16:creationId xmlns:a16="http://schemas.microsoft.com/office/drawing/2014/main" id="{00000000-0008-0000-0000-000031000000}"/>
              </a:ext>
            </a:extLst>
          </xdr:cNvPr>
          <xdr:cNvSpPr>
            <a:spLocks/>
          </xdr:cNvSpPr>
        </xdr:nvSpPr>
        <xdr:spPr bwMode="auto">
          <a:xfrm>
            <a:off x="2614613" y="1139825"/>
            <a:ext cx="109538" cy="57150"/>
          </a:xfrm>
          <a:custGeom>
            <a:avLst/>
            <a:gdLst/>
            <a:ahLst/>
            <a:cxnLst>
              <a:cxn ang="0">
                <a:pos x="54" y="32"/>
              </a:cxn>
              <a:cxn ang="0">
                <a:pos x="33" y="30"/>
              </a:cxn>
              <a:cxn ang="0">
                <a:pos x="19" y="29"/>
              </a:cxn>
              <a:cxn ang="0">
                <a:pos x="7" y="25"/>
              </a:cxn>
              <a:cxn ang="0">
                <a:pos x="20" y="20"/>
              </a:cxn>
              <a:cxn ang="0">
                <a:pos x="20" y="15"/>
              </a:cxn>
              <a:cxn ang="0">
                <a:pos x="5" y="15"/>
              </a:cxn>
              <a:cxn ang="0">
                <a:pos x="8" y="10"/>
              </a:cxn>
              <a:cxn ang="0">
                <a:pos x="0" y="3"/>
              </a:cxn>
              <a:cxn ang="0">
                <a:pos x="14" y="0"/>
              </a:cxn>
              <a:cxn ang="0">
                <a:pos x="31" y="8"/>
              </a:cxn>
              <a:cxn ang="0">
                <a:pos x="40" y="4"/>
              </a:cxn>
              <a:cxn ang="0">
                <a:pos x="53" y="15"/>
              </a:cxn>
              <a:cxn ang="0">
                <a:pos x="60" y="11"/>
              </a:cxn>
              <a:cxn ang="0">
                <a:pos x="73" y="21"/>
              </a:cxn>
              <a:cxn ang="0">
                <a:pos x="70" y="26"/>
              </a:cxn>
              <a:cxn ang="0">
                <a:pos x="82" y="37"/>
              </a:cxn>
              <a:cxn ang="0">
                <a:pos x="74" y="43"/>
              </a:cxn>
              <a:cxn ang="0">
                <a:pos x="54" y="32"/>
              </a:cxn>
            </a:cxnLst>
            <a:rect l="0" t="0" r="r" b="b"/>
            <a:pathLst>
              <a:path w="82" h="43">
                <a:moveTo>
                  <a:pt x="54" y="32"/>
                </a:moveTo>
                <a:cubicBezTo>
                  <a:pt x="46" y="32"/>
                  <a:pt x="41" y="29"/>
                  <a:pt x="33" y="30"/>
                </a:cubicBezTo>
                <a:cubicBezTo>
                  <a:pt x="31" y="26"/>
                  <a:pt x="25" y="29"/>
                  <a:pt x="19" y="29"/>
                </a:cubicBezTo>
                <a:cubicBezTo>
                  <a:pt x="13" y="29"/>
                  <a:pt x="11" y="29"/>
                  <a:pt x="7" y="25"/>
                </a:cubicBezTo>
                <a:cubicBezTo>
                  <a:pt x="11" y="21"/>
                  <a:pt x="15" y="22"/>
                  <a:pt x="20" y="20"/>
                </a:cubicBezTo>
                <a:cubicBezTo>
                  <a:pt x="19" y="18"/>
                  <a:pt x="19" y="16"/>
                  <a:pt x="20" y="15"/>
                </a:cubicBezTo>
                <a:cubicBezTo>
                  <a:pt x="10" y="15"/>
                  <a:pt x="8" y="17"/>
                  <a:pt x="5" y="15"/>
                </a:cubicBezTo>
                <a:cubicBezTo>
                  <a:pt x="6" y="14"/>
                  <a:pt x="7" y="12"/>
                  <a:pt x="8" y="10"/>
                </a:cubicBezTo>
                <a:cubicBezTo>
                  <a:pt x="2" y="10"/>
                  <a:pt x="0" y="9"/>
                  <a:pt x="0" y="3"/>
                </a:cubicBezTo>
                <a:cubicBezTo>
                  <a:pt x="6" y="3"/>
                  <a:pt x="9" y="0"/>
                  <a:pt x="14" y="0"/>
                </a:cubicBezTo>
                <a:cubicBezTo>
                  <a:pt x="24" y="0"/>
                  <a:pt x="26" y="8"/>
                  <a:pt x="31" y="8"/>
                </a:cubicBezTo>
                <a:cubicBezTo>
                  <a:pt x="35" y="8"/>
                  <a:pt x="36" y="4"/>
                  <a:pt x="40" y="4"/>
                </a:cubicBezTo>
                <a:cubicBezTo>
                  <a:pt x="49" y="4"/>
                  <a:pt x="48" y="15"/>
                  <a:pt x="53" y="15"/>
                </a:cubicBezTo>
                <a:cubicBezTo>
                  <a:pt x="56" y="15"/>
                  <a:pt x="57" y="11"/>
                  <a:pt x="60" y="11"/>
                </a:cubicBezTo>
                <a:cubicBezTo>
                  <a:pt x="66" y="11"/>
                  <a:pt x="71" y="19"/>
                  <a:pt x="73" y="21"/>
                </a:cubicBezTo>
                <a:cubicBezTo>
                  <a:pt x="72" y="22"/>
                  <a:pt x="70" y="24"/>
                  <a:pt x="70" y="26"/>
                </a:cubicBezTo>
                <a:cubicBezTo>
                  <a:pt x="73" y="29"/>
                  <a:pt x="82" y="33"/>
                  <a:pt x="82" y="37"/>
                </a:cubicBezTo>
                <a:cubicBezTo>
                  <a:pt x="82" y="42"/>
                  <a:pt x="77" y="43"/>
                  <a:pt x="74" y="43"/>
                </a:cubicBezTo>
                <a:cubicBezTo>
                  <a:pt x="63" y="43"/>
                  <a:pt x="64" y="32"/>
                  <a:pt x="54" y="32"/>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50" name="Freeform 70" hidden="1">
            <a:extLst>
              <a:ext uri="{FF2B5EF4-FFF2-40B4-BE49-F238E27FC236}">
                <a16:creationId xmlns:a16="http://schemas.microsoft.com/office/drawing/2014/main" id="{00000000-0008-0000-0000-000032000000}"/>
              </a:ext>
            </a:extLst>
          </xdr:cNvPr>
          <xdr:cNvSpPr>
            <a:spLocks/>
          </xdr:cNvSpPr>
        </xdr:nvSpPr>
        <xdr:spPr bwMode="auto">
          <a:xfrm>
            <a:off x="2657475" y="1189038"/>
            <a:ext cx="30163" cy="9525"/>
          </a:xfrm>
          <a:custGeom>
            <a:avLst/>
            <a:gdLst/>
            <a:ahLst/>
            <a:cxnLst>
              <a:cxn ang="0">
                <a:pos x="8" y="7"/>
              </a:cxn>
              <a:cxn ang="0">
                <a:pos x="12" y="0"/>
              </a:cxn>
              <a:cxn ang="0">
                <a:pos x="23" y="4"/>
              </a:cxn>
              <a:cxn ang="0">
                <a:pos x="8" y="7"/>
              </a:cxn>
            </a:cxnLst>
            <a:rect l="0" t="0" r="r" b="b"/>
            <a:pathLst>
              <a:path w="23" h="7">
                <a:moveTo>
                  <a:pt x="8" y="7"/>
                </a:moveTo>
                <a:cubicBezTo>
                  <a:pt x="0" y="7"/>
                  <a:pt x="11" y="0"/>
                  <a:pt x="12" y="0"/>
                </a:cubicBezTo>
                <a:cubicBezTo>
                  <a:pt x="17" y="0"/>
                  <a:pt x="19" y="3"/>
                  <a:pt x="23" y="4"/>
                </a:cubicBezTo>
                <a:cubicBezTo>
                  <a:pt x="20" y="7"/>
                  <a:pt x="15" y="7"/>
                  <a:pt x="8" y="7"/>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51" name="Freeform 71" hidden="1">
            <a:extLst>
              <a:ext uri="{FF2B5EF4-FFF2-40B4-BE49-F238E27FC236}">
                <a16:creationId xmlns:a16="http://schemas.microsoft.com/office/drawing/2014/main" id="{00000000-0008-0000-0000-000033000000}"/>
              </a:ext>
            </a:extLst>
          </xdr:cNvPr>
          <xdr:cNvSpPr>
            <a:spLocks/>
          </xdr:cNvSpPr>
        </xdr:nvSpPr>
        <xdr:spPr bwMode="auto">
          <a:xfrm>
            <a:off x="2765425" y="1223963"/>
            <a:ext cx="287338" cy="90488"/>
          </a:xfrm>
          <a:custGeom>
            <a:avLst/>
            <a:gdLst/>
            <a:ahLst/>
            <a:cxnLst>
              <a:cxn ang="0">
                <a:pos x="215" y="45"/>
              </a:cxn>
              <a:cxn ang="0">
                <a:pos x="210" y="51"/>
              </a:cxn>
              <a:cxn ang="0">
                <a:pos x="216" y="52"/>
              </a:cxn>
              <a:cxn ang="0">
                <a:pos x="179" y="67"/>
              </a:cxn>
              <a:cxn ang="0">
                <a:pos x="170" y="60"/>
              </a:cxn>
              <a:cxn ang="0">
                <a:pos x="159" y="66"/>
              </a:cxn>
              <a:cxn ang="0">
                <a:pos x="124" y="66"/>
              </a:cxn>
              <a:cxn ang="0">
                <a:pos x="102" y="60"/>
              </a:cxn>
              <a:cxn ang="0">
                <a:pos x="97" y="60"/>
              </a:cxn>
              <a:cxn ang="0">
                <a:pos x="84" y="67"/>
              </a:cxn>
              <a:cxn ang="0">
                <a:pos x="53" y="47"/>
              </a:cxn>
              <a:cxn ang="0">
                <a:pos x="58" y="40"/>
              </a:cxn>
              <a:cxn ang="0">
                <a:pos x="40" y="18"/>
              </a:cxn>
              <a:cxn ang="0">
                <a:pos x="32" y="22"/>
              </a:cxn>
              <a:cxn ang="0">
                <a:pos x="0" y="7"/>
              </a:cxn>
              <a:cxn ang="0">
                <a:pos x="13" y="0"/>
              </a:cxn>
              <a:cxn ang="0">
                <a:pos x="51" y="15"/>
              </a:cxn>
              <a:cxn ang="0">
                <a:pos x="60" y="12"/>
              </a:cxn>
              <a:cxn ang="0">
                <a:pos x="68" y="12"/>
              </a:cxn>
              <a:cxn ang="0">
                <a:pos x="89" y="25"/>
              </a:cxn>
              <a:cxn ang="0">
                <a:pos x="71" y="25"/>
              </a:cxn>
              <a:cxn ang="0">
                <a:pos x="91" y="35"/>
              </a:cxn>
              <a:cxn ang="0">
                <a:pos x="88" y="38"/>
              </a:cxn>
              <a:cxn ang="0">
                <a:pos x="95" y="40"/>
              </a:cxn>
              <a:cxn ang="0">
                <a:pos x="125" y="45"/>
              </a:cxn>
              <a:cxn ang="0">
                <a:pos x="181" y="34"/>
              </a:cxn>
              <a:cxn ang="0">
                <a:pos x="216" y="46"/>
              </a:cxn>
              <a:cxn ang="0">
                <a:pos x="211" y="47"/>
              </a:cxn>
              <a:cxn ang="0">
                <a:pos x="215" y="45"/>
              </a:cxn>
            </a:cxnLst>
            <a:rect l="0" t="0" r="r" b="b"/>
            <a:pathLst>
              <a:path w="216" h="68">
                <a:moveTo>
                  <a:pt x="215" y="45"/>
                </a:moveTo>
                <a:cubicBezTo>
                  <a:pt x="213" y="46"/>
                  <a:pt x="211" y="48"/>
                  <a:pt x="210" y="51"/>
                </a:cubicBezTo>
                <a:cubicBezTo>
                  <a:pt x="213" y="52"/>
                  <a:pt x="216" y="52"/>
                  <a:pt x="216" y="52"/>
                </a:cubicBezTo>
                <a:cubicBezTo>
                  <a:pt x="215" y="67"/>
                  <a:pt x="195" y="67"/>
                  <a:pt x="179" y="67"/>
                </a:cubicBezTo>
                <a:cubicBezTo>
                  <a:pt x="174" y="67"/>
                  <a:pt x="171" y="64"/>
                  <a:pt x="170" y="60"/>
                </a:cubicBezTo>
                <a:cubicBezTo>
                  <a:pt x="164" y="61"/>
                  <a:pt x="163" y="64"/>
                  <a:pt x="159" y="66"/>
                </a:cubicBezTo>
                <a:cubicBezTo>
                  <a:pt x="124" y="66"/>
                  <a:pt x="124" y="66"/>
                  <a:pt x="124" y="66"/>
                </a:cubicBezTo>
                <a:cubicBezTo>
                  <a:pt x="115" y="68"/>
                  <a:pt x="101" y="67"/>
                  <a:pt x="102" y="60"/>
                </a:cubicBezTo>
                <a:cubicBezTo>
                  <a:pt x="97" y="60"/>
                  <a:pt x="97" y="60"/>
                  <a:pt x="97" y="60"/>
                </a:cubicBezTo>
                <a:cubicBezTo>
                  <a:pt x="95" y="62"/>
                  <a:pt x="88" y="67"/>
                  <a:pt x="84" y="67"/>
                </a:cubicBezTo>
                <a:cubicBezTo>
                  <a:pt x="75" y="67"/>
                  <a:pt x="53" y="56"/>
                  <a:pt x="53" y="47"/>
                </a:cubicBezTo>
                <a:cubicBezTo>
                  <a:pt x="53" y="44"/>
                  <a:pt x="56" y="41"/>
                  <a:pt x="58" y="40"/>
                </a:cubicBezTo>
                <a:cubicBezTo>
                  <a:pt x="50" y="32"/>
                  <a:pt x="48" y="25"/>
                  <a:pt x="40" y="18"/>
                </a:cubicBezTo>
                <a:cubicBezTo>
                  <a:pt x="38" y="20"/>
                  <a:pt x="35" y="22"/>
                  <a:pt x="32" y="22"/>
                </a:cubicBezTo>
                <a:cubicBezTo>
                  <a:pt x="27" y="22"/>
                  <a:pt x="0" y="11"/>
                  <a:pt x="0" y="7"/>
                </a:cubicBezTo>
                <a:cubicBezTo>
                  <a:pt x="0" y="0"/>
                  <a:pt x="8" y="0"/>
                  <a:pt x="13" y="0"/>
                </a:cubicBezTo>
                <a:cubicBezTo>
                  <a:pt x="33" y="0"/>
                  <a:pt x="36" y="15"/>
                  <a:pt x="51" y="15"/>
                </a:cubicBezTo>
                <a:cubicBezTo>
                  <a:pt x="56" y="15"/>
                  <a:pt x="58" y="15"/>
                  <a:pt x="60" y="12"/>
                </a:cubicBezTo>
                <a:cubicBezTo>
                  <a:pt x="63" y="12"/>
                  <a:pt x="68" y="12"/>
                  <a:pt x="68" y="12"/>
                </a:cubicBezTo>
                <a:cubicBezTo>
                  <a:pt x="65" y="22"/>
                  <a:pt x="85" y="19"/>
                  <a:pt x="89" y="25"/>
                </a:cubicBezTo>
                <a:cubicBezTo>
                  <a:pt x="71" y="25"/>
                  <a:pt x="71" y="25"/>
                  <a:pt x="71" y="25"/>
                </a:cubicBezTo>
                <a:cubicBezTo>
                  <a:pt x="74" y="37"/>
                  <a:pt x="85" y="30"/>
                  <a:pt x="91" y="35"/>
                </a:cubicBezTo>
                <a:cubicBezTo>
                  <a:pt x="90" y="36"/>
                  <a:pt x="88" y="36"/>
                  <a:pt x="88" y="38"/>
                </a:cubicBezTo>
                <a:cubicBezTo>
                  <a:pt x="88" y="44"/>
                  <a:pt x="93" y="41"/>
                  <a:pt x="95" y="40"/>
                </a:cubicBezTo>
                <a:cubicBezTo>
                  <a:pt x="106" y="42"/>
                  <a:pt x="114" y="45"/>
                  <a:pt x="125" y="45"/>
                </a:cubicBezTo>
                <a:cubicBezTo>
                  <a:pt x="150" y="45"/>
                  <a:pt x="158" y="34"/>
                  <a:pt x="181" y="34"/>
                </a:cubicBezTo>
                <a:cubicBezTo>
                  <a:pt x="198" y="34"/>
                  <a:pt x="210" y="35"/>
                  <a:pt x="216" y="46"/>
                </a:cubicBezTo>
                <a:cubicBezTo>
                  <a:pt x="215" y="47"/>
                  <a:pt x="213" y="47"/>
                  <a:pt x="211" y="47"/>
                </a:cubicBezTo>
                <a:lnTo>
                  <a:pt x="215" y="45"/>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52" name="Freeform 72" hidden="1">
            <a:extLst>
              <a:ext uri="{FF2B5EF4-FFF2-40B4-BE49-F238E27FC236}">
                <a16:creationId xmlns:a16="http://schemas.microsoft.com/office/drawing/2014/main" id="{00000000-0008-0000-0000-000034000000}"/>
              </a:ext>
            </a:extLst>
          </xdr:cNvPr>
          <xdr:cNvSpPr>
            <a:spLocks/>
          </xdr:cNvSpPr>
        </xdr:nvSpPr>
        <xdr:spPr bwMode="auto">
          <a:xfrm>
            <a:off x="2768600" y="1271588"/>
            <a:ext cx="49213" cy="38100"/>
          </a:xfrm>
          <a:custGeom>
            <a:avLst/>
            <a:gdLst/>
            <a:ahLst/>
            <a:cxnLst>
              <a:cxn ang="0">
                <a:pos x="6" y="10"/>
              </a:cxn>
              <a:cxn ang="0">
                <a:pos x="19" y="0"/>
              </a:cxn>
              <a:cxn ang="0">
                <a:pos x="37" y="15"/>
              </a:cxn>
              <a:cxn ang="0">
                <a:pos x="29" y="29"/>
              </a:cxn>
              <a:cxn ang="0">
                <a:pos x="0" y="17"/>
              </a:cxn>
              <a:cxn ang="0">
                <a:pos x="6" y="10"/>
              </a:cxn>
            </a:cxnLst>
            <a:rect l="0" t="0" r="r" b="b"/>
            <a:pathLst>
              <a:path w="37" h="29">
                <a:moveTo>
                  <a:pt x="6" y="10"/>
                </a:moveTo>
                <a:cubicBezTo>
                  <a:pt x="10" y="10"/>
                  <a:pt x="9" y="0"/>
                  <a:pt x="19" y="0"/>
                </a:cubicBezTo>
                <a:cubicBezTo>
                  <a:pt x="27" y="0"/>
                  <a:pt x="37" y="9"/>
                  <a:pt x="37" y="15"/>
                </a:cubicBezTo>
                <a:cubicBezTo>
                  <a:pt x="37" y="22"/>
                  <a:pt x="35" y="29"/>
                  <a:pt x="29" y="29"/>
                </a:cubicBezTo>
                <a:cubicBezTo>
                  <a:pt x="25" y="29"/>
                  <a:pt x="0" y="17"/>
                  <a:pt x="0" y="17"/>
                </a:cubicBezTo>
                <a:cubicBezTo>
                  <a:pt x="0" y="13"/>
                  <a:pt x="5" y="10"/>
                  <a:pt x="6" y="10"/>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53" name="Freeform 73" hidden="1">
            <a:extLst>
              <a:ext uri="{FF2B5EF4-FFF2-40B4-BE49-F238E27FC236}">
                <a16:creationId xmlns:a16="http://schemas.microsoft.com/office/drawing/2014/main" id="{00000000-0008-0000-0000-000035000000}"/>
              </a:ext>
            </a:extLst>
          </xdr:cNvPr>
          <xdr:cNvSpPr>
            <a:spLocks/>
          </xdr:cNvSpPr>
        </xdr:nvSpPr>
        <xdr:spPr bwMode="auto">
          <a:xfrm>
            <a:off x="2774950" y="1198563"/>
            <a:ext cx="46038" cy="12700"/>
          </a:xfrm>
          <a:custGeom>
            <a:avLst/>
            <a:gdLst/>
            <a:ahLst/>
            <a:cxnLst>
              <a:cxn ang="0">
                <a:pos x="29" y="0"/>
              </a:cxn>
              <a:cxn ang="0">
                <a:pos x="35" y="0"/>
              </a:cxn>
              <a:cxn ang="0">
                <a:pos x="35" y="6"/>
              </a:cxn>
              <a:cxn ang="0">
                <a:pos x="28" y="10"/>
              </a:cxn>
              <a:cxn ang="0">
                <a:pos x="0" y="5"/>
              </a:cxn>
              <a:cxn ang="0">
                <a:pos x="29" y="0"/>
              </a:cxn>
            </a:cxnLst>
            <a:rect l="0" t="0" r="r" b="b"/>
            <a:pathLst>
              <a:path w="35" h="10">
                <a:moveTo>
                  <a:pt x="29" y="0"/>
                </a:moveTo>
                <a:cubicBezTo>
                  <a:pt x="34" y="0"/>
                  <a:pt x="30" y="1"/>
                  <a:pt x="35" y="0"/>
                </a:cubicBezTo>
                <a:cubicBezTo>
                  <a:pt x="35" y="3"/>
                  <a:pt x="35" y="5"/>
                  <a:pt x="35" y="6"/>
                </a:cubicBezTo>
                <a:cubicBezTo>
                  <a:pt x="35" y="8"/>
                  <a:pt x="32" y="10"/>
                  <a:pt x="28" y="10"/>
                </a:cubicBezTo>
                <a:cubicBezTo>
                  <a:pt x="26" y="10"/>
                  <a:pt x="0" y="5"/>
                  <a:pt x="0" y="5"/>
                </a:cubicBezTo>
                <a:cubicBezTo>
                  <a:pt x="5" y="1"/>
                  <a:pt x="21" y="0"/>
                  <a:pt x="29" y="0"/>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54" name="Freeform 74" hidden="1">
            <a:extLst>
              <a:ext uri="{FF2B5EF4-FFF2-40B4-BE49-F238E27FC236}">
                <a16:creationId xmlns:a16="http://schemas.microsoft.com/office/drawing/2014/main" id="{00000000-0008-0000-0000-000036000000}"/>
              </a:ext>
            </a:extLst>
          </xdr:cNvPr>
          <xdr:cNvSpPr>
            <a:spLocks/>
          </xdr:cNvSpPr>
        </xdr:nvSpPr>
        <xdr:spPr bwMode="auto">
          <a:xfrm>
            <a:off x="2740025" y="1154113"/>
            <a:ext cx="53975" cy="44450"/>
          </a:xfrm>
          <a:custGeom>
            <a:avLst/>
            <a:gdLst/>
            <a:ahLst/>
            <a:cxnLst>
              <a:cxn ang="0">
                <a:pos x="10" y="28"/>
              </a:cxn>
              <a:cxn ang="0">
                <a:pos x="14" y="23"/>
              </a:cxn>
              <a:cxn ang="0">
                <a:pos x="0" y="7"/>
              </a:cxn>
              <a:cxn ang="0">
                <a:pos x="10" y="0"/>
              </a:cxn>
              <a:cxn ang="0">
                <a:pos x="25" y="7"/>
              </a:cxn>
              <a:cxn ang="0">
                <a:pos x="41" y="17"/>
              </a:cxn>
              <a:cxn ang="0">
                <a:pos x="41" y="28"/>
              </a:cxn>
              <a:cxn ang="0">
                <a:pos x="10" y="28"/>
              </a:cxn>
            </a:cxnLst>
            <a:rect l="0" t="0" r="r" b="b"/>
            <a:pathLst>
              <a:path w="41" h="33">
                <a:moveTo>
                  <a:pt x="10" y="28"/>
                </a:moveTo>
                <a:cubicBezTo>
                  <a:pt x="10" y="26"/>
                  <a:pt x="13" y="24"/>
                  <a:pt x="14" y="23"/>
                </a:cubicBezTo>
                <a:cubicBezTo>
                  <a:pt x="9" y="18"/>
                  <a:pt x="0" y="15"/>
                  <a:pt x="0" y="7"/>
                </a:cubicBezTo>
                <a:cubicBezTo>
                  <a:pt x="0" y="2"/>
                  <a:pt x="6" y="0"/>
                  <a:pt x="10" y="0"/>
                </a:cubicBezTo>
                <a:cubicBezTo>
                  <a:pt x="11" y="4"/>
                  <a:pt x="21" y="7"/>
                  <a:pt x="25" y="7"/>
                </a:cubicBezTo>
                <a:cubicBezTo>
                  <a:pt x="25" y="17"/>
                  <a:pt x="41" y="7"/>
                  <a:pt x="41" y="17"/>
                </a:cubicBezTo>
                <a:cubicBezTo>
                  <a:pt x="41" y="20"/>
                  <a:pt x="39" y="23"/>
                  <a:pt x="41" y="28"/>
                </a:cubicBezTo>
                <a:cubicBezTo>
                  <a:pt x="25" y="31"/>
                  <a:pt x="10" y="33"/>
                  <a:pt x="10" y="28"/>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55" name="Freeform 75" hidden="1">
            <a:extLst>
              <a:ext uri="{FF2B5EF4-FFF2-40B4-BE49-F238E27FC236}">
                <a16:creationId xmlns:a16="http://schemas.microsoft.com/office/drawing/2014/main" id="{00000000-0008-0000-0000-000037000000}"/>
              </a:ext>
            </a:extLst>
          </xdr:cNvPr>
          <xdr:cNvSpPr>
            <a:spLocks/>
          </xdr:cNvSpPr>
        </xdr:nvSpPr>
        <xdr:spPr bwMode="auto">
          <a:xfrm>
            <a:off x="2719388" y="1114425"/>
            <a:ext cx="20638" cy="12700"/>
          </a:xfrm>
          <a:custGeom>
            <a:avLst/>
            <a:gdLst/>
            <a:ahLst/>
            <a:cxnLst>
              <a:cxn ang="0">
                <a:pos x="16" y="0"/>
              </a:cxn>
              <a:cxn ang="0">
                <a:pos x="16" y="9"/>
              </a:cxn>
              <a:cxn ang="0">
                <a:pos x="8" y="9"/>
              </a:cxn>
              <a:cxn ang="0">
                <a:pos x="0" y="0"/>
              </a:cxn>
              <a:cxn ang="0">
                <a:pos x="16" y="0"/>
              </a:cxn>
            </a:cxnLst>
            <a:rect l="0" t="0" r="r" b="b"/>
            <a:pathLst>
              <a:path w="16" h="9">
                <a:moveTo>
                  <a:pt x="16" y="0"/>
                </a:moveTo>
                <a:cubicBezTo>
                  <a:pt x="16" y="9"/>
                  <a:pt x="16" y="9"/>
                  <a:pt x="16" y="9"/>
                </a:cubicBezTo>
                <a:cubicBezTo>
                  <a:pt x="8" y="9"/>
                  <a:pt x="8" y="9"/>
                  <a:pt x="8" y="9"/>
                </a:cubicBezTo>
                <a:cubicBezTo>
                  <a:pt x="6" y="7"/>
                  <a:pt x="0" y="6"/>
                  <a:pt x="0" y="0"/>
                </a:cubicBezTo>
                <a:cubicBezTo>
                  <a:pt x="6" y="0"/>
                  <a:pt x="13" y="0"/>
                  <a:pt x="16" y="0"/>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56" name="Freeform 76" hidden="1">
            <a:extLst>
              <a:ext uri="{FF2B5EF4-FFF2-40B4-BE49-F238E27FC236}">
                <a16:creationId xmlns:a16="http://schemas.microsoft.com/office/drawing/2014/main" id="{00000000-0008-0000-0000-000038000000}"/>
              </a:ext>
            </a:extLst>
          </xdr:cNvPr>
          <xdr:cNvSpPr>
            <a:spLocks/>
          </xdr:cNvSpPr>
        </xdr:nvSpPr>
        <xdr:spPr bwMode="auto">
          <a:xfrm>
            <a:off x="2776538" y="1062038"/>
            <a:ext cx="184150" cy="123825"/>
          </a:xfrm>
          <a:custGeom>
            <a:avLst/>
            <a:gdLst/>
            <a:ahLst/>
            <a:cxnLst>
              <a:cxn ang="0">
                <a:pos x="92" y="37"/>
              </a:cxn>
              <a:cxn ang="0">
                <a:pos x="97" y="37"/>
              </a:cxn>
              <a:cxn ang="0">
                <a:pos x="97" y="32"/>
              </a:cxn>
              <a:cxn ang="0">
                <a:pos x="95" y="28"/>
              </a:cxn>
              <a:cxn ang="0">
                <a:pos x="100" y="28"/>
              </a:cxn>
              <a:cxn ang="0">
                <a:pos x="105" y="36"/>
              </a:cxn>
              <a:cxn ang="0">
                <a:pos x="111" y="43"/>
              </a:cxn>
              <a:cxn ang="0">
                <a:pos x="108" y="49"/>
              </a:cxn>
              <a:cxn ang="0">
                <a:pos x="115" y="49"/>
              </a:cxn>
              <a:cxn ang="0">
                <a:pos x="137" y="55"/>
              </a:cxn>
              <a:cxn ang="0">
                <a:pos x="136" y="61"/>
              </a:cxn>
              <a:cxn ang="0">
                <a:pos x="126" y="64"/>
              </a:cxn>
              <a:cxn ang="0">
                <a:pos x="105" y="78"/>
              </a:cxn>
              <a:cxn ang="0">
                <a:pos x="98" y="69"/>
              </a:cxn>
              <a:cxn ang="0">
                <a:pos x="93" y="76"/>
              </a:cxn>
              <a:cxn ang="0">
                <a:pos x="99" y="84"/>
              </a:cxn>
              <a:cxn ang="0">
                <a:pos x="91" y="84"/>
              </a:cxn>
              <a:cxn ang="0">
                <a:pos x="91" y="90"/>
              </a:cxn>
              <a:cxn ang="0">
                <a:pos x="75" y="82"/>
              </a:cxn>
              <a:cxn ang="0">
                <a:pos x="64" y="92"/>
              </a:cxn>
              <a:cxn ang="0">
                <a:pos x="47" y="84"/>
              </a:cxn>
              <a:cxn ang="0">
                <a:pos x="53" y="81"/>
              </a:cxn>
              <a:cxn ang="0">
                <a:pos x="33" y="70"/>
              </a:cxn>
              <a:cxn ang="0">
                <a:pos x="66" y="61"/>
              </a:cxn>
              <a:cxn ang="0">
                <a:pos x="48" y="58"/>
              </a:cxn>
              <a:cxn ang="0">
                <a:pos x="35" y="61"/>
              </a:cxn>
              <a:cxn ang="0">
                <a:pos x="29" y="56"/>
              </a:cxn>
              <a:cxn ang="0">
                <a:pos x="19" y="59"/>
              </a:cxn>
              <a:cxn ang="0">
                <a:pos x="16" y="55"/>
              </a:cxn>
              <a:cxn ang="0">
                <a:pos x="26" y="49"/>
              </a:cxn>
              <a:cxn ang="0">
                <a:pos x="0" y="35"/>
              </a:cxn>
              <a:cxn ang="0">
                <a:pos x="7" y="35"/>
              </a:cxn>
              <a:cxn ang="0">
                <a:pos x="20" y="39"/>
              </a:cxn>
              <a:cxn ang="0">
                <a:pos x="24" y="36"/>
              </a:cxn>
              <a:cxn ang="0">
                <a:pos x="5" y="26"/>
              </a:cxn>
              <a:cxn ang="0">
                <a:pos x="15" y="22"/>
              </a:cxn>
              <a:cxn ang="0">
                <a:pos x="27" y="25"/>
              </a:cxn>
              <a:cxn ang="0">
                <a:pos x="32" y="20"/>
              </a:cxn>
              <a:cxn ang="0">
                <a:pos x="19" y="20"/>
              </a:cxn>
              <a:cxn ang="0">
                <a:pos x="14" y="13"/>
              </a:cxn>
              <a:cxn ang="0">
                <a:pos x="30" y="9"/>
              </a:cxn>
              <a:cxn ang="0">
                <a:pos x="38" y="9"/>
              </a:cxn>
              <a:cxn ang="0">
                <a:pos x="25" y="0"/>
              </a:cxn>
              <a:cxn ang="0">
                <a:pos x="53" y="5"/>
              </a:cxn>
              <a:cxn ang="0">
                <a:pos x="67" y="24"/>
              </a:cxn>
              <a:cxn ang="0">
                <a:pos x="84" y="25"/>
              </a:cxn>
              <a:cxn ang="0">
                <a:pos x="92" y="37"/>
              </a:cxn>
            </a:cxnLst>
            <a:rect l="0" t="0" r="r" b="b"/>
            <a:pathLst>
              <a:path w="138" h="92">
                <a:moveTo>
                  <a:pt x="92" y="37"/>
                </a:moveTo>
                <a:cubicBezTo>
                  <a:pt x="97" y="37"/>
                  <a:pt x="97" y="37"/>
                  <a:pt x="97" y="37"/>
                </a:cubicBezTo>
                <a:cubicBezTo>
                  <a:pt x="97" y="32"/>
                  <a:pt x="97" y="32"/>
                  <a:pt x="97" y="32"/>
                </a:cubicBezTo>
                <a:cubicBezTo>
                  <a:pt x="95" y="28"/>
                  <a:pt x="95" y="28"/>
                  <a:pt x="95" y="28"/>
                </a:cubicBezTo>
                <a:cubicBezTo>
                  <a:pt x="97" y="28"/>
                  <a:pt x="98" y="28"/>
                  <a:pt x="100" y="28"/>
                </a:cubicBezTo>
                <a:cubicBezTo>
                  <a:pt x="106" y="28"/>
                  <a:pt x="105" y="31"/>
                  <a:pt x="105" y="36"/>
                </a:cubicBezTo>
                <a:cubicBezTo>
                  <a:pt x="105" y="39"/>
                  <a:pt x="111" y="39"/>
                  <a:pt x="111" y="43"/>
                </a:cubicBezTo>
                <a:cubicBezTo>
                  <a:pt x="111" y="46"/>
                  <a:pt x="108" y="46"/>
                  <a:pt x="108" y="49"/>
                </a:cubicBezTo>
                <a:cubicBezTo>
                  <a:pt x="108" y="53"/>
                  <a:pt x="114" y="49"/>
                  <a:pt x="115" y="49"/>
                </a:cubicBezTo>
                <a:cubicBezTo>
                  <a:pt x="120" y="49"/>
                  <a:pt x="131" y="54"/>
                  <a:pt x="137" y="55"/>
                </a:cubicBezTo>
                <a:cubicBezTo>
                  <a:pt x="137" y="58"/>
                  <a:pt x="138" y="60"/>
                  <a:pt x="136" y="61"/>
                </a:cubicBezTo>
                <a:cubicBezTo>
                  <a:pt x="135" y="64"/>
                  <a:pt x="130" y="63"/>
                  <a:pt x="126" y="64"/>
                </a:cubicBezTo>
                <a:cubicBezTo>
                  <a:pt x="117" y="65"/>
                  <a:pt x="111" y="78"/>
                  <a:pt x="105" y="78"/>
                </a:cubicBezTo>
                <a:cubicBezTo>
                  <a:pt x="100" y="78"/>
                  <a:pt x="100" y="74"/>
                  <a:pt x="98" y="69"/>
                </a:cubicBezTo>
                <a:cubicBezTo>
                  <a:pt x="96" y="71"/>
                  <a:pt x="95" y="73"/>
                  <a:pt x="93" y="76"/>
                </a:cubicBezTo>
                <a:cubicBezTo>
                  <a:pt x="96" y="80"/>
                  <a:pt x="97" y="81"/>
                  <a:pt x="99" y="84"/>
                </a:cubicBezTo>
                <a:cubicBezTo>
                  <a:pt x="91" y="84"/>
                  <a:pt x="91" y="84"/>
                  <a:pt x="91" y="84"/>
                </a:cubicBezTo>
                <a:cubicBezTo>
                  <a:pt x="91" y="90"/>
                  <a:pt x="91" y="90"/>
                  <a:pt x="91" y="90"/>
                </a:cubicBezTo>
                <a:cubicBezTo>
                  <a:pt x="87" y="91"/>
                  <a:pt x="79" y="85"/>
                  <a:pt x="75" y="82"/>
                </a:cubicBezTo>
                <a:cubicBezTo>
                  <a:pt x="75" y="90"/>
                  <a:pt x="71" y="92"/>
                  <a:pt x="64" y="92"/>
                </a:cubicBezTo>
                <a:cubicBezTo>
                  <a:pt x="57" y="92"/>
                  <a:pt x="48" y="91"/>
                  <a:pt x="47" y="84"/>
                </a:cubicBezTo>
                <a:cubicBezTo>
                  <a:pt x="50" y="84"/>
                  <a:pt x="51" y="83"/>
                  <a:pt x="53" y="81"/>
                </a:cubicBezTo>
                <a:cubicBezTo>
                  <a:pt x="45" y="81"/>
                  <a:pt x="33" y="77"/>
                  <a:pt x="33" y="70"/>
                </a:cubicBezTo>
                <a:cubicBezTo>
                  <a:pt x="33" y="62"/>
                  <a:pt x="60" y="63"/>
                  <a:pt x="66" y="61"/>
                </a:cubicBezTo>
                <a:cubicBezTo>
                  <a:pt x="60" y="60"/>
                  <a:pt x="55" y="58"/>
                  <a:pt x="48" y="58"/>
                </a:cubicBezTo>
                <a:cubicBezTo>
                  <a:pt x="41" y="58"/>
                  <a:pt x="40" y="61"/>
                  <a:pt x="35" y="61"/>
                </a:cubicBezTo>
                <a:cubicBezTo>
                  <a:pt x="30" y="61"/>
                  <a:pt x="30" y="58"/>
                  <a:pt x="29" y="56"/>
                </a:cubicBezTo>
                <a:cubicBezTo>
                  <a:pt x="24" y="58"/>
                  <a:pt x="23" y="59"/>
                  <a:pt x="19" y="59"/>
                </a:cubicBezTo>
                <a:cubicBezTo>
                  <a:pt x="16" y="59"/>
                  <a:pt x="16" y="58"/>
                  <a:pt x="16" y="55"/>
                </a:cubicBezTo>
                <a:cubicBezTo>
                  <a:pt x="20" y="53"/>
                  <a:pt x="23" y="53"/>
                  <a:pt x="26" y="49"/>
                </a:cubicBezTo>
                <a:cubicBezTo>
                  <a:pt x="11" y="49"/>
                  <a:pt x="2" y="48"/>
                  <a:pt x="0" y="35"/>
                </a:cubicBezTo>
                <a:cubicBezTo>
                  <a:pt x="7" y="35"/>
                  <a:pt x="7" y="35"/>
                  <a:pt x="7" y="35"/>
                </a:cubicBezTo>
                <a:cubicBezTo>
                  <a:pt x="9" y="37"/>
                  <a:pt x="16" y="39"/>
                  <a:pt x="20" y="39"/>
                </a:cubicBezTo>
                <a:cubicBezTo>
                  <a:pt x="22" y="39"/>
                  <a:pt x="24" y="36"/>
                  <a:pt x="24" y="36"/>
                </a:cubicBezTo>
                <a:cubicBezTo>
                  <a:pt x="19" y="34"/>
                  <a:pt x="5" y="31"/>
                  <a:pt x="5" y="26"/>
                </a:cubicBezTo>
                <a:cubicBezTo>
                  <a:pt x="5" y="21"/>
                  <a:pt x="11" y="22"/>
                  <a:pt x="15" y="22"/>
                </a:cubicBezTo>
                <a:cubicBezTo>
                  <a:pt x="21" y="22"/>
                  <a:pt x="23" y="25"/>
                  <a:pt x="27" y="25"/>
                </a:cubicBezTo>
                <a:cubicBezTo>
                  <a:pt x="30" y="25"/>
                  <a:pt x="30" y="22"/>
                  <a:pt x="32" y="20"/>
                </a:cubicBezTo>
                <a:cubicBezTo>
                  <a:pt x="27" y="18"/>
                  <a:pt x="22" y="20"/>
                  <a:pt x="19" y="20"/>
                </a:cubicBezTo>
                <a:cubicBezTo>
                  <a:pt x="18" y="20"/>
                  <a:pt x="14" y="14"/>
                  <a:pt x="14" y="13"/>
                </a:cubicBezTo>
                <a:cubicBezTo>
                  <a:pt x="19" y="10"/>
                  <a:pt x="23" y="8"/>
                  <a:pt x="30" y="9"/>
                </a:cubicBezTo>
                <a:cubicBezTo>
                  <a:pt x="38" y="9"/>
                  <a:pt x="38" y="9"/>
                  <a:pt x="38" y="9"/>
                </a:cubicBezTo>
                <a:cubicBezTo>
                  <a:pt x="33" y="7"/>
                  <a:pt x="25" y="6"/>
                  <a:pt x="25" y="0"/>
                </a:cubicBezTo>
                <a:cubicBezTo>
                  <a:pt x="36" y="1"/>
                  <a:pt x="45" y="2"/>
                  <a:pt x="53" y="5"/>
                </a:cubicBezTo>
                <a:cubicBezTo>
                  <a:pt x="61" y="9"/>
                  <a:pt x="60" y="21"/>
                  <a:pt x="67" y="24"/>
                </a:cubicBezTo>
                <a:cubicBezTo>
                  <a:pt x="73" y="27"/>
                  <a:pt x="78" y="22"/>
                  <a:pt x="84" y="25"/>
                </a:cubicBezTo>
                <a:cubicBezTo>
                  <a:pt x="91" y="28"/>
                  <a:pt x="88" y="33"/>
                  <a:pt x="92" y="37"/>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57" name="Freeform 77" hidden="1">
            <a:extLst>
              <a:ext uri="{FF2B5EF4-FFF2-40B4-BE49-F238E27FC236}">
                <a16:creationId xmlns:a16="http://schemas.microsoft.com/office/drawing/2014/main" id="{00000000-0008-0000-0000-000039000000}"/>
              </a:ext>
            </a:extLst>
          </xdr:cNvPr>
          <xdr:cNvSpPr>
            <a:spLocks/>
          </xdr:cNvSpPr>
        </xdr:nvSpPr>
        <xdr:spPr bwMode="auto">
          <a:xfrm>
            <a:off x="2925763" y="1574800"/>
            <a:ext cx="117475" cy="74613"/>
          </a:xfrm>
          <a:custGeom>
            <a:avLst/>
            <a:gdLst/>
            <a:ahLst/>
            <a:cxnLst>
              <a:cxn ang="0">
                <a:pos x="6" y="39"/>
              </a:cxn>
              <a:cxn ang="0">
                <a:pos x="11" y="33"/>
              </a:cxn>
              <a:cxn ang="0">
                <a:pos x="11" y="27"/>
              </a:cxn>
              <a:cxn ang="0">
                <a:pos x="25" y="0"/>
              </a:cxn>
              <a:cxn ang="0">
                <a:pos x="32" y="13"/>
              </a:cxn>
              <a:cxn ang="0">
                <a:pos x="36" y="9"/>
              </a:cxn>
              <a:cxn ang="0">
                <a:pos x="67" y="27"/>
              </a:cxn>
              <a:cxn ang="0">
                <a:pos x="70" y="35"/>
              </a:cxn>
              <a:cxn ang="0">
                <a:pos x="89" y="43"/>
              </a:cxn>
              <a:cxn ang="0">
                <a:pos x="75" y="48"/>
              </a:cxn>
              <a:cxn ang="0">
                <a:pos x="63" y="48"/>
              </a:cxn>
              <a:cxn ang="0">
                <a:pos x="46" y="37"/>
              </a:cxn>
              <a:cxn ang="0">
                <a:pos x="25" y="53"/>
              </a:cxn>
              <a:cxn ang="0">
                <a:pos x="22" y="57"/>
              </a:cxn>
              <a:cxn ang="0">
                <a:pos x="19" y="48"/>
              </a:cxn>
              <a:cxn ang="0">
                <a:pos x="0" y="48"/>
              </a:cxn>
              <a:cxn ang="0">
                <a:pos x="6" y="39"/>
              </a:cxn>
            </a:cxnLst>
            <a:rect l="0" t="0" r="r" b="b"/>
            <a:pathLst>
              <a:path w="89" h="57">
                <a:moveTo>
                  <a:pt x="6" y="39"/>
                </a:moveTo>
                <a:cubicBezTo>
                  <a:pt x="9" y="37"/>
                  <a:pt x="11" y="36"/>
                  <a:pt x="11" y="33"/>
                </a:cubicBezTo>
                <a:cubicBezTo>
                  <a:pt x="11" y="29"/>
                  <a:pt x="11" y="31"/>
                  <a:pt x="11" y="27"/>
                </a:cubicBezTo>
                <a:cubicBezTo>
                  <a:pt x="11" y="19"/>
                  <a:pt x="13" y="2"/>
                  <a:pt x="25" y="0"/>
                </a:cubicBezTo>
                <a:cubicBezTo>
                  <a:pt x="28" y="7"/>
                  <a:pt x="30" y="8"/>
                  <a:pt x="32" y="13"/>
                </a:cubicBezTo>
                <a:cubicBezTo>
                  <a:pt x="33" y="11"/>
                  <a:pt x="35" y="10"/>
                  <a:pt x="36" y="9"/>
                </a:cubicBezTo>
                <a:cubicBezTo>
                  <a:pt x="45" y="21"/>
                  <a:pt x="59" y="16"/>
                  <a:pt x="67" y="27"/>
                </a:cubicBezTo>
                <a:cubicBezTo>
                  <a:pt x="69" y="30"/>
                  <a:pt x="68" y="33"/>
                  <a:pt x="70" y="35"/>
                </a:cubicBezTo>
                <a:cubicBezTo>
                  <a:pt x="77" y="40"/>
                  <a:pt x="85" y="38"/>
                  <a:pt x="89" y="43"/>
                </a:cubicBezTo>
                <a:cubicBezTo>
                  <a:pt x="84" y="46"/>
                  <a:pt x="80" y="48"/>
                  <a:pt x="75" y="48"/>
                </a:cubicBezTo>
                <a:cubicBezTo>
                  <a:pt x="69" y="48"/>
                  <a:pt x="67" y="48"/>
                  <a:pt x="63" y="48"/>
                </a:cubicBezTo>
                <a:cubicBezTo>
                  <a:pt x="63" y="48"/>
                  <a:pt x="49" y="38"/>
                  <a:pt x="46" y="37"/>
                </a:cubicBezTo>
                <a:cubicBezTo>
                  <a:pt x="46" y="47"/>
                  <a:pt x="31" y="56"/>
                  <a:pt x="25" y="53"/>
                </a:cubicBezTo>
                <a:cubicBezTo>
                  <a:pt x="24" y="55"/>
                  <a:pt x="24" y="57"/>
                  <a:pt x="22" y="57"/>
                </a:cubicBezTo>
                <a:cubicBezTo>
                  <a:pt x="16" y="57"/>
                  <a:pt x="18" y="52"/>
                  <a:pt x="19" y="48"/>
                </a:cubicBezTo>
                <a:cubicBezTo>
                  <a:pt x="12" y="46"/>
                  <a:pt x="3" y="48"/>
                  <a:pt x="0" y="48"/>
                </a:cubicBezTo>
                <a:cubicBezTo>
                  <a:pt x="0" y="40"/>
                  <a:pt x="5" y="41"/>
                  <a:pt x="6" y="39"/>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58" name="Freeform 78" hidden="1">
            <a:extLst>
              <a:ext uri="{FF2B5EF4-FFF2-40B4-BE49-F238E27FC236}">
                <a16:creationId xmlns:a16="http://schemas.microsoft.com/office/drawing/2014/main" id="{00000000-0008-0000-0000-00003A000000}"/>
              </a:ext>
            </a:extLst>
          </xdr:cNvPr>
          <xdr:cNvSpPr>
            <a:spLocks/>
          </xdr:cNvSpPr>
        </xdr:nvSpPr>
        <xdr:spPr bwMode="auto">
          <a:xfrm>
            <a:off x="3094038" y="1500188"/>
            <a:ext cx="36513" cy="36513"/>
          </a:xfrm>
          <a:custGeom>
            <a:avLst/>
            <a:gdLst/>
            <a:ahLst/>
            <a:cxnLst>
              <a:cxn ang="0">
                <a:pos x="27" y="18"/>
              </a:cxn>
              <a:cxn ang="0">
                <a:pos x="11" y="28"/>
              </a:cxn>
              <a:cxn ang="0">
                <a:pos x="0" y="18"/>
              </a:cxn>
              <a:cxn ang="0">
                <a:pos x="27" y="18"/>
              </a:cxn>
            </a:cxnLst>
            <a:rect l="0" t="0" r="r" b="b"/>
            <a:pathLst>
              <a:path w="27" h="28">
                <a:moveTo>
                  <a:pt x="27" y="18"/>
                </a:moveTo>
                <a:cubicBezTo>
                  <a:pt x="27" y="24"/>
                  <a:pt x="16" y="28"/>
                  <a:pt x="11" y="28"/>
                </a:cubicBezTo>
                <a:cubicBezTo>
                  <a:pt x="4" y="28"/>
                  <a:pt x="0" y="23"/>
                  <a:pt x="0" y="18"/>
                </a:cubicBezTo>
                <a:cubicBezTo>
                  <a:pt x="0" y="0"/>
                  <a:pt x="27" y="3"/>
                  <a:pt x="27" y="18"/>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59" name="Freeform 79" hidden="1">
            <a:extLst>
              <a:ext uri="{FF2B5EF4-FFF2-40B4-BE49-F238E27FC236}">
                <a16:creationId xmlns:a16="http://schemas.microsoft.com/office/drawing/2014/main" id="{00000000-0008-0000-0000-00003B000000}"/>
              </a:ext>
            </a:extLst>
          </xdr:cNvPr>
          <xdr:cNvSpPr>
            <a:spLocks/>
          </xdr:cNvSpPr>
        </xdr:nvSpPr>
        <xdr:spPr bwMode="auto">
          <a:xfrm>
            <a:off x="2984500" y="1652588"/>
            <a:ext cx="30163" cy="23813"/>
          </a:xfrm>
          <a:custGeom>
            <a:avLst/>
            <a:gdLst/>
            <a:ahLst/>
            <a:cxnLst>
              <a:cxn ang="0">
                <a:pos x="10" y="1"/>
              </a:cxn>
              <a:cxn ang="0">
                <a:pos x="22" y="3"/>
              </a:cxn>
              <a:cxn ang="0">
                <a:pos x="0" y="18"/>
              </a:cxn>
              <a:cxn ang="0">
                <a:pos x="0" y="12"/>
              </a:cxn>
              <a:cxn ang="0">
                <a:pos x="10" y="1"/>
              </a:cxn>
            </a:cxnLst>
            <a:rect l="0" t="0" r="r" b="b"/>
            <a:pathLst>
              <a:path w="22" h="18">
                <a:moveTo>
                  <a:pt x="10" y="1"/>
                </a:moveTo>
                <a:cubicBezTo>
                  <a:pt x="19" y="0"/>
                  <a:pt x="17" y="0"/>
                  <a:pt x="22" y="3"/>
                </a:cubicBezTo>
                <a:cubicBezTo>
                  <a:pt x="18" y="8"/>
                  <a:pt x="7" y="17"/>
                  <a:pt x="0" y="18"/>
                </a:cubicBezTo>
                <a:cubicBezTo>
                  <a:pt x="0" y="12"/>
                  <a:pt x="0" y="12"/>
                  <a:pt x="0" y="12"/>
                </a:cubicBezTo>
                <a:cubicBezTo>
                  <a:pt x="4" y="7"/>
                  <a:pt x="9" y="4"/>
                  <a:pt x="10" y="1"/>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60" name="Freeform 80" hidden="1">
            <a:extLst>
              <a:ext uri="{FF2B5EF4-FFF2-40B4-BE49-F238E27FC236}">
                <a16:creationId xmlns:a16="http://schemas.microsoft.com/office/drawing/2014/main" id="{00000000-0008-0000-0000-00003C000000}"/>
              </a:ext>
            </a:extLst>
          </xdr:cNvPr>
          <xdr:cNvSpPr>
            <a:spLocks/>
          </xdr:cNvSpPr>
        </xdr:nvSpPr>
        <xdr:spPr bwMode="auto">
          <a:xfrm>
            <a:off x="3032125" y="1336675"/>
            <a:ext cx="79375" cy="33338"/>
          </a:xfrm>
          <a:custGeom>
            <a:avLst/>
            <a:gdLst/>
            <a:ahLst/>
            <a:cxnLst>
              <a:cxn ang="0">
                <a:pos x="22" y="25"/>
              </a:cxn>
              <a:cxn ang="0">
                <a:pos x="9" y="16"/>
              </a:cxn>
              <a:cxn ang="0">
                <a:pos x="0" y="6"/>
              </a:cxn>
              <a:cxn ang="0">
                <a:pos x="8" y="0"/>
              </a:cxn>
              <a:cxn ang="0">
                <a:pos x="30" y="3"/>
              </a:cxn>
              <a:cxn ang="0">
                <a:pos x="60" y="17"/>
              </a:cxn>
              <a:cxn ang="0">
                <a:pos x="52" y="24"/>
              </a:cxn>
              <a:cxn ang="0">
                <a:pos x="39" y="21"/>
              </a:cxn>
              <a:cxn ang="0">
                <a:pos x="22" y="25"/>
              </a:cxn>
            </a:cxnLst>
            <a:rect l="0" t="0" r="r" b="b"/>
            <a:pathLst>
              <a:path w="60" h="25">
                <a:moveTo>
                  <a:pt x="22" y="25"/>
                </a:moveTo>
                <a:cubicBezTo>
                  <a:pt x="14" y="25"/>
                  <a:pt x="6" y="23"/>
                  <a:pt x="9" y="16"/>
                </a:cubicBezTo>
                <a:cubicBezTo>
                  <a:pt x="5" y="13"/>
                  <a:pt x="0" y="11"/>
                  <a:pt x="0" y="6"/>
                </a:cubicBezTo>
                <a:cubicBezTo>
                  <a:pt x="0" y="2"/>
                  <a:pt x="4" y="0"/>
                  <a:pt x="8" y="0"/>
                </a:cubicBezTo>
                <a:cubicBezTo>
                  <a:pt x="18" y="0"/>
                  <a:pt x="21" y="3"/>
                  <a:pt x="30" y="3"/>
                </a:cubicBezTo>
                <a:cubicBezTo>
                  <a:pt x="42" y="3"/>
                  <a:pt x="52" y="13"/>
                  <a:pt x="60" y="17"/>
                </a:cubicBezTo>
                <a:cubicBezTo>
                  <a:pt x="59" y="21"/>
                  <a:pt x="56" y="24"/>
                  <a:pt x="52" y="24"/>
                </a:cubicBezTo>
                <a:cubicBezTo>
                  <a:pt x="46" y="24"/>
                  <a:pt x="44" y="21"/>
                  <a:pt x="39" y="21"/>
                </a:cubicBezTo>
                <a:cubicBezTo>
                  <a:pt x="34" y="21"/>
                  <a:pt x="30" y="25"/>
                  <a:pt x="22" y="25"/>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61" name="Freeform 81" hidden="1">
            <a:extLst>
              <a:ext uri="{FF2B5EF4-FFF2-40B4-BE49-F238E27FC236}">
                <a16:creationId xmlns:a16="http://schemas.microsoft.com/office/drawing/2014/main" id="{00000000-0008-0000-0000-00003D000000}"/>
              </a:ext>
            </a:extLst>
          </xdr:cNvPr>
          <xdr:cNvSpPr>
            <a:spLocks/>
          </xdr:cNvSpPr>
        </xdr:nvSpPr>
        <xdr:spPr bwMode="auto">
          <a:xfrm>
            <a:off x="3040063" y="1666875"/>
            <a:ext cx="17463" cy="20638"/>
          </a:xfrm>
          <a:custGeom>
            <a:avLst/>
            <a:gdLst/>
            <a:ahLst/>
            <a:cxnLst>
              <a:cxn ang="0">
                <a:pos x="14" y="6"/>
              </a:cxn>
              <a:cxn ang="0">
                <a:pos x="6" y="15"/>
              </a:cxn>
              <a:cxn ang="0">
                <a:pos x="0" y="9"/>
              </a:cxn>
              <a:cxn ang="0">
                <a:pos x="14" y="6"/>
              </a:cxn>
            </a:cxnLst>
            <a:rect l="0" t="0" r="r" b="b"/>
            <a:pathLst>
              <a:path w="14" h="15">
                <a:moveTo>
                  <a:pt x="14" y="6"/>
                </a:moveTo>
                <a:cubicBezTo>
                  <a:pt x="12" y="9"/>
                  <a:pt x="11" y="15"/>
                  <a:pt x="6" y="15"/>
                </a:cubicBezTo>
                <a:cubicBezTo>
                  <a:pt x="5" y="15"/>
                  <a:pt x="0" y="9"/>
                  <a:pt x="0" y="9"/>
                </a:cubicBezTo>
                <a:cubicBezTo>
                  <a:pt x="0" y="1"/>
                  <a:pt x="10" y="0"/>
                  <a:pt x="14" y="6"/>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62" name="Freeform 82" hidden="1">
            <a:extLst>
              <a:ext uri="{FF2B5EF4-FFF2-40B4-BE49-F238E27FC236}">
                <a16:creationId xmlns:a16="http://schemas.microsoft.com/office/drawing/2014/main" id="{00000000-0008-0000-0000-00003E000000}"/>
              </a:ext>
            </a:extLst>
          </xdr:cNvPr>
          <xdr:cNvSpPr>
            <a:spLocks/>
          </xdr:cNvSpPr>
        </xdr:nvSpPr>
        <xdr:spPr bwMode="auto">
          <a:xfrm>
            <a:off x="3136900" y="1509713"/>
            <a:ext cx="19050" cy="11113"/>
          </a:xfrm>
          <a:custGeom>
            <a:avLst/>
            <a:gdLst/>
            <a:ahLst/>
            <a:cxnLst>
              <a:cxn ang="0">
                <a:pos x="5" y="8"/>
              </a:cxn>
              <a:cxn ang="0">
                <a:pos x="0" y="4"/>
              </a:cxn>
              <a:cxn ang="0">
                <a:pos x="5" y="0"/>
              </a:cxn>
              <a:cxn ang="0">
                <a:pos x="14" y="7"/>
              </a:cxn>
              <a:cxn ang="0">
                <a:pos x="5" y="8"/>
              </a:cxn>
            </a:cxnLst>
            <a:rect l="0" t="0" r="r" b="b"/>
            <a:pathLst>
              <a:path w="14" h="8">
                <a:moveTo>
                  <a:pt x="5" y="8"/>
                </a:moveTo>
                <a:cubicBezTo>
                  <a:pt x="2" y="8"/>
                  <a:pt x="0" y="7"/>
                  <a:pt x="0" y="4"/>
                </a:cubicBezTo>
                <a:cubicBezTo>
                  <a:pt x="0" y="3"/>
                  <a:pt x="4" y="0"/>
                  <a:pt x="5" y="0"/>
                </a:cubicBezTo>
                <a:cubicBezTo>
                  <a:pt x="9" y="0"/>
                  <a:pt x="13" y="5"/>
                  <a:pt x="14" y="7"/>
                </a:cubicBezTo>
                <a:cubicBezTo>
                  <a:pt x="8" y="8"/>
                  <a:pt x="10" y="8"/>
                  <a:pt x="5" y="8"/>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63" name="Freeform 83" hidden="1">
            <a:extLst>
              <a:ext uri="{FF2B5EF4-FFF2-40B4-BE49-F238E27FC236}">
                <a16:creationId xmlns:a16="http://schemas.microsoft.com/office/drawing/2014/main" id="{00000000-0008-0000-0000-00003F000000}"/>
              </a:ext>
            </a:extLst>
          </xdr:cNvPr>
          <xdr:cNvSpPr>
            <a:spLocks/>
          </xdr:cNvSpPr>
        </xdr:nvSpPr>
        <xdr:spPr bwMode="auto">
          <a:xfrm>
            <a:off x="3052763" y="1476375"/>
            <a:ext cx="20638" cy="12700"/>
          </a:xfrm>
          <a:custGeom>
            <a:avLst/>
            <a:gdLst/>
            <a:ahLst/>
            <a:cxnLst>
              <a:cxn ang="0">
                <a:pos x="5" y="10"/>
              </a:cxn>
              <a:cxn ang="0">
                <a:pos x="15" y="0"/>
              </a:cxn>
              <a:cxn ang="0">
                <a:pos x="5" y="10"/>
              </a:cxn>
            </a:cxnLst>
            <a:rect l="0" t="0" r="r" b="b"/>
            <a:pathLst>
              <a:path w="15" h="10">
                <a:moveTo>
                  <a:pt x="5" y="10"/>
                </a:moveTo>
                <a:cubicBezTo>
                  <a:pt x="0" y="10"/>
                  <a:pt x="10" y="0"/>
                  <a:pt x="15" y="0"/>
                </a:cubicBezTo>
                <a:cubicBezTo>
                  <a:pt x="14" y="6"/>
                  <a:pt x="10" y="10"/>
                  <a:pt x="5" y="10"/>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64" name="Freeform 84" hidden="1">
            <a:extLst>
              <a:ext uri="{FF2B5EF4-FFF2-40B4-BE49-F238E27FC236}">
                <a16:creationId xmlns:a16="http://schemas.microsoft.com/office/drawing/2014/main" id="{00000000-0008-0000-0000-000040000000}"/>
              </a:ext>
            </a:extLst>
          </xdr:cNvPr>
          <xdr:cNvSpPr>
            <a:spLocks/>
          </xdr:cNvSpPr>
        </xdr:nvSpPr>
        <xdr:spPr bwMode="auto">
          <a:xfrm>
            <a:off x="2876550" y="1335088"/>
            <a:ext cx="482600" cy="347663"/>
          </a:xfrm>
          <a:custGeom>
            <a:avLst/>
            <a:gdLst/>
            <a:ahLst/>
            <a:cxnLst>
              <a:cxn ang="0">
                <a:pos x="333" y="196"/>
              </a:cxn>
              <a:cxn ang="0">
                <a:pos x="281" y="171"/>
              </a:cxn>
              <a:cxn ang="0">
                <a:pos x="289" y="177"/>
              </a:cxn>
              <a:cxn ang="0">
                <a:pos x="283" y="184"/>
              </a:cxn>
              <a:cxn ang="0">
                <a:pos x="298" y="201"/>
              </a:cxn>
              <a:cxn ang="0">
                <a:pos x="318" y="206"/>
              </a:cxn>
              <a:cxn ang="0">
                <a:pos x="326" y="225"/>
              </a:cxn>
              <a:cxn ang="0">
                <a:pos x="278" y="225"/>
              </a:cxn>
              <a:cxn ang="0">
                <a:pos x="304" y="256"/>
              </a:cxn>
              <a:cxn ang="0">
                <a:pos x="295" y="256"/>
              </a:cxn>
              <a:cxn ang="0">
                <a:pos x="233" y="226"/>
              </a:cxn>
              <a:cxn ang="0">
                <a:pos x="190" y="210"/>
              </a:cxn>
              <a:cxn ang="0">
                <a:pos x="169" y="214"/>
              </a:cxn>
              <a:cxn ang="0">
                <a:pos x="168" y="189"/>
              </a:cxn>
              <a:cxn ang="0">
                <a:pos x="207" y="183"/>
              </a:cxn>
              <a:cxn ang="0">
                <a:pos x="210" y="167"/>
              </a:cxn>
              <a:cxn ang="0">
                <a:pos x="186" y="115"/>
              </a:cxn>
              <a:cxn ang="0">
                <a:pos x="168" y="115"/>
              </a:cxn>
              <a:cxn ang="0">
                <a:pos x="146" y="85"/>
              </a:cxn>
              <a:cxn ang="0">
                <a:pos x="122" y="91"/>
              </a:cxn>
              <a:cxn ang="0">
                <a:pos x="41" y="82"/>
              </a:cxn>
              <a:cxn ang="0">
                <a:pos x="11" y="69"/>
              </a:cxn>
              <a:cxn ang="0">
                <a:pos x="30" y="65"/>
              </a:cxn>
              <a:cxn ang="0">
                <a:pos x="0" y="48"/>
              </a:cxn>
              <a:cxn ang="0">
                <a:pos x="11" y="16"/>
              </a:cxn>
              <a:cxn ang="0">
                <a:pos x="61" y="4"/>
              </a:cxn>
              <a:cxn ang="0">
                <a:pos x="46" y="32"/>
              </a:cxn>
              <a:cxn ang="0">
                <a:pos x="50" y="47"/>
              </a:cxn>
              <a:cxn ang="0">
                <a:pos x="55" y="26"/>
              </a:cxn>
              <a:cxn ang="0">
                <a:pos x="120" y="29"/>
              </a:cxn>
              <a:cxn ang="0">
                <a:pos x="128" y="34"/>
              </a:cxn>
              <a:cxn ang="0">
                <a:pos x="156" y="27"/>
              </a:cxn>
              <a:cxn ang="0">
                <a:pos x="217" y="56"/>
              </a:cxn>
              <a:cxn ang="0">
                <a:pos x="242" y="65"/>
              </a:cxn>
              <a:cxn ang="0">
                <a:pos x="273" y="85"/>
              </a:cxn>
              <a:cxn ang="0">
                <a:pos x="293" y="95"/>
              </a:cxn>
              <a:cxn ang="0">
                <a:pos x="291" y="102"/>
              </a:cxn>
              <a:cxn ang="0">
                <a:pos x="283" y="116"/>
              </a:cxn>
              <a:cxn ang="0">
                <a:pos x="317" y="135"/>
              </a:cxn>
              <a:cxn ang="0">
                <a:pos x="342" y="153"/>
              </a:cxn>
              <a:cxn ang="0">
                <a:pos x="362" y="165"/>
              </a:cxn>
              <a:cxn ang="0">
                <a:pos x="349" y="178"/>
              </a:cxn>
            </a:cxnLst>
            <a:rect l="0" t="0" r="r" b="b"/>
            <a:pathLst>
              <a:path w="362" h="261">
                <a:moveTo>
                  <a:pt x="339" y="184"/>
                </a:moveTo>
                <a:cubicBezTo>
                  <a:pt x="339" y="189"/>
                  <a:pt x="338" y="196"/>
                  <a:pt x="333" y="196"/>
                </a:cubicBezTo>
                <a:cubicBezTo>
                  <a:pt x="311" y="196"/>
                  <a:pt x="311" y="166"/>
                  <a:pt x="289" y="166"/>
                </a:cubicBezTo>
                <a:cubicBezTo>
                  <a:pt x="287" y="166"/>
                  <a:pt x="281" y="171"/>
                  <a:pt x="281" y="171"/>
                </a:cubicBezTo>
                <a:cubicBezTo>
                  <a:pt x="284" y="173"/>
                  <a:pt x="285" y="173"/>
                  <a:pt x="289" y="172"/>
                </a:cubicBezTo>
                <a:cubicBezTo>
                  <a:pt x="289" y="177"/>
                  <a:pt x="289" y="177"/>
                  <a:pt x="289" y="177"/>
                </a:cubicBezTo>
                <a:cubicBezTo>
                  <a:pt x="287" y="178"/>
                  <a:pt x="284" y="178"/>
                  <a:pt x="283" y="177"/>
                </a:cubicBezTo>
                <a:cubicBezTo>
                  <a:pt x="283" y="184"/>
                  <a:pt x="283" y="184"/>
                  <a:pt x="283" y="184"/>
                </a:cubicBezTo>
                <a:cubicBezTo>
                  <a:pt x="288" y="184"/>
                  <a:pt x="288" y="184"/>
                  <a:pt x="288" y="184"/>
                </a:cubicBezTo>
                <a:cubicBezTo>
                  <a:pt x="289" y="189"/>
                  <a:pt x="295" y="199"/>
                  <a:pt x="298" y="201"/>
                </a:cubicBezTo>
                <a:cubicBezTo>
                  <a:pt x="307" y="204"/>
                  <a:pt x="310" y="198"/>
                  <a:pt x="311" y="206"/>
                </a:cubicBezTo>
                <a:cubicBezTo>
                  <a:pt x="315" y="206"/>
                  <a:pt x="315" y="206"/>
                  <a:pt x="318" y="206"/>
                </a:cubicBezTo>
                <a:cubicBezTo>
                  <a:pt x="318" y="213"/>
                  <a:pt x="318" y="213"/>
                  <a:pt x="318" y="215"/>
                </a:cubicBezTo>
                <a:cubicBezTo>
                  <a:pt x="318" y="218"/>
                  <a:pt x="326" y="220"/>
                  <a:pt x="326" y="225"/>
                </a:cubicBezTo>
                <a:cubicBezTo>
                  <a:pt x="326" y="229"/>
                  <a:pt x="321" y="238"/>
                  <a:pt x="319" y="242"/>
                </a:cubicBezTo>
                <a:cubicBezTo>
                  <a:pt x="311" y="242"/>
                  <a:pt x="283" y="231"/>
                  <a:pt x="278" y="225"/>
                </a:cubicBezTo>
                <a:cubicBezTo>
                  <a:pt x="272" y="225"/>
                  <a:pt x="272" y="225"/>
                  <a:pt x="272" y="225"/>
                </a:cubicBezTo>
                <a:cubicBezTo>
                  <a:pt x="279" y="234"/>
                  <a:pt x="304" y="243"/>
                  <a:pt x="304" y="256"/>
                </a:cubicBezTo>
                <a:cubicBezTo>
                  <a:pt x="304" y="259"/>
                  <a:pt x="301" y="261"/>
                  <a:pt x="299" y="261"/>
                </a:cubicBezTo>
                <a:cubicBezTo>
                  <a:pt x="297" y="261"/>
                  <a:pt x="296" y="256"/>
                  <a:pt x="295" y="256"/>
                </a:cubicBezTo>
                <a:cubicBezTo>
                  <a:pt x="282" y="249"/>
                  <a:pt x="274" y="252"/>
                  <a:pt x="263" y="245"/>
                </a:cubicBezTo>
                <a:cubicBezTo>
                  <a:pt x="252" y="239"/>
                  <a:pt x="226" y="240"/>
                  <a:pt x="233" y="226"/>
                </a:cubicBezTo>
                <a:cubicBezTo>
                  <a:pt x="219" y="219"/>
                  <a:pt x="212" y="211"/>
                  <a:pt x="199" y="204"/>
                </a:cubicBezTo>
                <a:cubicBezTo>
                  <a:pt x="197" y="207"/>
                  <a:pt x="194" y="210"/>
                  <a:pt x="190" y="210"/>
                </a:cubicBezTo>
                <a:cubicBezTo>
                  <a:pt x="186" y="210"/>
                  <a:pt x="187" y="207"/>
                  <a:pt x="183" y="207"/>
                </a:cubicBezTo>
                <a:cubicBezTo>
                  <a:pt x="177" y="207"/>
                  <a:pt x="175" y="214"/>
                  <a:pt x="169" y="214"/>
                </a:cubicBezTo>
                <a:cubicBezTo>
                  <a:pt x="165" y="214"/>
                  <a:pt x="150" y="208"/>
                  <a:pt x="150" y="201"/>
                </a:cubicBezTo>
                <a:cubicBezTo>
                  <a:pt x="150" y="197"/>
                  <a:pt x="162" y="189"/>
                  <a:pt x="168" y="189"/>
                </a:cubicBezTo>
                <a:cubicBezTo>
                  <a:pt x="176" y="189"/>
                  <a:pt x="183" y="189"/>
                  <a:pt x="187" y="189"/>
                </a:cubicBezTo>
                <a:cubicBezTo>
                  <a:pt x="191" y="189"/>
                  <a:pt x="202" y="187"/>
                  <a:pt x="207" y="183"/>
                </a:cubicBezTo>
                <a:cubicBezTo>
                  <a:pt x="205" y="182"/>
                  <a:pt x="199" y="178"/>
                  <a:pt x="199" y="174"/>
                </a:cubicBezTo>
                <a:cubicBezTo>
                  <a:pt x="199" y="167"/>
                  <a:pt x="207" y="171"/>
                  <a:pt x="210" y="167"/>
                </a:cubicBezTo>
                <a:cubicBezTo>
                  <a:pt x="214" y="163"/>
                  <a:pt x="223" y="154"/>
                  <a:pt x="223" y="148"/>
                </a:cubicBezTo>
                <a:cubicBezTo>
                  <a:pt x="223" y="136"/>
                  <a:pt x="195" y="115"/>
                  <a:pt x="186" y="115"/>
                </a:cubicBezTo>
                <a:cubicBezTo>
                  <a:pt x="180" y="115"/>
                  <a:pt x="177" y="120"/>
                  <a:pt x="172" y="120"/>
                </a:cubicBezTo>
                <a:cubicBezTo>
                  <a:pt x="170" y="120"/>
                  <a:pt x="168" y="115"/>
                  <a:pt x="168" y="115"/>
                </a:cubicBezTo>
                <a:cubicBezTo>
                  <a:pt x="168" y="110"/>
                  <a:pt x="176" y="109"/>
                  <a:pt x="179" y="109"/>
                </a:cubicBezTo>
                <a:cubicBezTo>
                  <a:pt x="175" y="105"/>
                  <a:pt x="151" y="85"/>
                  <a:pt x="146" y="85"/>
                </a:cubicBezTo>
                <a:cubicBezTo>
                  <a:pt x="140" y="85"/>
                  <a:pt x="133" y="101"/>
                  <a:pt x="125" y="101"/>
                </a:cubicBezTo>
                <a:cubicBezTo>
                  <a:pt x="120" y="101"/>
                  <a:pt x="121" y="94"/>
                  <a:pt x="122" y="91"/>
                </a:cubicBezTo>
                <a:cubicBezTo>
                  <a:pt x="108" y="90"/>
                  <a:pt x="75" y="91"/>
                  <a:pt x="55" y="91"/>
                </a:cubicBezTo>
                <a:cubicBezTo>
                  <a:pt x="51" y="91"/>
                  <a:pt x="44" y="86"/>
                  <a:pt x="41" y="82"/>
                </a:cubicBezTo>
                <a:cubicBezTo>
                  <a:pt x="20" y="82"/>
                  <a:pt x="20" y="82"/>
                  <a:pt x="20" y="82"/>
                </a:cubicBezTo>
                <a:cubicBezTo>
                  <a:pt x="18" y="76"/>
                  <a:pt x="11" y="75"/>
                  <a:pt x="11" y="69"/>
                </a:cubicBezTo>
                <a:cubicBezTo>
                  <a:pt x="16" y="67"/>
                  <a:pt x="23" y="70"/>
                  <a:pt x="30" y="70"/>
                </a:cubicBezTo>
                <a:cubicBezTo>
                  <a:pt x="30" y="65"/>
                  <a:pt x="30" y="65"/>
                  <a:pt x="30" y="65"/>
                </a:cubicBezTo>
                <a:cubicBezTo>
                  <a:pt x="26" y="62"/>
                  <a:pt x="6" y="60"/>
                  <a:pt x="6" y="60"/>
                </a:cubicBezTo>
                <a:cubicBezTo>
                  <a:pt x="6" y="60"/>
                  <a:pt x="0" y="52"/>
                  <a:pt x="0" y="48"/>
                </a:cubicBezTo>
                <a:cubicBezTo>
                  <a:pt x="0" y="36"/>
                  <a:pt x="2" y="33"/>
                  <a:pt x="8" y="29"/>
                </a:cubicBezTo>
                <a:cubicBezTo>
                  <a:pt x="12" y="26"/>
                  <a:pt x="10" y="18"/>
                  <a:pt x="11" y="16"/>
                </a:cubicBezTo>
                <a:cubicBezTo>
                  <a:pt x="20" y="7"/>
                  <a:pt x="32" y="0"/>
                  <a:pt x="47" y="0"/>
                </a:cubicBezTo>
                <a:cubicBezTo>
                  <a:pt x="47" y="0"/>
                  <a:pt x="61" y="4"/>
                  <a:pt x="61" y="4"/>
                </a:cubicBezTo>
                <a:cubicBezTo>
                  <a:pt x="57" y="14"/>
                  <a:pt x="42" y="14"/>
                  <a:pt x="42" y="27"/>
                </a:cubicBezTo>
                <a:cubicBezTo>
                  <a:pt x="42" y="30"/>
                  <a:pt x="44" y="32"/>
                  <a:pt x="46" y="32"/>
                </a:cubicBezTo>
                <a:cubicBezTo>
                  <a:pt x="45" y="35"/>
                  <a:pt x="46" y="40"/>
                  <a:pt x="46" y="40"/>
                </a:cubicBezTo>
                <a:cubicBezTo>
                  <a:pt x="46" y="43"/>
                  <a:pt x="45" y="47"/>
                  <a:pt x="50" y="47"/>
                </a:cubicBezTo>
                <a:cubicBezTo>
                  <a:pt x="53" y="47"/>
                  <a:pt x="59" y="42"/>
                  <a:pt x="59" y="38"/>
                </a:cubicBezTo>
                <a:cubicBezTo>
                  <a:pt x="59" y="34"/>
                  <a:pt x="55" y="31"/>
                  <a:pt x="55" y="26"/>
                </a:cubicBezTo>
                <a:cubicBezTo>
                  <a:pt x="55" y="10"/>
                  <a:pt x="84" y="4"/>
                  <a:pt x="102" y="4"/>
                </a:cubicBezTo>
                <a:cubicBezTo>
                  <a:pt x="113" y="4"/>
                  <a:pt x="120" y="20"/>
                  <a:pt x="120" y="29"/>
                </a:cubicBezTo>
                <a:cubicBezTo>
                  <a:pt x="120" y="31"/>
                  <a:pt x="117" y="38"/>
                  <a:pt x="120" y="38"/>
                </a:cubicBezTo>
                <a:cubicBezTo>
                  <a:pt x="122" y="38"/>
                  <a:pt x="124" y="34"/>
                  <a:pt x="128" y="34"/>
                </a:cubicBezTo>
                <a:cubicBezTo>
                  <a:pt x="133" y="34"/>
                  <a:pt x="135" y="38"/>
                  <a:pt x="138" y="38"/>
                </a:cubicBezTo>
                <a:cubicBezTo>
                  <a:pt x="146" y="38"/>
                  <a:pt x="148" y="27"/>
                  <a:pt x="156" y="27"/>
                </a:cubicBezTo>
                <a:cubicBezTo>
                  <a:pt x="165" y="27"/>
                  <a:pt x="183" y="30"/>
                  <a:pt x="189" y="34"/>
                </a:cubicBezTo>
                <a:cubicBezTo>
                  <a:pt x="199" y="41"/>
                  <a:pt x="202" y="56"/>
                  <a:pt x="217" y="56"/>
                </a:cubicBezTo>
                <a:cubicBezTo>
                  <a:pt x="223" y="56"/>
                  <a:pt x="224" y="56"/>
                  <a:pt x="228" y="56"/>
                </a:cubicBezTo>
                <a:cubicBezTo>
                  <a:pt x="232" y="56"/>
                  <a:pt x="243" y="57"/>
                  <a:pt x="242" y="65"/>
                </a:cubicBezTo>
                <a:cubicBezTo>
                  <a:pt x="254" y="69"/>
                  <a:pt x="261" y="76"/>
                  <a:pt x="273" y="77"/>
                </a:cubicBezTo>
                <a:cubicBezTo>
                  <a:pt x="273" y="85"/>
                  <a:pt x="273" y="85"/>
                  <a:pt x="273" y="85"/>
                </a:cubicBezTo>
                <a:cubicBezTo>
                  <a:pt x="276" y="85"/>
                  <a:pt x="281" y="85"/>
                  <a:pt x="281" y="85"/>
                </a:cubicBezTo>
                <a:cubicBezTo>
                  <a:pt x="287" y="85"/>
                  <a:pt x="290" y="89"/>
                  <a:pt x="293" y="95"/>
                </a:cubicBezTo>
                <a:cubicBezTo>
                  <a:pt x="287" y="96"/>
                  <a:pt x="281" y="96"/>
                  <a:pt x="277" y="101"/>
                </a:cubicBezTo>
                <a:cubicBezTo>
                  <a:pt x="285" y="102"/>
                  <a:pt x="287" y="102"/>
                  <a:pt x="291" y="102"/>
                </a:cubicBezTo>
                <a:cubicBezTo>
                  <a:pt x="293" y="102"/>
                  <a:pt x="296" y="103"/>
                  <a:pt x="297" y="106"/>
                </a:cubicBezTo>
                <a:cubicBezTo>
                  <a:pt x="290" y="110"/>
                  <a:pt x="287" y="110"/>
                  <a:pt x="283" y="116"/>
                </a:cubicBezTo>
                <a:cubicBezTo>
                  <a:pt x="287" y="118"/>
                  <a:pt x="289" y="120"/>
                  <a:pt x="295" y="120"/>
                </a:cubicBezTo>
                <a:cubicBezTo>
                  <a:pt x="296" y="130"/>
                  <a:pt x="308" y="134"/>
                  <a:pt x="317" y="135"/>
                </a:cubicBezTo>
                <a:cubicBezTo>
                  <a:pt x="318" y="143"/>
                  <a:pt x="320" y="151"/>
                  <a:pt x="327" y="151"/>
                </a:cubicBezTo>
                <a:cubicBezTo>
                  <a:pt x="337" y="151"/>
                  <a:pt x="339" y="145"/>
                  <a:pt x="342" y="153"/>
                </a:cubicBezTo>
                <a:cubicBezTo>
                  <a:pt x="344" y="155"/>
                  <a:pt x="348" y="155"/>
                  <a:pt x="350" y="155"/>
                </a:cubicBezTo>
                <a:cubicBezTo>
                  <a:pt x="359" y="155"/>
                  <a:pt x="362" y="158"/>
                  <a:pt x="362" y="165"/>
                </a:cubicBezTo>
                <a:cubicBezTo>
                  <a:pt x="362" y="171"/>
                  <a:pt x="355" y="173"/>
                  <a:pt x="349" y="173"/>
                </a:cubicBezTo>
                <a:cubicBezTo>
                  <a:pt x="349" y="178"/>
                  <a:pt x="349" y="176"/>
                  <a:pt x="349" y="178"/>
                </a:cubicBezTo>
                <a:cubicBezTo>
                  <a:pt x="349" y="180"/>
                  <a:pt x="348" y="184"/>
                  <a:pt x="339" y="184"/>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65" name="Freeform 85" hidden="1">
            <a:extLst>
              <a:ext uri="{FF2B5EF4-FFF2-40B4-BE49-F238E27FC236}">
                <a16:creationId xmlns:a16="http://schemas.microsoft.com/office/drawing/2014/main" id="{00000000-0008-0000-0000-000041000000}"/>
              </a:ext>
            </a:extLst>
          </xdr:cNvPr>
          <xdr:cNvSpPr>
            <a:spLocks/>
          </xdr:cNvSpPr>
        </xdr:nvSpPr>
        <xdr:spPr bwMode="auto">
          <a:xfrm>
            <a:off x="3073400" y="1635125"/>
            <a:ext cx="14288" cy="12700"/>
          </a:xfrm>
          <a:custGeom>
            <a:avLst/>
            <a:gdLst/>
            <a:ahLst/>
            <a:cxnLst>
              <a:cxn ang="0">
                <a:pos x="10" y="6"/>
              </a:cxn>
              <a:cxn ang="0">
                <a:pos x="0" y="6"/>
              </a:cxn>
              <a:cxn ang="0">
                <a:pos x="10" y="6"/>
              </a:cxn>
            </a:cxnLst>
            <a:rect l="0" t="0" r="r" b="b"/>
            <a:pathLst>
              <a:path w="10" h="9">
                <a:moveTo>
                  <a:pt x="10" y="6"/>
                </a:moveTo>
                <a:cubicBezTo>
                  <a:pt x="6" y="9"/>
                  <a:pt x="5" y="9"/>
                  <a:pt x="0" y="6"/>
                </a:cubicBezTo>
                <a:cubicBezTo>
                  <a:pt x="5" y="0"/>
                  <a:pt x="5" y="3"/>
                  <a:pt x="10" y="6"/>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66" name="Freeform 86" hidden="1">
            <a:extLst>
              <a:ext uri="{FF2B5EF4-FFF2-40B4-BE49-F238E27FC236}">
                <a16:creationId xmlns:a16="http://schemas.microsoft.com/office/drawing/2014/main" id="{00000000-0008-0000-0000-000042000000}"/>
              </a:ext>
            </a:extLst>
          </xdr:cNvPr>
          <xdr:cNvSpPr>
            <a:spLocks/>
          </xdr:cNvSpPr>
        </xdr:nvSpPr>
        <xdr:spPr bwMode="auto">
          <a:xfrm>
            <a:off x="2974975" y="1568450"/>
            <a:ext cx="12700" cy="12700"/>
          </a:xfrm>
          <a:custGeom>
            <a:avLst/>
            <a:gdLst/>
            <a:ahLst/>
            <a:cxnLst>
              <a:cxn ang="0">
                <a:pos x="1" y="2"/>
              </a:cxn>
              <a:cxn ang="0">
                <a:pos x="9" y="9"/>
              </a:cxn>
              <a:cxn ang="0">
                <a:pos x="1" y="2"/>
              </a:cxn>
            </a:cxnLst>
            <a:rect l="0" t="0" r="r" b="b"/>
            <a:pathLst>
              <a:path w="9" h="9">
                <a:moveTo>
                  <a:pt x="1" y="2"/>
                </a:moveTo>
                <a:cubicBezTo>
                  <a:pt x="6" y="0"/>
                  <a:pt x="6" y="5"/>
                  <a:pt x="9" y="9"/>
                </a:cubicBezTo>
                <a:cubicBezTo>
                  <a:pt x="4" y="9"/>
                  <a:pt x="0" y="5"/>
                  <a:pt x="1" y="2"/>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67" name="Freeform 87" hidden="1">
            <a:extLst>
              <a:ext uri="{FF2B5EF4-FFF2-40B4-BE49-F238E27FC236}">
                <a16:creationId xmlns:a16="http://schemas.microsoft.com/office/drawing/2014/main" id="{00000000-0008-0000-0000-000043000000}"/>
              </a:ext>
            </a:extLst>
          </xdr:cNvPr>
          <xdr:cNvSpPr>
            <a:spLocks/>
          </xdr:cNvSpPr>
        </xdr:nvSpPr>
        <xdr:spPr bwMode="auto">
          <a:xfrm>
            <a:off x="2847975" y="985838"/>
            <a:ext cx="514350" cy="269875"/>
          </a:xfrm>
          <a:custGeom>
            <a:avLst/>
            <a:gdLst/>
            <a:ahLst/>
            <a:cxnLst>
              <a:cxn ang="0">
                <a:pos x="307" y="16"/>
              </a:cxn>
              <a:cxn ang="0">
                <a:pos x="350" y="9"/>
              </a:cxn>
              <a:cxn ang="0">
                <a:pos x="386" y="28"/>
              </a:cxn>
              <a:cxn ang="0">
                <a:pos x="313" y="51"/>
              </a:cxn>
              <a:cxn ang="0">
                <a:pos x="295" y="74"/>
              </a:cxn>
              <a:cxn ang="0">
                <a:pos x="231" y="108"/>
              </a:cxn>
              <a:cxn ang="0">
                <a:pos x="216" y="118"/>
              </a:cxn>
              <a:cxn ang="0">
                <a:pos x="216" y="137"/>
              </a:cxn>
              <a:cxn ang="0">
                <a:pos x="174" y="157"/>
              </a:cxn>
              <a:cxn ang="0">
                <a:pos x="158" y="184"/>
              </a:cxn>
              <a:cxn ang="0">
                <a:pos x="176" y="188"/>
              </a:cxn>
              <a:cxn ang="0">
                <a:pos x="126" y="197"/>
              </a:cxn>
              <a:cxn ang="0">
                <a:pos x="80" y="201"/>
              </a:cxn>
              <a:cxn ang="0">
                <a:pos x="33" y="197"/>
              </a:cxn>
              <a:cxn ang="0">
                <a:pos x="60" y="176"/>
              </a:cxn>
              <a:cxn ang="0">
                <a:pos x="57" y="158"/>
              </a:cxn>
              <a:cxn ang="0">
                <a:pos x="92" y="170"/>
              </a:cxn>
              <a:cxn ang="0">
                <a:pos x="66" y="148"/>
              </a:cxn>
              <a:cxn ang="0">
                <a:pos x="55" y="151"/>
              </a:cxn>
              <a:cxn ang="0">
                <a:pos x="68" y="131"/>
              </a:cxn>
              <a:cxn ang="0">
                <a:pos x="62" y="97"/>
              </a:cxn>
              <a:cxn ang="0">
                <a:pos x="67" y="89"/>
              </a:cxn>
              <a:cxn ang="0">
                <a:pos x="97" y="90"/>
              </a:cxn>
              <a:cxn ang="0">
                <a:pos x="108" y="91"/>
              </a:cxn>
              <a:cxn ang="0">
                <a:pos x="133" y="86"/>
              </a:cxn>
              <a:cxn ang="0">
                <a:pos x="147" y="74"/>
              </a:cxn>
              <a:cxn ang="0">
                <a:pos x="99" y="81"/>
              </a:cxn>
              <a:cxn ang="0">
                <a:pos x="72" y="76"/>
              </a:cxn>
              <a:cxn ang="0">
                <a:pos x="57" y="81"/>
              </a:cxn>
              <a:cxn ang="0">
                <a:pos x="44" y="67"/>
              </a:cxn>
              <a:cxn ang="0">
                <a:pos x="51" y="53"/>
              </a:cxn>
              <a:cxn ang="0">
                <a:pos x="25" y="60"/>
              </a:cxn>
              <a:cxn ang="0">
                <a:pos x="29" y="49"/>
              </a:cxn>
              <a:cxn ang="0">
                <a:pos x="9" y="52"/>
              </a:cxn>
              <a:cxn ang="0">
                <a:pos x="44" y="36"/>
              </a:cxn>
              <a:cxn ang="0">
                <a:pos x="57" y="32"/>
              </a:cxn>
              <a:cxn ang="0">
                <a:pos x="104" y="32"/>
              </a:cxn>
              <a:cxn ang="0">
                <a:pos x="135" y="11"/>
              </a:cxn>
              <a:cxn ang="0">
                <a:pos x="196" y="6"/>
              </a:cxn>
              <a:cxn ang="0">
                <a:pos x="218" y="8"/>
              </a:cxn>
              <a:cxn ang="0">
                <a:pos x="245" y="3"/>
              </a:cxn>
              <a:cxn ang="0">
                <a:pos x="315" y="11"/>
              </a:cxn>
            </a:cxnLst>
            <a:rect l="0" t="0" r="r" b="b"/>
            <a:pathLst>
              <a:path w="386" h="203">
                <a:moveTo>
                  <a:pt x="315" y="11"/>
                </a:moveTo>
                <a:cubicBezTo>
                  <a:pt x="312" y="14"/>
                  <a:pt x="310" y="15"/>
                  <a:pt x="307" y="16"/>
                </a:cubicBezTo>
                <a:cubicBezTo>
                  <a:pt x="342" y="6"/>
                  <a:pt x="342" y="6"/>
                  <a:pt x="342" y="6"/>
                </a:cubicBezTo>
                <a:cubicBezTo>
                  <a:pt x="345" y="7"/>
                  <a:pt x="347" y="8"/>
                  <a:pt x="350" y="9"/>
                </a:cubicBezTo>
                <a:cubicBezTo>
                  <a:pt x="355" y="11"/>
                  <a:pt x="355" y="14"/>
                  <a:pt x="358" y="17"/>
                </a:cubicBezTo>
                <a:cubicBezTo>
                  <a:pt x="363" y="22"/>
                  <a:pt x="386" y="20"/>
                  <a:pt x="386" y="28"/>
                </a:cubicBezTo>
                <a:cubicBezTo>
                  <a:pt x="386" y="33"/>
                  <a:pt x="378" y="32"/>
                  <a:pt x="375" y="34"/>
                </a:cubicBezTo>
                <a:cubicBezTo>
                  <a:pt x="358" y="48"/>
                  <a:pt x="336" y="40"/>
                  <a:pt x="313" y="51"/>
                </a:cubicBezTo>
                <a:cubicBezTo>
                  <a:pt x="317" y="56"/>
                  <a:pt x="335" y="52"/>
                  <a:pt x="346" y="52"/>
                </a:cubicBezTo>
                <a:cubicBezTo>
                  <a:pt x="336" y="63"/>
                  <a:pt x="311" y="69"/>
                  <a:pt x="295" y="74"/>
                </a:cubicBezTo>
                <a:cubicBezTo>
                  <a:pt x="277" y="80"/>
                  <a:pt x="267" y="97"/>
                  <a:pt x="254" y="107"/>
                </a:cubicBezTo>
                <a:cubicBezTo>
                  <a:pt x="248" y="112"/>
                  <a:pt x="238" y="106"/>
                  <a:pt x="231" y="108"/>
                </a:cubicBezTo>
                <a:cubicBezTo>
                  <a:pt x="221" y="112"/>
                  <a:pt x="210" y="112"/>
                  <a:pt x="203" y="118"/>
                </a:cubicBezTo>
                <a:cubicBezTo>
                  <a:pt x="216" y="118"/>
                  <a:pt x="216" y="118"/>
                  <a:pt x="216" y="118"/>
                </a:cubicBezTo>
                <a:cubicBezTo>
                  <a:pt x="217" y="128"/>
                  <a:pt x="211" y="127"/>
                  <a:pt x="203" y="126"/>
                </a:cubicBezTo>
                <a:cubicBezTo>
                  <a:pt x="208" y="129"/>
                  <a:pt x="213" y="131"/>
                  <a:pt x="216" y="137"/>
                </a:cubicBezTo>
                <a:cubicBezTo>
                  <a:pt x="206" y="141"/>
                  <a:pt x="203" y="152"/>
                  <a:pt x="196" y="157"/>
                </a:cubicBezTo>
                <a:cubicBezTo>
                  <a:pt x="177" y="157"/>
                  <a:pt x="177" y="157"/>
                  <a:pt x="174" y="157"/>
                </a:cubicBezTo>
                <a:cubicBezTo>
                  <a:pt x="175" y="160"/>
                  <a:pt x="177" y="161"/>
                  <a:pt x="177" y="164"/>
                </a:cubicBezTo>
                <a:cubicBezTo>
                  <a:pt x="177" y="178"/>
                  <a:pt x="158" y="169"/>
                  <a:pt x="158" y="184"/>
                </a:cubicBezTo>
                <a:cubicBezTo>
                  <a:pt x="165" y="184"/>
                  <a:pt x="166" y="184"/>
                  <a:pt x="169" y="184"/>
                </a:cubicBezTo>
                <a:cubicBezTo>
                  <a:pt x="171" y="184"/>
                  <a:pt x="176" y="184"/>
                  <a:pt x="176" y="188"/>
                </a:cubicBezTo>
                <a:cubicBezTo>
                  <a:pt x="176" y="195"/>
                  <a:pt x="151" y="203"/>
                  <a:pt x="141" y="203"/>
                </a:cubicBezTo>
                <a:cubicBezTo>
                  <a:pt x="131" y="203"/>
                  <a:pt x="135" y="197"/>
                  <a:pt x="126" y="197"/>
                </a:cubicBezTo>
                <a:cubicBezTo>
                  <a:pt x="113" y="197"/>
                  <a:pt x="104" y="197"/>
                  <a:pt x="93" y="197"/>
                </a:cubicBezTo>
                <a:cubicBezTo>
                  <a:pt x="89" y="197"/>
                  <a:pt x="86" y="201"/>
                  <a:pt x="80" y="201"/>
                </a:cubicBezTo>
                <a:cubicBezTo>
                  <a:pt x="65" y="201"/>
                  <a:pt x="53" y="197"/>
                  <a:pt x="38" y="192"/>
                </a:cubicBezTo>
                <a:cubicBezTo>
                  <a:pt x="37" y="194"/>
                  <a:pt x="35" y="197"/>
                  <a:pt x="33" y="197"/>
                </a:cubicBezTo>
                <a:cubicBezTo>
                  <a:pt x="29" y="197"/>
                  <a:pt x="28" y="194"/>
                  <a:pt x="28" y="193"/>
                </a:cubicBezTo>
                <a:cubicBezTo>
                  <a:pt x="28" y="176"/>
                  <a:pt x="51" y="182"/>
                  <a:pt x="60" y="176"/>
                </a:cubicBezTo>
                <a:cubicBezTo>
                  <a:pt x="55" y="172"/>
                  <a:pt x="46" y="170"/>
                  <a:pt x="46" y="162"/>
                </a:cubicBezTo>
                <a:cubicBezTo>
                  <a:pt x="46" y="156"/>
                  <a:pt x="52" y="158"/>
                  <a:pt x="57" y="158"/>
                </a:cubicBezTo>
                <a:cubicBezTo>
                  <a:pt x="71" y="158"/>
                  <a:pt x="76" y="165"/>
                  <a:pt x="84" y="170"/>
                </a:cubicBezTo>
                <a:cubicBezTo>
                  <a:pt x="92" y="170"/>
                  <a:pt x="92" y="170"/>
                  <a:pt x="92" y="170"/>
                </a:cubicBezTo>
                <a:cubicBezTo>
                  <a:pt x="86" y="164"/>
                  <a:pt x="72" y="159"/>
                  <a:pt x="72" y="148"/>
                </a:cubicBezTo>
                <a:cubicBezTo>
                  <a:pt x="66" y="148"/>
                  <a:pt x="66" y="148"/>
                  <a:pt x="66" y="148"/>
                </a:cubicBezTo>
                <a:cubicBezTo>
                  <a:pt x="63" y="149"/>
                  <a:pt x="63" y="149"/>
                  <a:pt x="61" y="151"/>
                </a:cubicBezTo>
                <a:cubicBezTo>
                  <a:pt x="55" y="151"/>
                  <a:pt x="55" y="151"/>
                  <a:pt x="55" y="151"/>
                </a:cubicBezTo>
                <a:cubicBezTo>
                  <a:pt x="55" y="146"/>
                  <a:pt x="55" y="146"/>
                  <a:pt x="55" y="146"/>
                </a:cubicBezTo>
                <a:cubicBezTo>
                  <a:pt x="58" y="138"/>
                  <a:pt x="61" y="134"/>
                  <a:pt x="68" y="131"/>
                </a:cubicBezTo>
                <a:cubicBezTo>
                  <a:pt x="79" y="128"/>
                  <a:pt x="92" y="132"/>
                  <a:pt x="92" y="119"/>
                </a:cubicBezTo>
                <a:cubicBezTo>
                  <a:pt x="92" y="105"/>
                  <a:pt x="62" y="105"/>
                  <a:pt x="62" y="97"/>
                </a:cubicBezTo>
                <a:cubicBezTo>
                  <a:pt x="62" y="93"/>
                  <a:pt x="69" y="94"/>
                  <a:pt x="73" y="94"/>
                </a:cubicBezTo>
                <a:cubicBezTo>
                  <a:pt x="68" y="94"/>
                  <a:pt x="67" y="92"/>
                  <a:pt x="67" y="89"/>
                </a:cubicBezTo>
                <a:cubicBezTo>
                  <a:pt x="69" y="88"/>
                  <a:pt x="71" y="89"/>
                  <a:pt x="73" y="89"/>
                </a:cubicBezTo>
                <a:cubicBezTo>
                  <a:pt x="78" y="89"/>
                  <a:pt x="88" y="87"/>
                  <a:pt x="97" y="90"/>
                </a:cubicBezTo>
                <a:cubicBezTo>
                  <a:pt x="108" y="93"/>
                  <a:pt x="112" y="106"/>
                  <a:pt x="124" y="104"/>
                </a:cubicBezTo>
                <a:cubicBezTo>
                  <a:pt x="122" y="102"/>
                  <a:pt x="108" y="93"/>
                  <a:pt x="108" y="91"/>
                </a:cubicBezTo>
                <a:cubicBezTo>
                  <a:pt x="108" y="89"/>
                  <a:pt x="110" y="88"/>
                  <a:pt x="111" y="86"/>
                </a:cubicBezTo>
                <a:cubicBezTo>
                  <a:pt x="133" y="86"/>
                  <a:pt x="133" y="86"/>
                  <a:pt x="133" y="86"/>
                </a:cubicBezTo>
                <a:cubicBezTo>
                  <a:pt x="141" y="83"/>
                  <a:pt x="149" y="81"/>
                  <a:pt x="154" y="74"/>
                </a:cubicBezTo>
                <a:cubicBezTo>
                  <a:pt x="147" y="74"/>
                  <a:pt x="147" y="74"/>
                  <a:pt x="147" y="74"/>
                </a:cubicBezTo>
                <a:cubicBezTo>
                  <a:pt x="138" y="81"/>
                  <a:pt x="128" y="84"/>
                  <a:pt x="114" y="84"/>
                </a:cubicBezTo>
                <a:cubicBezTo>
                  <a:pt x="106" y="84"/>
                  <a:pt x="103" y="81"/>
                  <a:pt x="99" y="81"/>
                </a:cubicBezTo>
                <a:cubicBezTo>
                  <a:pt x="95" y="81"/>
                  <a:pt x="93" y="85"/>
                  <a:pt x="90" y="85"/>
                </a:cubicBezTo>
                <a:cubicBezTo>
                  <a:pt x="81" y="85"/>
                  <a:pt x="70" y="82"/>
                  <a:pt x="72" y="76"/>
                </a:cubicBezTo>
                <a:cubicBezTo>
                  <a:pt x="67" y="76"/>
                  <a:pt x="67" y="76"/>
                  <a:pt x="67" y="76"/>
                </a:cubicBezTo>
                <a:cubicBezTo>
                  <a:pt x="63" y="78"/>
                  <a:pt x="61" y="81"/>
                  <a:pt x="57" y="81"/>
                </a:cubicBezTo>
                <a:cubicBezTo>
                  <a:pt x="48" y="81"/>
                  <a:pt x="36" y="75"/>
                  <a:pt x="33" y="71"/>
                </a:cubicBezTo>
                <a:cubicBezTo>
                  <a:pt x="36" y="69"/>
                  <a:pt x="39" y="67"/>
                  <a:pt x="44" y="67"/>
                </a:cubicBezTo>
                <a:cubicBezTo>
                  <a:pt x="36" y="67"/>
                  <a:pt x="27" y="66"/>
                  <a:pt x="24" y="67"/>
                </a:cubicBezTo>
                <a:cubicBezTo>
                  <a:pt x="29" y="55"/>
                  <a:pt x="40" y="56"/>
                  <a:pt x="51" y="53"/>
                </a:cubicBezTo>
                <a:cubicBezTo>
                  <a:pt x="47" y="52"/>
                  <a:pt x="46" y="52"/>
                  <a:pt x="42" y="52"/>
                </a:cubicBezTo>
                <a:cubicBezTo>
                  <a:pt x="33" y="52"/>
                  <a:pt x="33" y="60"/>
                  <a:pt x="25" y="60"/>
                </a:cubicBezTo>
                <a:cubicBezTo>
                  <a:pt x="22" y="60"/>
                  <a:pt x="18" y="57"/>
                  <a:pt x="17" y="56"/>
                </a:cubicBezTo>
                <a:cubicBezTo>
                  <a:pt x="21" y="52"/>
                  <a:pt x="24" y="51"/>
                  <a:pt x="29" y="49"/>
                </a:cubicBezTo>
                <a:cubicBezTo>
                  <a:pt x="16" y="49"/>
                  <a:pt x="16" y="49"/>
                  <a:pt x="16" y="49"/>
                </a:cubicBezTo>
                <a:cubicBezTo>
                  <a:pt x="13" y="50"/>
                  <a:pt x="11" y="51"/>
                  <a:pt x="9" y="52"/>
                </a:cubicBezTo>
                <a:cubicBezTo>
                  <a:pt x="7" y="52"/>
                  <a:pt x="2" y="52"/>
                  <a:pt x="0" y="52"/>
                </a:cubicBezTo>
                <a:cubicBezTo>
                  <a:pt x="2" y="41"/>
                  <a:pt x="31" y="36"/>
                  <a:pt x="44" y="36"/>
                </a:cubicBezTo>
                <a:cubicBezTo>
                  <a:pt x="49" y="36"/>
                  <a:pt x="52" y="36"/>
                  <a:pt x="53" y="36"/>
                </a:cubicBezTo>
                <a:cubicBezTo>
                  <a:pt x="55" y="36"/>
                  <a:pt x="57" y="34"/>
                  <a:pt x="57" y="32"/>
                </a:cubicBezTo>
                <a:cubicBezTo>
                  <a:pt x="71" y="32"/>
                  <a:pt x="65" y="22"/>
                  <a:pt x="74" y="22"/>
                </a:cubicBezTo>
                <a:cubicBezTo>
                  <a:pt x="83" y="22"/>
                  <a:pt x="100" y="31"/>
                  <a:pt x="104" y="32"/>
                </a:cubicBezTo>
                <a:cubicBezTo>
                  <a:pt x="108" y="22"/>
                  <a:pt x="113" y="12"/>
                  <a:pt x="126" y="12"/>
                </a:cubicBezTo>
                <a:cubicBezTo>
                  <a:pt x="134" y="12"/>
                  <a:pt x="129" y="16"/>
                  <a:pt x="135" y="11"/>
                </a:cubicBezTo>
                <a:cubicBezTo>
                  <a:pt x="137" y="7"/>
                  <a:pt x="141" y="6"/>
                  <a:pt x="145" y="6"/>
                </a:cubicBezTo>
                <a:cubicBezTo>
                  <a:pt x="168" y="6"/>
                  <a:pt x="173" y="6"/>
                  <a:pt x="196" y="6"/>
                </a:cubicBezTo>
                <a:cubicBezTo>
                  <a:pt x="197" y="4"/>
                  <a:pt x="199" y="3"/>
                  <a:pt x="201" y="3"/>
                </a:cubicBezTo>
                <a:cubicBezTo>
                  <a:pt x="209" y="3"/>
                  <a:pt x="211" y="8"/>
                  <a:pt x="218" y="8"/>
                </a:cubicBezTo>
                <a:cubicBezTo>
                  <a:pt x="224" y="8"/>
                  <a:pt x="226" y="0"/>
                  <a:pt x="232" y="0"/>
                </a:cubicBezTo>
                <a:cubicBezTo>
                  <a:pt x="239" y="0"/>
                  <a:pt x="241" y="3"/>
                  <a:pt x="245" y="3"/>
                </a:cubicBezTo>
                <a:cubicBezTo>
                  <a:pt x="250" y="3"/>
                  <a:pt x="253" y="3"/>
                  <a:pt x="258" y="3"/>
                </a:cubicBezTo>
                <a:cubicBezTo>
                  <a:pt x="268" y="3"/>
                  <a:pt x="306" y="2"/>
                  <a:pt x="315" y="11"/>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68" name="Freeform 88" hidden="1">
            <a:extLst>
              <a:ext uri="{FF2B5EF4-FFF2-40B4-BE49-F238E27FC236}">
                <a16:creationId xmlns:a16="http://schemas.microsoft.com/office/drawing/2014/main" id="{00000000-0008-0000-0000-000044000000}"/>
              </a:ext>
            </a:extLst>
          </xdr:cNvPr>
          <xdr:cNvSpPr>
            <a:spLocks/>
          </xdr:cNvSpPr>
        </xdr:nvSpPr>
        <xdr:spPr bwMode="auto">
          <a:xfrm>
            <a:off x="3170238" y="960438"/>
            <a:ext cx="1006475" cy="765175"/>
          </a:xfrm>
          <a:custGeom>
            <a:avLst/>
            <a:gdLst/>
            <a:ahLst/>
            <a:cxnLst>
              <a:cxn ang="0">
                <a:pos x="280" y="372"/>
              </a:cxn>
              <a:cxn ang="0">
                <a:pos x="267" y="360"/>
              </a:cxn>
              <a:cxn ang="0">
                <a:pos x="228" y="336"/>
              </a:cxn>
              <a:cxn ang="0">
                <a:pos x="215" y="302"/>
              </a:cxn>
              <a:cxn ang="0">
                <a:pos x="109" y="219"/>
              </a:cxn>
              <a:cxn ang="0">
                <a:pos x="73" y="223"/>
              </a:cxn>
              <a:cxn ang="0">
                <a:pos x="43" y="217"/>
              </a:cxn>
              <a:cxn ang="0">
                <a:pos x="19" y="202"/>
              </a:cxn>
              <a:cxn ang="0">
                <a:pos x="51" y="190"/>
              </a:cxn>
              <a:cxn ang="0">
                <a:pos x="64" y="180"/>
              </a:cxn>
              <a:cxn ang="0">
                <a:pos x="0" y="166"/>
              </a:cxn>
              <a:cxn ang="0">
                <a:pos x="84" y="141"/>
              </a:cxn>
              <a:cxn ang="0">
                <a:pos x="72" y="102"/>
              </a:cxn>
              <a:cxn ang="0">
                <a:pos x="144" y="59"/>
              </a:cxn>
              <a:cxn ang="0">
                <a:pos x="237" y="56"/>
              </a:cxn>
              <a:cxn ang="0">
                <a:pos x="260" y="53"/>
              </a:cxn>
              <a:cxn ang="0">
                <a:pos x="274" y="38"/>
              </a:cxn>
              <a:cxn ang="0">
                <a:pos x="309" y="36"/>
              </a:cxn>
              <a:cxn ang="0">
                <a:pos x="355" y="15"/>
              </a:cxn>
              <a:cxn ang="0">
                <a:pos x="391" y="13"/>
              </a:cxn>
              <a:cxn ang="0">
                <a:pos x="534" y="0"/>
              </a:cxn>
              <a:cxn ang="0">
                <a:pos x="594" y="48"/>
              </a:cxn>
              <a:cxn ang="0">
                <a:pos x="570" y="75"/>
              </a:cxn>
              <a:cxn ang="0">
                <a:pos x="603" y="102"/>
              </a:cxn>
              <a:cxn ang="0">
                <a:pos x="684" y="66"/>
              </a:cxn>
              <a:cxn ang="0">
                <a:pos x="730" y="51"/>
              </a:cxn>
              <a:cxn ang="0">
                <a:pos x="702" y="94"/>
              </a:cxn>
              <a:cxn ang="0">
                <a:pos x="691" y="114"/>
              </a:cxn>
              <a:cxn ang="0">
                <a:pos x="654" y="150"/>
              </a:cxn>
              <a:cxn ang="0">
                <a:pos x="677" y="178"/>
              </a:cxn>
              <a:cxn ang="0">
                <a:pos x="657" y="202"/>
              </a:cxn>
              <a:cxn ang="0">
                <a:pos x="669" y="236"/>
              </a:cxn>
              <a:cxn ang="0">
                <a:pos x="673" y="260"/>
              </a:cxn>
              <a:cxn ang="0">
                <a:pos x="633" y="295"/>
              </a:cxn>
              <a:cxn ang="0">
                <a:pos x="637" y="305"/>
              </a:cxn>
              <a:cxn ang="0">
                <a:pos x="601" y="297"/>
              </a:cxn>
              <a:cxn ang="0">
                <a:pos x="633" y="358"/>
              </a:cxn>
              <a:cxn ang="0">
                <a:pos x="596" y="347"/>
              </a:cxn>
              <a:cxn ang="0">
                <a:pos x="616" y="375"/>
              </a:cxn>
              <a:cxn ang="0">
                <a:pos x="518" y="408"/>
              </a:cxn>
              <a:cxn ang="0">
                <a:pos x="483" y="445"/>
              </a:cxn>
              <a:cxn ang="0">
                <a:pos x="443" y="449"/>
              </a:cxn>
              <a:cxn ang="0">
                <a:pos x="402" y="485"/>
              </a:cxn>
              <a:cxn ang="0">
                <a:pos x="384" y="523"/>
              </a:cxn>
              <a:cxn ang="0">
                <a:pos x="362" y="571"/>
              </a:cxn>
              <a:cxn ang="0">
                <a:pos x="313" y="560"/>
              </a:cxn>
              <a:cxn ang="0">
                <a:pos x="270" y="499"/>
              </a:cxn>
              <a:cxn ang="0">
                <a:pos x="256" y="475"/>
              </a:cxn>
              <a:cxn ang="0">
                <a:pos x="237" y="438"/>
              </a:cxn>
              <a:cxn ang="0">
                <a:pos x="255" y="403"/>
              </a:cxn>
            </a:cxnLst>
            <a:rect l="0" t="0" r="r" b="b"/>
            <a:pathLst>
              <a:path w="756" h="575">
                <a:moveTo>
                  <a:pt x="255" y="403"/>
                </a:moveTo>
                <a:cubicBezTo>
                  <a:pt x="261" y="400"/>
                  <a:pt x="261" y="400"/>
                  <a:pt x="267" y="402"/>
                </a:cubicBezTo>
                <a:cubicBezTo>
                  <a:pt x="270" y="389"/>
                  <a:pt x="276" y="385"/>
                  <a:pt x="280" y="372"/>
                </a:cubicBezTo>
                <a:cubicBezTo>
                  <a:pt x="266" y="368"/>
                  <a:pt x="234" y="366"/>
                  <a:pt x="233" y="353"/>
                </a:cubicBezTo>
                <a:cubicBezTo>
                  <a:pt x="237" y="352"/>
                  <a:pt x="236" y="353"/>
                  <a:pt x="240" y="353"/>
                </a:cubicBezTo>
                <a:cubicBezTo>
                  <a:pt x="250" y="353"/>
                  <a:pt x="256" y="360"/>
                  <a:pt x="267" y="360"/>
                </a:cubicBezTo>
                <a:cubicBezTo>
                  <a:pt x="271" y="360"/>
                  <a:pt x="271" y="356"/>
                  <a:pt x="271" y="353"/>
                </a:cubicBezTo>
                <a:cubicBezTo>
                  <a:pt x="258" y="349"/>
                  <a:pt x="254" y="328"/>
                  <a:pt x="239" y="328"/>
                </a:cubicBezTo>
                <a:cubicBezTo>
                  <a:pt x="235" y="328"/>
                  <a:pt x="234" y="336"/>
                  <a:pt x="228" y="336"/>
                </a:cubicBezTo>
                <a:cubicBezTo>
                  <a:pt x="220" y="336"/>
                  <a:pt x="216" y="335"/>
                  <a:pt x="216" y="328"/>
                </a:cubicBezTo>
                <a:cubicBezTo>
                  <a:pt x="216" y="318"/>
                  <a:pt x="226" y="319"/>
                  <a:pt x="226" y="309"/>
                </a:cubicBezTo>
                <a:cubicBezTo>
                  <a:pt x="226" y="303"/>
                  <a:pt x="219" y="302"/>
                  <a:pt x="215" y="302"/>
                </a:cubicBezTo>
                <a:cubicBezTo>
                  <a:pt x="215" y="295"/>
                  <a:pt x="215" y="295"/>
                  <a:pt x="215" y="295"/>
                </a:cubicBezTo>
                <a:cubicBezTo>
                  <a:pt x="203" y="257"/>
                  <a:pt x="172" y="219"/>
                  <a:pt x="122" y="219"/>
                </a:cubicBezTo>
                <a:cubicBezTo>
                  <a:pt x="115" y="219"/>
                  <a:pt x="113" y="219"/>
                  <a:pt x="109" y="219"/>
                </a:cubicBezTo>
                <a:cubicBezTo>
                  <a:pt x="103" y="219"/>
                  <a:pt x="101" y="224"/>
                  <a:pt x="95" y="224"/>
                </a:cubicBezTo>
                <a:cubicBezTo>
                  <a:pt x="91" y="224"/>
                  <a:pt x="87" y="221"/>
                  <a:pt x="82" y="221"/>
                </a:cubicBezTo>
                <a:cubicBezTo>
                  <a:pt x="77" y="221"/>
                  <a:pt x="75" y="222"/>
                  <a:pt x="73" y="223"/>
                </a:cubicBezTo>
                <a:cubicBezTo>
                  <a:pt x="74" y="224"/>
                  <a:pt x="76" y="226"/>
                  <a:pt x="77" y="226"/>
                </a:cubicBezTo>
                <a:cubicBezTo>
                  <a:pt x="75" y="229"/>
                  <a:pt x="75" y="228"/>
                  <a:pt x="72" y="228"/>
                </a:cubicBezTo>
                <a:cubicBezTo>
                  <a:pt x="62" y="228"/>
                  <a:pt x="48" y="224"/>
                  <a:pt x="43" y="217"/>
                </a:cubicBezTo>
                <a:cubicBezTo>
                  <a:pt x="47" y="214"/>
                  <a:pt x="50" y="214"/>
                  <a:pt x="52" y="210"/>
                </a:cubicBezTo>
                <a:cubicBezTo>
                  <a:pt x="45" y="207"/>
                  <a:pt x="39" y="202"/>
                  <a:pt x="34" y="202"/>
                </a:cubicBezTo>
                <a:cubicBezTo>
                  <a:pt x="24" y="202"/>
                  <a:pt x="27" y="206"/>
                  <a:pt x="19" y="202"/>
                </a:cubicBezTo>
                <a:cubicBezTo>
                  <a:pt x="19" y="196"/>
                  <a:pt x="28" y="194"/>
                  <a:pt x="32" y="194"/>
                </a:cubicBezTo>
                <a:cubicBezTo>
                  <a:pt x="37" y="194"/>
                  <a:pt x="40" y="194"/>
                  <a:pt x="43" y="194"/>
                </a:cubicBezTo>
                <a:cubicBezTo>
                  <a:pt x="47" y="194"/>
                  <a:pt x="49" y="193"/>
                  <a:pt x="51" y="190"/>
                </a:cubicBezTo>
                <a:cubicBezTo>
                  <a:pt x="76" y="190"/>
                  <a:pt x="76" y="190"/>
                  <a:pt x="76" y="190"/>
                </a:cubicBezTo>
                <a:cubicBezTo>
                  <a:pt x="80" y="187"/>
                  <a:pt x="80" y="185"/>
                  <a:pt x="82" y="180"/>
                </a:cubicBezTo>
                <a:cubicBezTo>
                  <a:pt x="64" y="180"/>
                  <a:pt x="64" y="180"/>
                  <a:pt x="64" y="180"/>
                </a:cubicBezTo>
                <a:cubicBezTo>
                  <a:pt x="63" y="183"/>
                  <a:pt x="62" y="185"/>
                  <a:pt x="60" y="185"/>
                </a:cubicBezTo>
                <a:cubicBezTo>
                  <a:pt x="53" y="185"/>
                  <a:pt x="50" y="185"/>
                  <a:pt x="44" y="185"/>
                </a:cubicBezTo>
                <a:cubicBezTo>
                  <a:pt x="42" y="185"/>
                  <a:pt x="0" y="173"/>
                  <a:pt x="0" y="166"/>
                </a:cubicBezTo>
                <a:cubicBezTo>
                  <a:pt x="0" y="152"/>
                  <a:pt x="16" y="157"/>
                  <a:pt x="25" y="154"/>
                </a:cubicBezTo>
                <a:cubicBezTo>
                  <a:pt x="33" y="151"/>
                  <a:pt x="38" y="146"/>
                  <a:pt x="46" y="144"/>
                </a:cubicBezTo>
                <a:cubicBezTo>
                  <a:pt x="58" y="140"/>
                  <a:pt x="74" y="146"/>
                  <a:pt x="84" y="141"/>
                </a:cubicBezTo>
                <a:cubicBezTo>
                  <a:pt x="91" y="136"/>
                  <a:pt x="96" y="128"/>
                  <a:pt x="96" y="117"/>
                </a:cubicBezTo>
                <a:cubicBezTo>
                  <a:pt x="88" y="116"/>
                  <a:pt x="63" y="117"/>
                  <a:pt x="63" y="109"/>
                </a:cubicBezTo>
                <a:cubicBezTo>
                  <a:pt x="63" y="105"/>
                  <a:pt x="69" y="102"/>
                  <a:pt x="72" y="102"/>
                </a:cubicBezTo>
                <a:cubicBezTo>
                  <a:pt x="87" y="97"/>
                  <a:pt x="106" y="86"/>
                  <a:pt x="115" y="78"/>
                </a:cubicBezTo>
                <a:cubicBezTo>
                  <a:pt x="119" y="80"/>
                  <a:pt x="122" y="81"/>
                  <a:pt x="127" y="81"/>
                </a:cubicBezTo>
                <a:cubicBezTo>
                  <a:pt x="142" y="81"/>
                  <a:pt x="130" y="61"/>
                  <a:pt x="144" y="59"/>
                </a:cubicBezTo>
                <a:cubicBezTo>
                  <a:pt x="162" y="57"/>
                  <a:pt x="169" y="52"/>
                  <a:pt x="185" y="52"/>
                </a:cubicBezTo>
                <a:cubicBezTo>
                  <a:pt x="198" y="49"/>
                  <a:pt x="206" y="42"/>
                  <a:pt x="218" y="42"/>
                </a:cubicBezTo>
                <a:cubicBezTo>
                  <a:pt x="226" y="42"/>
                  <a:pt x="229" y="56"/>
                  <a:pt x="237" y="56"/>
                </a:cubicBezTo>
                <a:cubicBezTo>
                  <a:pt x="237" y="52"/>
                  <a:pt x="235" y="50"/>
                  <a:pt x="235" y="47"/>
                </a:cubicBezTo>
                <a:cubicBezTo>
                  <a:pt x="239" y="42"/>
                  <a:pt x="239" y="42"/>
                  <a:pt x="239" y="42"/>
                </a:cubicBezTo>
                <a:cubicBezTo>
                  <a:pt x="244" y="51"/>
                  <a:pt x="252" y="50"/>
                  <a:pt x="260" y="53"/>
                </a:cubicBezTo>
                <a:cubicBezTo>
                  <a:pt x="262" y="53"/>
                  <a:pt x="267" y="53"/>
                  <a:pt x="267" y="53"/>
                </a:cubicBezTo>
                <a:cubicBezTo>
                  <a:pt x="266" y="50"/>
                  <a:pt x="263" y="47"/>
                  <a:pt x="263" y="44"/>
                </a:cubicBezTo>
                <a:cubicBezTo>
                  <a:pt x="263" y="38"/>
                  <a:pt x="270" y="38"/>
                  <a:pt x="274" y="38"/>
                </a:cubicBezTo>
                <a:cubicBezTo>
                  <a:pt x="293" y="38"/>
                  <a:pt x="303" y="48"/>
                  <a:pt x="314" y="53"/>
                </a:cubicBezTo>
                <a:cubicBezTo>
                  <a:pt x="334" y="53"/>
                  <a:pt x="334" y="53"/>
                  <a:pt x="334" y="53"/>
                </a:cubicBezTo>
                <a:cubicBezTo>
                  <a:pt x="327" y="50"/>
                  <a:pt x="309" y="44"/>
                  <a:pt x="309" y="36"/>
                </a:cubicBezTo>
                <a:cubicBezTo>
                  <a:pt x="309" y="29"/>
                  <a:pt x="322" y="31"/>
                  <a:pt x="326" y="30"/>
                </a:cubicBezTo>
                <a:cubicBezTo>
                  <a:pt x="323" y="27"/>
                  <a:pt x="320" y="27"/>
                  <a:pt x="318" y="24"/>
                </a:cubicBezTo>
                <a:cubicBezTo>
                  <a:pt x="330" y="18"/>
                  <a:pt x="341" y="15"/>
                  <a:pt x="355" y="15"/>
                </a:cubicBezTo>
                <a:cubicBezTo>
                  <a:pt x="366" y="15"/>
                  <a:pt x="373" y="15"/>
                  <a:pt x="382" y="18"/>
                </a:cubicBezTo>
                <a:cubicBezTo>
                  <a:pt x="391" y="18"/>
                  <a:pt x="391" y="18"/>
                  <a:pt x="391" y="18"/>
                </a:cubicBezTo>
                <a:cubicBezTo>
                  <a:pt x="391" y="13"/>
                  <a:pt x="391" y="13"/>
                  <a:pt x="391" y="13"/>
                </a:cubicBezTo>
                <a:cubicBezTo>
                  <a:pt x="398" y="12"/>
                  <a:pt x="402" y="13"/>
                  <a:pt x="409" y="13"/>
                </a:cubicBezTo>
                <a:cubicBezTo>
                  <a:pt x="430" y="13"/>
                  <a:pt x="447" y="0"/>
                  <a:pt x="470" y="0"/>
                </a:cubicBezTo>
                <a:cubicBezTo>
                  <a:pt x="495" y="0"/>
                  <a:pt x="512" y="0"/>
                  <a:pt x="534" y="0"/>
                </a:cubicBezTo>
                <a:cubicBezTo>
                  <a:pt x="560" y="0"/>
                  <a:pt x="579" y="17"/>
                  <a:pt x="600" y="26"/>
                </a:cubicBezTo>
                <a:cubicBezTo>
                  <a:pt x="612" y="31"/>
                  <a:pt x="627" y="28"/>
                  <a:pt x="638" y="30"/>
                </a:cubicBezTo>
                <a:cubicBezTo>
                  <a:pt x="636" y="46"/>
                  <a:pt x="606" y="44"/>
                  <a:pt x="594" y="48"/>
                </a:cubicBezTo>
                <a:cubicBezTo>
                  <a:pt x="497" y="53"/>
                  <a:pt x="497" y="53"/>
                  <a:pt x="497" y="53"/>
                </a:cubicBezTo>
                <a:cubicBezTo>
                  <a:pt x="505" y="59"/>
                  <a:pt x="579" y="50"/>
                  <a:pt x="587" y="53"/>
                </a:cubicBezTo>
                <a:cubicBezTo>
                  <a:pt x="586" y="57"/>
                  <a:pt x="567" y="75"/>
                  <a:pt x="570" y="75"/>
                </a:cubicBezTo>
                <a:cubicBezTo>
                  <a:pt x="581" y="75"/>
                  <a:pt x="607" y="50"/>
                  <a:pt x="622" y="50"/>
                </a:cubicBezTo>
                <a:cubicBezTo>
                  <a:pt x="630" y="50"/>
                  <a:pt x="633" y="57"/>
                  <a:pt x="633" y="64"/>
                </a:cubicBezTo>
                <a:cubicBezTo>
                  <a:pt x="633" y="67"/>
                  <a:pt x="605" y="97"/>
                  <a:pt x="603" y="102"/>
                </a:cubicBezTo>
                <a:cubicBezTo>
                  <a:pt x="615" y="99"/>
                  <a:pt x="637" y="70"/>
                  <a:pt x="644" y="64"/>
                </a:cubicBezTo>
                <a:cubicBezTo>
                  <a:pt x="655" y="64"/>
                  <a:pt x="674" y="64"/>
                  <a:pt x="674" y="64"/>
                </a:cubicBezTo>
                <a:cubicBezTo>
                  <a:pt x="674" y="64"/>
                  <a:pt x="682" y="66"/>
                  <a:pt x="684" y="66"/>
                </a:cubicBezTo>
                <a:cubicBezTo>
                  <a:pt x="692" y="63"/>
                  <a:pt x="693" y="60"/>
                  <a:pt x="700" y="57"/>
                </a:cubicBezTo>
                <a:cubicBezTo>
                  <a:pt x="721" y="57"/>
                  <a:pt x="721" y="57"/>
                  <a:pt x="721" y="57"/>
                </a:cubicBezTo>
                <a:cubicBezTo>
                  <a:pt x="723" y="52"/>
                  <a:pt x="726" y="51"/>
                  <a:pt x="730" y="51"/>
                </a:cubicBezTo>
                <a:cubicBezTo>
                  <a:pt x="736" y="51"/>
                  <a:pt x="756" y="61"/>
                  <a:pt x="756" y="67"/>
                </a:cubicBezTo>
                <a:cubicBezTo>
                  <a:pt x="756" y="72"/>
                  <a:pt x="748" y="76"/>
                  <a:pt x="745" y="77"/>
                </a:cubicBezTo>
                <a:cubicBezTo>
                  <a:pt x="731" y="82"/>
                  <a:pt x="722" y="94"/>
                  <a:pt x="702" y="94"/>
                </a:cubicBezTo>
                <a:cubicBezTo>
                  <a:pt x="707" y="97"/>
                  <a:pt x="708" y="97"/>
                  <a:pt x="711" y="94"/>
                </a:cubicBezTo>
                <a:cubicBezTo>
                  <a:pt x="711" y="107"/>
                  <a:pt x="699" y="107"/>
                  <a:pt x="691" y="109"/>
                </a:cubicBezTo>
                <a:cubicBezTo>
                  <a:pt x="694" y="115"/>
                  <a:pt x="691" y="110"/>
                  <a:pt x="691" y="114"/>
                </a:cubicBezTo>
                <a:cubicBezTo>
                  <a:pt x="691" y="121"/>
                  <a:pt x="680" y="123"/>
                  <a:pt x="671" y="125"/>
                </a:cubicBezTo>
                <a:cubicBezTo>
                  <a:pt x="672" y="130"/>
                  <a:pt x="671" y="130"/>
                  <a:pt x="671" y="132"/>
                </a:cubicBezTo>
                <a:cubicBezTo>
                  <a:pt x="671" y="141"/>
                  <a:pt x="662" y="144"/>
                  <a:pt x="654" y="150"/>
                </a:cubicBezTo>
                <a:cubicBezTo>
                  <a:pt x="648" y="154"/>
                  <a:pt x="649" y="165"/>
                  <a:pt x="646" y="169"/>
                </a:cubicBezTo>
                <a:cubicBezTo>
                  <a:pt x="651" y="172"/>
                  <a:pt x="655" y="169"/>
                  <a:pt x="659" y="169"/>
                </a:cubicBezTo>
                <a:cubicBezTo>
                  <a:pt x="667" y="169"/>
                  <a:pt x="673" y="174"/>
                  <a:pt x="677" y="178"/>
                </a:cubicBezTo>
                <a:cubicBezTo>
                  <a:pt x="675" y="179"/>
                  <a:pt x="672" y="180"/>
                  <a:pt x="669" y="180"/>
                </a:cubicBezTo>
                <a:cubicBezTo>
                  <a:pt x="671" y="187"/>
                  <a:pt x="688" y="185"/>
                  <a:pt x="688" y="196"/>
                </a:cubicBezTo>
                <a:cubicBezTo>
                  <a:pt x="688" y="206"/>
                  <a:pt x="665" y="202"/>
                  <a:pt x="657" y="202"/>
                </a:cubicBezTo>
                <a:cubicBezTo>
                  <a:pt x="652" y="202"/>
                  <a:pt x="648" y="206"/>
                  <a:pt x="648" y="209"/>
                </a:cubicBezTo>
                <a:cubicBezTo>
                  <a:pt x="648" y="217"/>
                  <a:pt x="656" y="217"/>
                  <a:pt x="663" y="217"/>
                </a:cubicBezTo>
                <a:cubicBezTo>
                  <a:pt x="663" y="226"/>
                  <a:pt x="669" y="229"/>
                  <a:pt x="669" y="236"/>
                </a:cubicBezTo>
                <a:cubicBezTo>
                  <a:pt x="669" y="239"/>
                  <a:pt x="667" y="243"/>
                  <a:pt x="669" y="245"/>
                </a:cubicBezTo>
                <a:cubicBezTo>
                  <a:pt x="662" y="245"/>
                  <a:pt x="655" y="245"/>
                  <a:pt x="655" y="251"/>
                </a:cubicBezTo>
                <a:cubicBezTo>
                  <a:pt x="655" y="258"/>
                  <a:pt x="667" y="258"/>
                  <a:pt x="673" y="260"/>
                </a:cubicBezTo>
                <a:cubicBezTo>
                  <a:pt x="670" y="267"/>
                  <a:pt x="661" y="271"/>
                  <a:pt x="653" y="272"/>
                </a:cubicBezTo>
                <a:cubicBezTo>
                  <a:pt x="653" y="275"/>
                  <a:pt x="655" y="277"/>
                  <a:pt x="657" y="278"/>
                </a:cubicBezTo>
                <a:cubicBezTo>
                  <a:pt x="654" y="292"/>
                  <a:pt x="637" y="286"/>
                  <a:pt x="633" y="295"/>
                </a:cubicBezTo>
                <a:cubicBezTo>
                  <a:pt x="628" y="292"/>
                  <a:pt x="623" y="290"/>
                  <a:pt x="620" y="285"/>
                </a:cubicBezTo>
                <a:cubicBezTo>
                  <a:pt x="613" y="285"/>
                  <a:pt x="613" y="285"/>
                  <a:pt x="613" y="285"/>
                </a:cubicBezTo>
                <a:cubicBezTo>
                  <a:pt x="618" y="297"/>
                  <a:pt x="637" y="293"/>
                  <a:pt x="637" y="305"/>
                </a:cubicBezTo>
                <a:cubicBezTo>
                  <a:pt x="637" y="310"/>
                  <a:pt x="636" y="317"/>
                  <a:pt x="631" y="317"/>
                </a:cubicBezTo>
                <a:cubicBezTo>
                  <a:pt x="623" y="317"/>
                  <a:pt x="609" y="306"/>
                  <a:pt x="607" y="297"/>
                </a:cubicBezTo>
                <a:cubicBezTo>
                  <a:pt x="603" y="298"/>
                  <a:pt x="602" y="297"/>
                  <a:pt x="601" y="297"/>
                </a:cubicBezTo>
                <a:cubicBezTo>
                  <a:pt x="601" y="304"/>
                  <a:pt x="601" y="304"/>
                  <a:pt x="601" y="304"/>
                </a:cubicBezTo>
                <a:cubicBezTo>
                  <a:pt x="617" y="320"/>
                  <a:pt x="645" y="327"/>
                  <a:pt x="645" y="352"/>
                </a:cubicBezTo>
                <a:cubicBezTo>
                  <a:pt x="645" y="357"/>
                  <a:pt x="638" y="358"/>
                  <a:pt x="633" y="358"/>
                </a:cubicBezTo>
                <a:cubicBezTo>
                  <a:pt x="612" y="358"/>
                  <a:pt x="617" y="336"/>
                  <a:pt x="599" y="336"/>
                </a:cubicBezTo>
                <a:cubicBezTo>
                  <a:pt x="596" y="336"/>
                  <a:pt x="594" y="337"/>
                  <a:pt x="592" y="336"/>
                </a:cubicBezTo>
                <a:cubicBezTo>
                  <a:pt x="592" y="342"/>
                  <a:pt x="596" y="343"/>
                  <a:pt x="596" y="347"/>
                </a:cubicBezTo>
                <a:cubicBezTo>
                  <a:pt x="596" y="351"/>
                  <a:pt x="589" y="352"/>
                  <a:pt x="587" y="352"/>
                </a:cubicBezTo>
                <a:cubicBezTo>
                  <a:pt x="587" y="366"/>
                  <a:pt x="626" y="364"/>
                  <a:pt x="635" y="367"/>
                </a:cubicBezTo>
                <a:cubicBezTo>
                  <a:pt x="629" y="372"/>
                  <a:pt x="624" y="373"/>
                  <a:pt x="616" y="375"/>
                </a:cubicBezTo>
                <a:cubicBezTo>
                  <a:pt x="602" y="380"/>
                  <a:pt x="597" y="393"/>
                  <a:pt x="584" y="397"/>
                </a:cubicBezTo>
                <a:cubicBezTo>
                  <a:pt x="569" y="402"/>
                  <a:pt x="556" y="400"/>
                  <a:pt x="539" y="408"/>
                </a:cubicBezTo>
                <a:cubicBezTo>
                  <a:pt x="518" y="408"/>
                  <a:pt x="518" y="408"/>
                  <a:pt x="518" y="408"/>
                </a:cubicBezTo>
                <a:cubicBezTo>
                  <a:pt x="514" y="410"/>
                  <a:pt x="510" y="412"/>
                  <a:pt x="510" y="415"/>
                </a:cubicBezTo>
                <a:cubicBezTo>
                  <a:pt x="498" y="423"/>
                  <a:pt x="498" y="423"/>
                  <a:pt x="498" y="423"/>
                </a:cubicBezTo>
                <a:cubicBezTo>
                  <a:pt x="490" y="430"/>
                  <a:pt x="490" y="438"/>
                  <a:pt x="483" y="445"/>
                </a:cubicBezTo>
                <a:cubicBezTo>
                  <a:pt x="474" y="454"/>
                  <a:pt x="459" y="452"/>
                  <a:pt x="450" y="458"/>
                </a:cubicBezTo>
                <a:cubicBezTo>
                  <a:pt x="443" y="458"/>
                  <a:pt x="443" y="458"/>
                  <a:pt x="443" y="458"/>
                </a:cubicBezTo>
                <a:cubicBezTo>
                  <a:pt x="443" y="449"/>
                  <a:pt x="443" y="449"/>
                  <a:pt x="443" y="449"/>
                </a:cubicBezTo>
                <a:cubicBezTo>
                  <a:pt x="437" y="452"/>
                  <a:pt x="438" y="457"/>
                  <a:pt x="435" y="460"/>
                </a:cubicBezTo>
                <a:cubicBezTo>
                  <a:pt x="425" y="470"/>
                  <a:pt x="401" y="466"/>
                  <a:pt x="401" y="480"/>
                </a:cubicBezTo>
                <a:cubicBezTo>
                  <a:pt x="401" y="482"/>
                  <a:pt x="402" y="483"/>
                  <a:pt x="402" y="485"/>
                </a:cubicBezTo>
                <a:cubicBezTo>
                  <a:pt x="401" y="486"/>
                  <a:pt x="399" y="488"/>
                  <a:pt x="399" y="490"/>
                </a:cubicBezTo>
                <a:cubicBezTo>
                  <a:pt x="399" y="493"/>
                  <a:pt x="405" y="495"/>
                  <a:pt x="405" y="500"/>
                </a:cubicBezTo>
                <a:cubicBezTo>
                  <a:pt x="405" y="515"/>
                  <a:pt x="384" y="510"/>
                  <a:pt x="384" y="523"/>
                </a:cubicBezTo>
                <a:cubicBezTo>
                  <a:pt x="384" y="531"/>
                  <a:pt x="383" y="543"/>
                  <a:pt x="384" y="547"/>
                </a:cubicBezTo>
                <a:cubicBezTo>
                  <a:pt x="374" y="552"/>
                  <a:pt x="379" y="575"/>
                  <a:pt x="367" y="575"/>
                </a:cubicBezTo>
                <a:cubicBezTo>
                  <a:pt x="364" y="575"/>
                  <a:pt x="363" y="573"/>
                  <a:pt x="362" y="571"/>
                </a:cubicBezTo>
                <a:cubicBezTo>
                  <a:pt x="356" y="571"/>
                  <a:pt x="356" y="574"/>
                  <a:pt x="353" y="574"/>
                </a:cubicBezTo>
                <a:cubicBezTo>
                  <a:pt x="342" y="574"/>
                  <a:pt x="343" y="554"/>
                  <a:pt x="332" y="554"/>
                </a:cubicBezTo>
                <a:cubicBezTo>
                  <a:pt x="326" y="554"/>
                  <a:pt x="319" y="559"/>
                  <a:pt x="313" y="560"/>
                </a:cubicBezTo>
                <a:cubicBezTo>
                  <a:pt x="310" y="550"/>
                  <a:pt x="306" y="553"/>
                  <a:pt x="299" y="547"/>
                </a:cubicBezTo>
                <a:cubicBezTo>
                  <a:pt x="296" y="546"/>
                  <a:pt x="297" y="539"/>
                  <a:pt x="296" y="539"/>
                </a:cubicBezTo>
                <a:cubicBezTo>
                  <a:pt x="287" y="531"/>
                  <a:pt x="270" y="512"/>
                  <a:pt x="270" y="499"/>
                </a:cubicBezTo>
                <a:cubicBezTo>
                  <a:pt x="270" y="493"/>
                  <a:pt x="274" y="494"/>
                  <a:pt x="277" y="490"/>
                </a:cubicBezTo>
                <a:cubicBezTo>
                  <a:pt x="270" y="482"/>
                  <a:pt x="268" y="493"/>
                  <a:pt x="260" y="489"/>
                </a:cubicBezTo>
                <a:cubicBezTo>
                  <a:pt x="259" y="487"/>
                  <a:pt x="257" y="479"/>
                  <a:pt x="256" y="475"/>
                </a:cubicBezTo>
                <a:cubicBezTo>
                  <a:pt x="253" y="466"/>
                  <a:pt x="241" y="461"/>
                  <a:pt x="241" y="449"/>
                </a:cubicBezTo>
                <a:cubicBezTo>
                  <a:pt x="241" y="445"/>
                  <a:pt x="244" y="443"/>
                  <a:pt x="246" y="438"/>
                </a:cubicBezTo>
                <a:cubicBezTo>
                  <a:pt x="243" y="437"/>
                  <a:pt x="240" y="436"/>
                  <a:pt x="237" y="438"/>
                </a:cubicBezTo>
                <a:cubicBezTo>
                  <a:pt x="237" y="428"/>
                  <a:pt x="237" y="428"/>
                  <a:pt x="237" y="428"/>
                </a:cubicBezTo>
                <a:cubicBezTo>
                  <a:pt x="243" y="420"/>
                  <a:pt x="246" y="411"/>
                  <a:pt x="255" y="404"/>
                </a:cubicBezTo>
                <a:lnTo>
                  <a:pt x="255" y="403"/>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69" name="Freeform 89" hidden="1">
            <a:extLst>
              <a:ext uri="{FF2B5EF4-FFF2-40B4-BE49-F238E27FC236}">
                <a16:creationId xmlns:a16="http://schemas.microsoft.com/office/drawing/2014/main" id="{00000000-0008-0000-0000-000045000000}"/>
              </a:ext>
            </a:extLst>
          </xdr:cNvPr>
          <xdr:cNvSpPr>
            <a:spLocks/>
          </xdr:cNvSpPr>
        </xdr:nvSpPr>
        <xdr:spPr bwMode="auto">
          <a:xfrm>
            <a:off x="3470275" y="1443038"/>
            <a:ext cx="47625" cy="31750"/>
          </a:xfrm>
          <a:custGeom>
            <a:avLst/>
            <a:gdLst/>
            <a:ahLst/>
            <a:cxnLst>
              <a:cxn ang="0">
                <a:pos x="9" y="24"/>
              </a:cxn>
              <a:cxn ang="0">
                <a:pos x="0" y="9"/>
              </a:cxn>
              <a:cxn ang="0">
                <a:pos x="10" y="0"/>
              </a:cxn>
              <a:cxn ang="0">
                <a:pos x="36" y="16"/>
              </a:cxn>
              <a:cxn ang="0">
                <a:pos x="19" y="24"/>
              </a:cxn>
              <a:cxn ang="0">
                <a:pos x="9" y="24"/>
              </a:cxn>
            </a:cxnLst>
            <a:rect l="0" t="0" r="r" b="b"/>
            <a:pathLst>
              <a:path w="36" h="24">
                <a:moveTo>
                  <a:pt x="9" y="24"/>
                </a:moveTo>
                <a:cubicBezTo>
                  <a:pt x="5" y="24"/>
                  <a:pt x="0" y="14"/>
                  <a:pt x="0" y="9"/>
                </a:cubicBezTo>
                <a:cubicBezTo>
                  <a:pt x="0" y="2"/>
                  <a:pt x="6" y="0"/>
                  <a:pt x="10" y="0"/>
                </a:cubicBezTo>
                <a:cubicBezTo>
                  <a:pt x="21" y="0"/>
                  <a:pt x="25" y="12"/>
                  <a:pt x="36" y="16"/>
                </a:cubicBezTo>
                <a:cubicBezTo>
                  <a:pt x="35" y="23"/>
                  <a:pt x="26" y="24"/>
                  <a:pt x="19" y="24"/>
                </a:cubicBezTo>
                <a:lnTo>
                  <a:pt x="9" y="24"/>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70" name="Freeform 90" hidden="1">
            <a:extLst>
              <a:ext uri="{FF2B5EF4-FFF2-40B4-BE49-F238E27FC236}">
                <a16:creationId xmlns:a16="http://schemas.microsoft.com/office/drawing/2014/main" id="{00000000-0008-0000-0000-000046000000}"/>
              </a:ext>
            </a:extLst>
          </xdr:cNvPr>
          <xdr:cNvSpPr>
            <a:spLocks/>
          </xdr:cNvSpPr>
        </xdr:nvSpPr>
        <xdr:spPr bwMode="auto">
          <a:xfrm>
            <a:off x="4070350" y="1277938"/>
            <a:ext cx="26988" cy="15875"/>
          </a:xfrm>
          <a:custGeom>
            <a:avLst/>
            <a:gdLst/>
            <a:ahLst/>
            <a:cxnLst>
              <a:cxn ang="0">
                <a:pos x="6" y="12"/>
              </a:cxn>
              <a:cxn ang="0">
                <a:pos x="0" y="5"/>
              </a:cxn>
              <a:cxn ang="0">
                <a:pos x="4" y="0"/>
              </a:cxn>
              <a:cxn ang="0">
                <a:pos x="12" y="0"/>
              </a:cxn>
              <a:cxn ang="0">
                <a:pos x="12" y="5"/>
              </a:cxn>
              <a:cxn ang="0">
                <a:pos x="20" y="5"/>
              </a:cxn>
              <a:cxn ang="0">
                <a:pos x="6" y="12"/>
              </a:cxn>
            </a:cxnLst>
            <a:rect l="0" t="0" r="r" b="b"/>
            <a:pathLst>
              <a:path w="20" h="12">
                <a:moveTo>
                  <a:pt x="6" y="12"/>
                </a:moveTo>
                <a:cubicBezTo>
                  <a:pt x="2" y="12"/>
                  <a:pt x="0" y="8"/>
                  <a:pt x="0" y="5"/>
                </a:cubicBezTo>
                <a:cubicBezTo>
                  <a:pt x="0" y="3"/>
                  <a:pt x="3" y="1"/>
                  <a:pt x="4" y="0"/>
                </a:cubicBezTo>
                <a:cubicBezTo>
                  <a:pt x="12" y="0"/>
                  <a:pt x="12" y="0"/>
                  <a:pt x="12" y="0"/>
                </a:cubicBezTo>
                <a:cubicBezTo>
                  <a:pt x="12" y="3"/>
                  <a:pt x="12" y="4"/>
                  <a:pt x="12" y="5"/>
                </a:cubicBezTo>
                <a:cubicBezTo>
                  <a:pt x="20" y="5"/>
                  <a:pt x="20" y="5"/>
                  <a:pt x="20" y="5"/>
                </a:cubicBezTo>
                <a:cubicBezTo>
                  <a:pt x="17" y="7"/>
                  <a:pt x="10" y="12"/>
                  <a:pt x="6" y="12"/>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71" name="Freeform 91" hidden="1">
            <a:extLst>
              <a:ext uri="{FF2B5EF4-FFF2-40B4-BE49-F238E27FC236}">
                <a16:creationId xmlns:a16="http://schemas.microsoft.com/office/drawing/2014/main" id="{00000000-0008-0000-0000-000047000000}"/>
              </a:ext>
            </a:extLst>
          </xdr:cNvPr>
          <xdr:cNvSpPr>
            <a:spLocks/>
          </xdr:cNvSpPr>
        </xdr:nvSpPr>
        <xdr:spPr bwMode="auto">
          <a:xfrm>
            <a:off x="3397250" y="1928813"/>
            <a:ext cx="109538" cy="106363"/>
          </a:xfrm>
          <a:custGeom>
            <a:avLst/>
            <a:gdLst/>
            <a:ahLst/>
            <a:cxnLst>
              <a:cxn ang="0">
                <a:pos x="4" y="67"/>
              </a:cxn>
              <a:cxn ang="0">
                <a:pos x="0" y="62"/>
              </a:cxn>
              <a:cxn ang="0">
                <a:pos x="8" y="54"/>
              </a:cxn>
              <a:cxn ang="0">
                <a:pos x="8" y="51"/>
              </a:cxn>
              <a:cxn ang="0">
                <a:pos x="4" y="49"/>
              </a:cxn>
              <a:cxn ang="0">
                <a:pos x="28" y="13"/>
              </a:cxn>
              <a:cxn ang="0">
                <a:pos x="41" y="0"/>
              </a:cxn>
              <a:cxn ang="0">
                <a:pos x="44" y="4"/>
              </a:cxn>
              <a:cxn ang="0">
                <a:pos x="32" y="27"/>
              </a:cxn>
              <a:cxn ang="0">
                <a:pos x="32" y="31"/>
              </a:cxn>
              <a:cxn ang="0">
                <a:pos x="39" y="27"/>
              </a:cxn>
              <a:cxn ang="0">
                <a:pos x="46" y="29"/>
              </a:cxn>
              <a:cxn ang="0">
                <a:pos x="44" y="32"/>
              </a:cxn>
              <a:cxn ang="0">
                <a:pos x="44" y="36"/>
              </a:cxn>
              <a:cxn ang="0">
                <a:pos x="52" y="36"/>
              </a:cxn>
              <a:cxn ang="0">
                <a:pos x="52" y="38"/>
              </a:cxn>
              <a:cxn ang="0">
                <a:pos x="57" y="36"/>
              </a:cxn>
              <a:cxn ang="0">
                <a:pos x="70" y="36"/>
              </a:cxn>
              <a:cxn ang="0">
                <a:pos x="69" y="51"/>
              </a:cxn>
              <a:cxn ang="0">
                <a:pos x="74" y="49"/>
              </a:cxn>
              <a:cxn ang="0">
                <a:pos x="70" y="56"/>
              </a:cxn>
              <a:cxn ang="0">
                <a:pos x="73" y="63"/>
              </a:cxn>
              <a:cxn ang="0">
                <a:pos x="79" y="60"/>
              </a:cxn>
              <a:cxn ang="0">
                <a:pos x="82" y="70"/>
              </a:cxn>
              <a:cxn ang="0">
                <a:pos x="75" y="80"/>
              </a:cxn>
              <a:cxn ang="0">
                <a:pos x="71" y="75"/>
              </a:cxn>
              <a:cxn ang="0">
                <a:pos x="67" y="74"/>
              </a:cxn>
              <a:cxn ang="0">
                <a:pos x="63" y="62"/>
              </a:cxn>
              <a:cxn ang="0">
                <a:pos x="50" y="74"/>
              </a:cxn>
              <a:cxn ang="0">
                <a:pos x="47" y="74"/>
              </a:cxn>
              <a:cxn ang="0">
                <a:pos x="52" y="67"/>
              </a:cxn>
              <a:cxn ang="0">
                <a:pos x="40" y="65"/>
              </a:cxn>
              <a:cxn ang="0">
                <a:pos x="31" y="67"/>
              </a:cxn>
              <a:cxn ang="0">
                <a:pos x="18" y="64"/>
              </a:cxn>
              <a:cxn ang="0">
                <a:pos x="4" y="67"/>
              </a:cxn>
            </a:cxnLst>
            <a:rect l="0" t="0" r="r" b="b"/>
            <a:pathLst>
              <a:path w="82" h="80">
                <a:moveTo>
                  <a:pt x="4" y="67"/>
                </a:moveTo>
                <a:cubicBezTo>
                  <a:pt x="2" y="67"/>
                  <a:pt x="0" y="64"/>
                  <a:pt x="0" y="62"/>
                </a:cubicBezTo>
                <a:cubicBezTo>
                  <a:pt x="0" y="61"/>
                  <a:pt x="8" y="55"/>
                  <a:pt x="8" y="54"/>
                </a:cubicBezTo>
                <a:cubicBezTo>
                  <a:pt x="8" y="51"/>
                  <a:pt x="8" y="51"/>
                  <a:pt x="8" y="51"/>
                </a:cubicBezTo>
                <a:cubicBezTo>
                  <a:pt x="6" y="51"/>
                  <a:pt x="5" y="51"/>
                  <a:pt x="4" y="49"/>
                </a:cubicBezTo>
                <a:cubicBezTo>
                  <a:pt x="17" y="43"/>
                  <a:pt x="21" y="23"/>
                  <a:pt x="28" y="13"/>
                </a:cubicBezTo>
                <a:cubicBezTo>
                  <a:pt x="32" y="7"/>
                  <a:pt x="34" y="0"/>
                  <a:pt x="41" y="0"/>
                </a:cubicBezTo>
                <a:cubicBezTo>
                  <a:pt x="43" y="0"/>
                  <a:pt x="44" y="3"/>
                  <a:pt x="44" y="4"/>
                </a:cubicBezTo>
                <a:cubicBezTo>
                  <a:pt x="44" y="14"/>
                  <a:pt x="35" y="19"/>
                  <a:pt x="32" y="27"/>
                </a:cubicBezTo>
                <a:cubicBezTo>
                  <a:pt x="32" y="31"/>
                  <a:pt x="32" y="31"/>
                  <a:pt x="32" y="31"/>
                </a:cubicBezTo>
                <a:cubicBezTo>
                  <a:pt x="36" y="30"/>
                  <a:pt x="36" y="27"/>
                  <a:pt x="39" y="27"/>
                </a:cubicBezTo>
                <a:cubicBezTo>
                  <a:pt x="42" y="27"/>
                  <a:pt x="44" y="28"/>
                  <a:pt x="46" y="29"/>
                </a:cubicBezTo>
                <a:cubicBezTo>
                  <a:pt x="44" y="32"/>
                  <a:pt x="44" y="32"/>
                  <a:pt x="44" y="32"/>
                </a:cubicBezTo>
                <a:cubicBezTo>
                  <a:pt x="44" y="36"/>
                  <a:pt x="44" y="36"/>
                  <a:pt x="44" y="36"/>
                </a:cubicBezTo>
                <a:cubicBezTo>
                  <a:pt x="52" y="36"/>
                  <a:pt x="52" y="36"/>
                  <a:pt x="52" y="36"/>
                </a:cubicBezTo>
                <a:cubicBezTo>
                  <a:pt x="52" y="36"/>
                  <a:pt x="52" y="38"/>
                  <a:pt x="52" y="38"/>
                </a:cubicBezTo>
                <a:cubicBezTo>
                  <a:pt x="57" y="36"/>
                  <a:pt x="57" y="36"/>
                  <a:pt x="57" y="36"/>
                </a:cubicBezTo>
                <a:cubicBezTo>
                  <a:pt x="62" y="37"/>
                  <a:pt x="68" y="37"/>
                  <a:pt x="70" y="36"/>
                </a:cubicBezTo>
                <a:cubicBezTo>
                  <a:pt x="70" y="40"/>
                  <a:pt x="69" y="44"/>
                  <a:pt x="69" y="51"/>
                </a:cubicBezTo>
                <a:cubicBezTo>
                  <a:pt x="70" y="50"/>
                  <a:pt x="73" y="49"/>
                  <a:pt x="74" y="49"/>
                </a:cubicBezTo>
                <a:cubicBezTo>
                  <a:pt x="74" y="53"/>
                  <a:pt x="70" y="54"/>
                  <a:pt x="70" y="56"/>
                </a:cubicBezTo>
                <a:cubicBezTo>
                  <a:pt x="70" y="58"/>
                  <a:pt x="73" y="60"/>
                  <a:pt x="73" y="63"/>
                </a:cubicBezTo>
                <a:cubicBezTo>
                  <a:pt x="77" y="63"/>
                  <a:pt x="76" y="62"/>
                  <a:pt x="79" y="60"/>
                </a:cubicBezTo>
                <a:cubicBezTo>
                  <a:pt x="79" y="66"/>
                  <a:pt x="82" y="65"/>
                  <a:pt x="82" y="70"/>
                </a:cubicBezTo>
                <a:cubicBezTo>
                  <a:pt x="82" y="75"/>
                  <a:pt x="79" y="80"/>
                  <a:pt x="75" y="80"/>
                </a:cubicBezTo>
                <a:cubicBezTo>
                  <a:pt x="72" y="80"/>
                  <a:pt x="71" y="77"/>
                  <a:pt x="71" y="75"/>
                </a:cubicBezTo>
                <a:cubicBezTo>
                  <a:pt x="69" y="75"/>
                  <a:pt x="69" y="74"/>
                  <a:pt x="67" y="74"/>
                </a:cubicBezTo>
                <a:cubicBezTo>
                  <a:pt x="64" y="74"/>
                  <a:pt x="66" y="66"/>
                  <a:pt x="63" y="62"/>
                </a:cubicBezTo>
                <a:cubicBezTo>
                  <a:pt x="59" y="67"/>
                  <a:pt x="55" y="74"/>
                  <a:pt x="50" y="74"/>
                </a:cubicBezTo>
                <a:cubicBezTo>
                  <a:pt x="49" y="74"/>
                  <a:pt x="47" y="75"/>
                  <a:pt x="47" y="74"/>
                </a:cubicBezTo>
                <a:cubicBezTo>
                  <a:pt x="47" y="70"/>
                  <a:pt x="51" y="70"/>
                  <a:pt x="52" y="67"/>
                </a:cubicBezTo>
                <a:cubicBezTo>
                  <a:pt x="48" y="67"/>
                  <a:pt x="42" y="70"/>
                  <a:pt x="40" y="65"/>
                </a:cubicBezTo>
                <a:cubicBezTo>
                  <a:pt x="37" y="66"/>
                  <a:pt x="34" y="67"/>
                  <a:pt x="31" y="67"/>
                </a:cubicBezTo>
                <a:cubicBezTo>
                  <a:pt x="25" y="67"/>
                  <a:pt x="23" y="64"/>
                  <a:pt x="18" y="64"/>
                </a:cubicBezTo>
                <a:cubicBezTo>
                  <a:pt x="11" y="64"/>
                  <a:pt x="9" y="67"/>
                  <a:pt x="4" y="67"/>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72" name="Freeform 92" hidden="1">
            <a:extLst>
              <a:ext uri="{FF2B5EF4-FFF2-40B4-BE49-F238E27FC236}">
                <a16:creationId xmlns:a16="http://schemas.microsoft.com/office/drawing/2014/main" id="{00000000-0008-0000-0000-000048000000}"/>
              </a:ext>
            </a:extLst>
          </xdr:cNvPr>
          <xdr:cNvSpPr>
            <a:spLocks/>
          </xdr:cNvSpPr>
        </xdr:nvSpPr>
        <xdr:spPr bwMode="auto">
          <a:xfrm>
            <a:off x="2427288" y="2314575"/>
            <a:ext cx="671513" cy="450850"/>
          </a:xfrm>
          <a:custGeom>
            <a:avLst/>
            <a:gdLst/>
            <a:ahLst/>
            <a:cxnLst>
              <a:cxn ang="0">
                <a:pos x="250" y="98"/>
              </a:cxn>
              <a:cxn ang="0">
                <a:pos x="246" y="141"/>
              </a:cxn>
              <a:cxn ang="0">
                <a:pos x="251" y="160"/>
              </a:cxn>
              <a:cxn ang="0">
                <a:pos x="281" y="192"/>
              </a:cxn>
              <a:cxn ang="0">
                <a:pos x="312" y="191"/>
              </a:cxn>
              <a:cxn ang="0">
                <a:pos x="327" y="187"/>
              </a:cxn>
              <a:cxn ang="0">
                <a:pos x="363" y="152"/>
              </a:cxn>
              <a:cxn ang="0">
                <a:pos x="382" y="154"/>
              </a:cxn>
              <a:cxn ang="0">
                <a:pos x="374" y="180"/>
              </a:cxn>
              <a:cxn ang="0">
                <a:pos x="369" y="192"/>
              </a:cxn>
              <a:cxn ang="0">
                <a:pos x="365" y="213"/>
              </a:cxn>
              <a:cxn ang="0">
                <a:pos x="357" y="224"/>
              </a:cxn>
              <a:cxn ang="0">
                <a:pos x="405" y="226"/>
              </a:cxn>
              <a:cxn ang="0">
                <a:pos x="426" y="242"/>
              </a:cxn>
              <a:cxn ang="0">
                <a:pos x="423" y="289"/>
              </a:cxn>
              <a:cxn ang="0">
                <a:pos x="451" y="316"/>
              </a:cxn>
              <a:cxn ang="0">
                <a:pos x="504" y="322"/>
              </a:cxn>
              <a:cxn ang="0">
                <a:pos x="488" y="329"/>
              </a:cxn>
              <a:cxn ang="0">
                <a:pos x="480" y="316"/>
              </a:cxn>
              <a:cxn ang="0">
                <a:pos x="468" y="332"/>
              </a:cxn>
              <a:cxn ang="0">
                <a:pos x="446" y="326"/>
              </a:cxn>
              <a:cxn ang="0">
                <a:pos x="431" y="323"/>
              </a:cxn>
              <a:cxn ang="0">
                <a:pos x="406" y="302"/>
              </a:cxn>
              <a:cxn ang="0">
                <a:pos x="402" y="306"/>
              </a:cxn>
              <a:cxn ang="0">
                <a:pos x="391" y="281"/>
              </a:cxn>
              <a:cxn ang="0">
                <a:pos x="372" y="260"/>
              </a:cxn>
              <a:cxn ang="0">
                <a:pos x="345" y="255"/>
              </a:cxn>
              <a:cxn ang="0">
                <a:pos x="294" y="226"/>
              </a:cxn>
              <a:cxn ang="0">
                <a:pos x="282" y="222"/>
              </a:cxn>
              <a:cxn ang="0">
                <a:pos x="256" y="227"/>
              </a:cxn>
              <a:cxn ang="0">
                <a:pos x="221" y="214"/>
              </a:cxn>
              <a:cxn ang="0">
                <a:pos x="195" y="203"/>
              </a:cxn>
              <a:cxn ang="0">
                <a:pos x="175" y="195"/>
              </a:cxn>
              <a:cxn ang="0">
                <a:pos x="148" y="172"/>
              </a:cxn>
              <a:cxn ang="0">
                <a:pos x="148" y="150"/>
              </a:cxn>
              <a:cxn ang="0">
                <a:pos x="102" y="101"/>
              </a:cxn>
              <a:cxn ang="0">
                <a:pos x="82" y="68"/>
              </a:cxn>
              <a:cxn ang="0">
                <a:pos x="62" y="53"/>
              </a:cxn>
              <a:cxn ang="0">
                <a:pos x="49" y="22"/>
              </a:cxn>
              <a:cxn ang="0">
                <a:pos x="28" y="19"/>
              </a:cxn>
              <a:cxn ang="0">
                <a:pos x="49" y="53"/>
              </a:cxn>
              <a:cxn ang="0">
                <a:pos x="73" y="95"/>
              </a:cxn>
              <a:cxn ang="0">
                <a:pos x="96" y="130"/>
              </a:cxn>
              <a:cxn ang="0">
                <a:pos x="86" y="127"/>
              </a:cxn>
              <a:cxn ang="0">
                <a:pos x="65" y="109"/>
              </a:cxn>
              <a:cxn ang="0">
                <a:pos x="52" y="84"/>
              </a:cxn>
              <a:cxn ang="0">
                <a:pos x="40" y="69"/>
              </a:cxn>
              <a:cxn ang="0">
                <a:pos x="11" y="24"/>
              </a:cxn>
              <a:cxn ang="0">
                <a:pos x="0" y="0"/>
              </a:cxn>
              <a:cxn ang="0">
                <a:pos x="76" y="16"/>
              </a:cxn>
              <a:cxn ang="0">
                <a:pos x="113" y="10"/>
              </a:cxn>
              <a:cxn ang="0">
                <a:pos x="152" y="29"/>
              </a:cxn>
              <a:cxn ang="0">
                <a:pos x="188" y="38"/>
              </a:cxn>
              <a:cxn ang="0">
                <a:pos x="249" y="90"/>
              </a:cxn>
              <a:cxn ang="0">
                <a:pos x="247" y="86"/>
              </a:cxn>
            </a:cxnLst>
            <a:rect l="0" t="0" r="r" b="b"/>
            <a:pathLst>
              <a:path w="504" h="338">
                <a:moveTo>
                  <a:pt x="248" y="91"/>
                </a:moveTo>
                <a:cubicBezTo>
                  <a:pt x="249" y="94"/>
                  <a:pt x="250" y="96"/>
                  <a:pt x="250" y="98"/>
                </a:cubicBezTo>
                <a:cubicBezTo>
                  <a:pt x="250" y="106"/>
                  <a:pt x="247" y="109"/>
                  <a:pt x="246" y="116"/>
                </a:cubicBezTo>
                <a:cubicBezTo>
                  <a:pt x="246" y="141"/>
                  <a:pt x="246" y="141"/>
                  <a:pt x="246" y="141"/>
                </a:cubicBezTo>
                <a:cubicBezTo>
                  <a:pt x="245" y="144"/>
                  <a:pt x="248" y="148"/>
                  <a:pt x="249" y="150"/>
                </a:cubicBezTo>
                <a:cubicBezTo>
                  <a:pt x="251" y="154"/>
                  <a:pt x="249" y="156"/>
                  <a:pt x="251" y="160"/>
                </a:cubicBezTo>
                <a:cubicBezTo>
                  <a:pt x="252" y="164"/>
                  <a:pt x="258" y="170"/>
                  <a:pt x="261" y="173"/>
                </a:cubicBezTo>
                <a:cubicBezTo>
                  <a:pt x="269" y="181"/>
                  <a:pt x="269" y="188"/>
                  <a:pt x="281" y="192"/>
                </a:cubicBezTo>
                <a:cubicBezTo>
                  <a:pt x="285" y="193"/>
                  <a:pt x="285" y="197"/>
                  <a:pt x="288" y="197"/>
                </a:cubicBezTo>
                <a:cubicBezTo>
                  <a:pt x="297" y="197"/>
                  <a:pt x="304" y="191"/>
                  <a:pt x="312" y="191"/>
                </a:cubicBezTo>
                <a:cubicBezTo>
                  <a:pt x="317" y="191"/>
                  <a:pt x="319" y="194"/>
                  <a:pt x="321" y="194"/>
                </a:cubicBezTo>
                <a:cubicBezTo>
                  <a:pt x="324" y="194"/>
                  <a:pt x="327" y="188"/>
                  <a:pt x="327" y="187"/>
                </a:cubicBezTo>
                <a:cubicBezTo>
                  <a:pt x="329" y="181"/>
                  <a:pt x="336" y="176"/>
                  <a:pt x="336" y="169"/>
                </a:cubicBezTo>
                <a:cubicBezTo>
                  <a:pt x="336" y="156"/>
                  <a:pt x="351" y="152"/>
                  <a:pt x="363" y="152"/>
                </a:cubicBezTo>
                <a:cubicBezTo>
                  <a:pt x="367" y="152"/>
                  <a:pt x="370" y="152"/>
                  <a:pt x="372" y="153"/>
                </a:cubicBezTo>
                <a:cubicBezTo>
                  <a:pt x="373" y="154"/>
                  <a:pt x="379" y="154"/>
                  <a:pt x="382" y="154"/>
                </a:cubicBezTo>
                <a:cubicBezTo>
                  <a:pt x="382" y="155"/>
                  <a:pt x="382" y="157"/>
                  <a:pt x="382" y="158"/>
                </a:cubicBezTo>
                <a:cubicBezTo>
                  <a:pt x="382" y="164"/>
                  <a:pt x="374" y="172"/>
                  <a:pt x="374" y="180"/>
                </a:cubicBezTo>
                <a:cubicBezTo>
                  <a:pt x="374" y="188"/>
                  <a:pt x="372" y="191"/>
                  <a:pt x="369" y="195"/>
                </a:cubicBezTo>
                <a:cubicBezTo>
                  <a:pt x="369" y="194"/>
                  <a:pt x="369" y="193"/>
                  <a:pt x="369" y="192"/>
                </a:cubicBezTo>
                <a:cubicBezTo>
                  <a:pt x="368" y="192"/>
                  <a:pt x="367" y="192"/>
                  <a:pt x="365" y="192"/>
                </a:cubicBezTo>
                <a:cubicBezTo>
                  <a:pt x="365" y="197"/>
                  <a:pt x="365" y="207"/>
                  <a:pt x="365" y="213"/>
                </a:cubicBezTo>
                <a:cubicBezTo>
                  <a:pt x="365" y="217"/>
                  <a:pt x="360" y="219"/>
                  <a:pt x="357" y="222"/>
                </a:cubicBezTo>
                <a:cubicBezTo>
                  <a:pt x="357" y="223"/>
                  <a:pt x="357" y="223"/>
                  <a:pt x="357" y="224"/>
                </a:cubicBezTo>
                <a:cubicBezTo>
                  <a:pt x="357" y="227"/>
                  <a:pt x="360" y="229"/>
                  <a:pt x="363" y="229"/>
                </a:cubicBezTo>
                <a:cubicBezTo>
                  <a:pt x="377" y="229"/>
                  <a:pt x="389" y="226"/>
                  <a:pt x="405" y="226"/>
                </a:cubicBezTo>
                <a:cubicBezTo>
                  <a:pt x="415" y="226"/>
                  <a:pt x="418" y="234"/>
                  <a:pt x="426" y="236"/>
                </a:cubicBezTo>
                <a:cubicBezTo>
                  <a:pt x="426" y="238"/>
                  <a:pt x="426" y="240"/>
                  <a:pt x="426" y="242"/>
                </a:cubicBezTo>
                <a:cubicBezTo>
                  <a:pt x="426" y="246"/>
                  <a:pt x="425" y="257"/>
                  <a:pt x="423" y="262"/>
                </a:cubicBezTo>
                <a:cubicBezTo>
                  <a:pt x="423" y="272"/>
                  <a:pt x="423" y="281"/>
                  <a:pt x="423" y="289"/>
                </a:cubicBezTo>
                <a:cubicBezTo>
                  <a:pt x="423" y="298"/>
                  <a:pt x="432" y="302"/>
                  <a:pt x="439" y="306"/>
                </a:cubicBezTo>
                <a:cubicBezTo>
                  <a:pt x="444" y="308"/>
                  <a:pt x="444" y="316"/>
                  <a:pt x="451" y="316"/>
                </a:cubicBezTo>
                <a:cubicBezTo>
                  <a:pt x="463" y="316"/>
                  <a:pt x="469" y="307"/>
                  <a:pt x="479" y="307"/>
                </a:cubicBezTo>
                <a:cubicBezTo>
                  <a:pt x="491" y="307"/>
                  <a:pt x="497" y="316"/>
                  <a:pt x="504" y="322"/>
                </a:cubicBezTo>
                <a:cubicBezTo>
                  <a:pt x="503" y="323"/>
                  <a:pt x="494" y="333"/>
                  <a:pt x="493" y="332"/>
                </a:cubicBezTo>
                <a:cubicBezTo>
                  <a:pt x="492" y="331"/>
                  <a:pt x="488" y="330"/>
                  <a:pt x="488" y="329"/>
                </a:cubicBezTo>
                <a:cubicBezTo>
                  <a:pt x="488" y="327"/>
                  <a:pt x="490" y="326"/>
                  <a:pt x="491" y="324"/>
                </a:cubicBezTo>
                <a:cubicBezTo>
                  <a:pt x="486" y="322"/>
                  <a:pt x="484" y="316"/>
                  <a:pt x="480" y="316"/>
                </a:cubicBezTo>
                <a:cubicBezTo>
                  <a:pt x="476" y="316"/>
                  <a:pt x="464" y="325"/>
                  <a:pt x="464" y="328"/>
                </a:cubicBezTo>
                <a:cubicBezTo>
                  <a:pt x="464" y="330"/>
                  <a:pt x="467" y="331"/>
                  <a:pt x="468" y="332"/>
                </a:cubicBezTo>
                <a:cubicBezTo>
                  <a:pt x="467" y="336"/>
                  <a:pt x="465" y="338"/>
                  <a:pt x="461" y="338"/>
                </a:cubicBezTo>
                <a:cubicBezTo>
                  <a:pt x="454" y="338"/>
                  <a:pt x="450" y="330"/>
                  <a:pt x="446" y="326"/>
                </a:cubicBezTo>
                <a:cubicBezTo>
                  <a:pt x="443" y="323"/>
                  <a:pt x="436" y="326"/>
                  <a:pt x="433" y="326"/>
                </a:cubicBezTo>
                <a:cubicBezTo>
                  <a:pt x="432" y="326"/>
                  <a:pt x="431" y="324"/>
                  <a:pt x="431" y="323"/>
                </a:cubicBezTo>
                <a:cubicBezTo>
                  <a:pt x="424" y="322"/>
                  <a:pt x="424" y="318"/>
                  <a:pt x="423" y="314"/>
                </a:cubicBezTo>
                <a:cubicBezTo>
                  <a:pt x="421" y="311"/>
                  <a:pt x="406" y="302"/>
                  <a:pt x="406" y="302"/>
                </a:cubicBezTo>
                <a:cubicBezTo>
                  <a:pt x="405" y="304"/>
                  <a:pt x="405" y="305"/>
                  <a:pt x="406" y="306"/>
                </a:cubicBezTo>
                <a:cubicBezTo>
                  <a:pt x="402" y="306"/>
                  <a:pt x="402" y="306"/>
                  <a:pt x="402" y="306"/>
                </a:cubicBezTo>
                <a:cubicBezTo>
                  <a:pt x="395" y="302"/>
                  <a:pt x="399" y="296"/>
                  <a:pt x="397" y="289"/>
                </a:cubicBezTo>
                <a:cubicBezTo>
                  <a:pt x="396" y="285"/>
                  <a:pt x="394" y="284"/>
                  <a:pt x="391" y="281"/>
                </a:cubicBezTo>
                <a:cubicBezTo>
                  <a:pt x="384" y="274"/>
                  <a:pt x="377" y="270"/>
                  <a:pt x="374" y="260"/>
                </a:cubicBezTo>
                <a:cubicBezTo>
                  <a:pt x="373" y="260"/>
                  <a:pt x="372" y="260"/>
                  <a:pt x="372" y="260"/>
                </a:cubicBezTo>
                <a:cubicBezTo>
                  <a:pt x="368" y="260"/>
                  <a:pt x="366" y="262"/>
                  <a:pt x="363" y="262"/>
                </a:cubicBezTo>
                <a:cubicBezTo>
                  <a:pt x="355" y="262"/>
                  <a:pt x="350" y="257"/>
                  <a:pt x="345" y="255"/>
                </a:cubicBezTo>
                <a:cubicBezTo>
                  <a:pt x="336" y="251"/>
                  <a:pt x="330" y="253"/>
                  <a:pt x="321" y="248"/>
                </a:cubicBezTo>
                <a:cubicBezTo>
                  <a:pt x="308" y="242"/>
                  <a:pt x="306" y="232"/>
                  <a:pt x="294" y="226"/>
                </a:cubicBezTo>
                <a:cubicBezTo>
                  <a:pt x="291" y="226"/>
                  <a:pt x="291" y="226"/>
                  <a:pt x="291" y="226"/>
                </a:cubicBezTo>
                <a:cubicBezTo>
                  <a:pt x="288" y="224"/>
                  <a:pt x="285" y="222"/>
                  <a:pt x="282" y="222"/>
                </a:cubicBezTo>
                <a:cubicBezTo>
                  <a:pt x="274" y="222"/>
                  <a:pt x="272" y="231"/>
                  <a:pt x="265" y="231"/>
                </a:cubicBezTo>
                <a:cubicBezTo>
                  <a:pt x="261" y="231"/>
                  <a:pt x="258" y="228"/>
                  <a:pt x="256" y="227"/>
                </a:cubicBezTo>
                <a:cubicBezTo>
                  <a:pt x="252" y="225"/>
                  <a:pt x="249" y="226"/>
                  <a:pt x="246" y="226"/>
                </a:cubicBezTo>
                <a:cubicBezTo>
                  <a:pt x="241" y="226"/>
                  <a:pt x="226" y="216"/>
                  <a:pt x="221" y="214"/>
                </a:cubicBezTo>
                <a:cubicBezTo>
                  <a:pt x="216" y="211"/>
                  <a:pt x="213" y="214"/>
                  <a:pt x="208" y="213"/>
                </a:cubicBezTo>
                <a:cubicBezTo>
                  <a:pt x="202" y="211"/>
                  <a:pt x="201" y="206"/>
                  <a:pt x="195" y="203"/>
                </a:cubicBezTo>
                <a:cubicBezTo>
                  <a:pt x="189" y="200"/>
                  <a:pt x="186" y="201"/>
                  <a:pt x="180" y="198"/>
                </a:cubicBezTo>
                <a:cubicBezTo>
                  <a:pt x="177" y="197"/>
                  <a:pt x="177" y="196"/>
                  <a:pt x="175" y="195"/>
                </a:cubicBezTo>
                <a:cubicBezTo>
                  <a:pt x="170" y="190"/>
                  <a:pt x="156" y="187"/>
                  <a:pt x="155" y="181"/>
                </a:cubicBezTo>
                <a:cubicBezTo>
                  <a:pt x="151" y="181"/>
                  <a:pt x="148" y="176"/>
                  <a:pt x="148" y="172"/>
                </a:cubicBezTo>
                <a:cubicBezTo>
                  <a:pt x="148" y="167"/>
                  <a:pt x="153" y="165"/>
                  <a:pt x="153" y="160"/>
                </a:cubicBezTo>
                <a:cubicBezTo>
                  <a:pt x="153" y="154"/>
                  <a:pt x="149" y="153"/>
                  <a:pt x="148" y="150"/>
                </a:cubicBezTo>
                <a:cubicBezTo>
                  <a:pt x="143" y="134"/>
                  <a:pt x="128" y="121"/>
                  <a:pt x="118" y="111"/>
                </a:cubicBezTo>
                <a:cubicBezTo>
                  <a:pt x="114" y="107"/>
                  <a:pt x="107" y="105"/>
                  <a:pt x="102" y="101"/>
                </a:cubicBezTo>
                <a:cubicBezTo>
                  <a:pt x="99" y="97"/>
                  <a:pt x="102" y="93"/>
                  <a:pt x="100" y="88"/>
                </a:cubicBezTo>
                <a:cubicBezTo>
                  <a:pt x="96" y="80"/>
                  <a:pt x="82" y="79"/>
                  <a:pt x="82" y="68"/>
                </a:cubicBezTo>
                <a:cubicBezTo>
                  <a:pt x="78" y="68"/>
                  <a:pt x="79" y="67"/>
                  <a:pt x="77" y="68"/>
                </a:cubicBezTo>
                <a:cubicBezTo>
                  <a:pt x="72" y="63"/>
                  <a:pt x="67" y="58"/>
                  <a:pt x="62" y="53"/>
                </a:cubicBezTo>
                <a:cubicBezTo>
                  <a:pt x="58" y="49"/>
                  <a:pt x="60" y="42"/>
                  <a:pt x="56" y="38"/>
                </a:cubicBezTo>
                <a:cubicBezTo>
                  <a:pt x="52" y="34"/>
                  <a:pt x="53" y="24"/>
                  <a:pt x="49" y="22"/>
                </a:cubicBezTo>
                <a:cubicBezTo>
                  <a:pt x="42" y="19"/>
                  <a:pt x="35" y="19"/>
                  <a:pt x="29" y="13"/>
                </a:cubicBezTo>
                <a:cubicBezTo>
                  <a:pt x="27" y="15"/>
                  <a:pt x="28" y="18"/>
                  <a:pt x="28" y="19"/>
                </a:cubicBezTo>
                <a:cubicBezTo>
                  <a:pt x="28" y="28"/>
                  <a:pt x="32" y="34"/>
                  <a:pt x="36" y="41"/>
                </a:cubicBezTo>
                <a:cubicBezTo>
                  <a:pt x="39" y="48"/>
                  <a:pt x="45" y="48"/>
                  <a:pt x="49" y="53"/>
                </a:cubicBezTo>
                <a:cubicBezTo>
                  <a:pt x="55" y="59"/>
                  <a:pt x="56" y="63"/>
                  <a:pt x="58" y="71"/>
                </a:cubicBezTo>
                <a:cubicBezTo>
                  <a:pt x="61" y="81"/>
                  <a:pt x="70" y="86"/>
                  <a:pt x="73" y="95"/>
                </a:cubicBezTo>
                <a:cubicBezTo>
                  <a:pt x="77" y="106"/>
                  <a:pt x="80" y="117"/>
                  <a:pt x="87" y="122"/>
                </a:cubicBezTo>
                <a:cubicBezTo>
                  <a:pt x="91" y="119"/>
                  <a:pt x="96" y="126"/>
                  <a:pt x="96" y="130"/>
                </a:cubicBezTo>
                <a:cubicBezTo>
                  <a:pt x="96" y="132"/>
                  <a:pt x="95" y="136"/>
                  <a:pt x="93" y="136"/>
                </a:cubicBezTo>
                <a:cubicBezTo>
                  <a:pt x="92" y="136"/>
                  <a:pt x="86" y="129"/>
                  <a:pt x="86" y="127"/>
                </a:cubicBezTo>
                <a:cubicBezTo>
                  <a:pt x="78" y="127"/>
                  <a:pt x="74" y="117"/>
                  <a:pt x="69" y="113"/>
                </a:cubicBezTo>
                <a:cubicBezTo>
                  <a:pt x="66" y="112"/>
                  <a:pt x="66" y="112"/>
                  <a:pt x="65" y="109"/>
                </a:cubicBezTo>
                <a:cubicBezTo>
                  <a:pt x="65" y="98"/>
                  <a:pt x="65" y="98"/>
                  <a:pt x="65" y="98"/>
                </a:cubicBezTo>
                <a:cubicBezTo>
                  <a:pt x="60" y="93"/>
                  <a:pt x="56" y="88"/>
                  <a:pt x="52" y="84"/>
                </a:cubicBezTo>
                <a:cubicBezTo>
                  <a:pt x="46" y="78"/>
                  <a:pt x="36" y="79"/>
                  <a:pt x="31" y="72"/>
                </a:cubicBezTo>
                <a:cubicBezTo>
                  <a:pt x="34" y="72"/>
                  <a:pt x="44" y="74"/>
                  <a:pt x="40" y="69"/>
                </a:cubicBezTo>
                <a:cubicBezTo>
                  <a:pt x="34" y="59"/>
                  <a:pt x="26" y="50"/>
                  <a:pt x="19" y="45"/>
                </a:cubicBezTo>
                <a:cubicBezTo>
                  <a:pt x="14" y="41"/>
                  <a:pt x="14" y="29"/>
                  <a:pt x="11" y="24"/>
                </a:cubicBezTo>
                <a:cubicBezTo>
                  <a:pt x="7" y="16"/>
                  <a:pt x="3" y="13"/>
                  <a:pt x="0" y="3"/>
                </a:cubicBezTo>
                <a:cubicBezTo>
                  <a:pt x="0" y="0"/>
                  <a:pt x="0" y="0"/>
                  <a:pt x="0" y="0"/>
                </a:cubicBezTo>
                <a:cubicBezTo>
                  <a:pt x="29" y="0"/>
                  <a:pt x="29" y="0"/>
                  <a:pt x="29" y="0"/>
                </a:cubicBezTo>
                <a:cubicBezTo>
                  <a:pt x="76" y="16"/>
                  <a:pt x="76" y="16"/>
                  <a:pt x="76" y="16"/>
                </a:cubicBezTo>
                <a:cubicBezTo>
                  <a:pt x="113" y="16"/>
                  <a:pt x="113" y="16"/>
                  <a:pt x="113" y="16"/>
                </a:cubicBezTo>
                <a:cubicBezTo>
                  <a:pt x="113" y="10"/>
                  <a:pt x="113" y="10"/>
                  <a:pt x="113" y="10"/>
                </a:cubicBezTo>
                <a:cubicBezTo>
                  <a:pt x="121" y="10"/>
                  <a:pt x="121" y="10"/>
                  <a:pt x="121" y="10"/>
                </a:cubicBezTo>
                <a:cubicBezTo>
                  <a:pt x="136" y="14"/>
                  <a:pt x="145" y="16"/>
                  <a:pt x="152" y="29"/>
                </a:cubicBezTo>
                <a:cubicBezTo>
                  <a:pt x="156" y="35"/>
                  <a:pt x="163" y="50"/>
                  <a:pt x="172" y="50"/>
                </a:cubicBezTo>
                <a:cubicBezTo>
                  <a:pt x="181" y="50"/>
                  <a:pt x="178" y="38"/>
                  <a:pt x="188" y="38"/>
                </a:cubicBezTo>
                <a:cubicBezTo>
                  <a:pt x="214" y="38"/>
                  <a:pt x="213" y="70"/>
                  <a:pt x="227" y="84"/>
                </a:cubicBezTo>
                <a:cubicBezTo>
                  <a:pt x="231" y="87"/>
                  <a:pt x="242" y="90"/>
                  <a:pt x="249" y="90"/>
                </a:cubicBezTo>
                <a:cubicBezTo>
                  <a:pt x="249" y="89"/>
                  <a:pt x="247" y="87"/>
                  <a:pt x="247" y="86"/>
                </a:cubicBezTo>
                <a:cubicBezTo>
                  <a:pt x="247" y="86"/>
                  <a:pt x="247" y="86"/>
                  <a:pt x="247" y="86"/>
                </a:cubicBezTo>
                <a:lnTo>
                  <a:pt x="248" y="91"/>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73" name="Freeform 93" hidden="1">
            <a:extLst>
              <a:ext uri="{FF2B5EF4-FFF2-40B4-BE49-F238E27FC236}">
                <a16:creationId xmlns:a16="http://schemas.microsoft.com/office/drawing/2014/main" id="{00000000-0008-0000-0000-000049000000}"/>
              </a:ext>
            </a:extLst>
          </xdr:cNvPr>
          <xdr:cNvSpPr>
            <a:spLocks/>
          </xdr:cNvSpPr>
        </xdr:nvSpPr>
        <xdr:spPr bwMode="auto">
          <a:xfrm>
            <a:off x="3016250" y="1895475"/>
            <a:ext cx="20638" cy="9525"/>
          </a:xfrm>
          <a:custGeom>
            <a:avLst/>
            <a:gdLst/>
            <a:ahLst/>
            <a:cxnLst>
              <a:cxn ang="0">
                <a:pos x="0" y="0"/>
              </a:cxn>
              <a:cxn ang="0">
                <a:pos x="15" y="7"/>
              </a:cxn>
              <a:cxn ang="0">
                <a:pos x="12" y="7"/>
              </a:cxn>
              <a:cxn ang="0">
                <a:pos x="0" y="3"/>
              </a:cxn>
              <a:cxn ang="0">
                <a:pos x="0" y="0"/>
              </a:cxn>
            </a:cxnLst>
            <a:rect l="0" t="0" r="r" b="b"/>
            <a:pathLst>
              <a:path w="15" h="8">
                <a:moveTo>
                  <a:pt x="0" y="0"/>
                </a:moveTo>
                <a:cubicBezTo>
                  <a:pt x="7" y="0"/>
                  <a:pt x="15" y="1"/>
                  <a:pt x="15" y="7"/>
                </a:cubicBezTo>
                <a:cubicBezTo>
                  <a:pt x="15" y="8"/>
                  <a:pt x="13" y="7"/>
                  <a:pt x="12" y="7"/>
                </a:cubicBezTo>
                <a:cubicBezTo>
                  <a:pt x="8" y="7"/>
                  <a:pt x="2" y="5"/>
                  <a:pt x="0" y="3"/>
                </a:cubicBezTo>
                <a:cubicBezTo>
                  <a:pt x="0" y="2"/>
                  <a:pt x="0" y="1"/>
                  <a:pt x="0" y="0"/>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74" name="Freeform 94" hidden="1">
            <a:extLst>
              <a:ext uri="{FF2B5EF4-FFF2-40B4-BE49-F238E27FC236}">
                <a16:creationId xmlns:a16="http://schemas.microsoft.com/office/drawing/2014/main" id="{00000000-0008-0000-0000-00004A000000}"/>
              </a:ext>
            </a:extLst>
          </xdr:cNvPr>
          <xdr:cNvSpPr>
            <a:spLocks/>
          </xdr:cNvSpPr>
        </xdr:nvSpPr>
        <xdr:spPr bwMode="auto">
          <a:xfrm>
            <a:off x="2239963" y="1951038"/>
            <a:ext cx="79375" cy="50800"/>
          </a:xfrm>
          <a:custGeom>
            <a:avLst/>
            <a:gdLst/>
            <a:ahLst/>
            <a:cxnLst>
              <a:cxn ang="0">
                <a:pos x="0" y="2"/>
              </a:cxn>
              <a:cxn ang="0">
                <a:pos x="6" y="0"/>
              </a:cxn>
              <a:cxn ang="0">
                <a:pos x="18" y="6"/>
              </a:cxn>
              <a:cxn ang="0">
                <a:pos x="59" y="34"/>
              </a:cxn>
              <a:cxn ang="0">
                <a:pos x="59" y="38"/>
              </a:cxn>
              <a:cxn ang="0">
                <a:pos x="55" y="38"/>
              </a:cxn>
              <a:cxn ang="0">
                <a:pos x="22" y="22"/>
              </a:cxn>
              <a:cxn ang="0">
                <a:pos x="27" y="17"/>
              </a:cxn>
              <a:cxn ang="0">
                <a:pos x="4" y="8"/>
              </a:cxn>
              <a:cxn ang="0">
                <a:pos x="8" y="4"/>
              </a:cxn>
              <a:cxn ang="0">
                <a:pos x="2" y="2"/>
              </a:cxn>
              <a:cxn ang="0">
                <a:pos x="0" y="2"/>
              </a:cxn>
            </a:cxnLst>
            <a:rect l="0" t="0" r="r" b="b"/>
            <a:pathLst>
              <a:path w="59" h="38">
                <a:moveTo>
                  <a:pt x="0" y="2"/>
                </a:moveTo>
                <a:cubicBezTo>
                  <a:pt x="2" y="1"/>
                  <a:pt x="4" y="0"/>
                  <a:pt x="6" y="0"/>
                </a:cubicBezTo>
                <a:cubicBezTo>
                  <a:pt x="11" y="0"/>
                  <a:pt x="15" y="5"/>
                  <a:pt x="18" y="6"/>
                </a:cubicBezTo>
                <a:cubicBezTo>
                  <a:pt x="37" y="12"/>
                  <a:pt x="48" y="23"/>
                  <a:pt x="59" y="34"/>
                </a:cubicBezTo>
                <a:cubicBezTo>
                  <a:pt x="59" y="38"/>
                  <a:pt x="59" y="38"/>
                  <a:pt x="59" y="38"/>
                </a:cubicBezTo>
                <a:cubicBezTo>
                  <a:pt x="58" y="38"/>
                  <a:pt x="56" y="38"/>
                  <a:pt x="55" y="38"/>
                </a:cubicBezTo>
                <a:cubicBezTo>
                  <a:pt x="45" y="38"/>
                  <a:pt x="29" y="26"/>
                  <a:pt x="22" y="22"/>
                </a:cubicBezTo>
                <a:cubicBezTo>
                  <a:pt x="23" y="19"/>
                  <a:pt x="25" y="19"/>
                  <a:pt x="27" y="17"/>
                </a:cubicBezTo>
                <a:cubicBezTo>
                  <a:pt x="18" y="17"/>
                  <a:pt x="6" y="13"/>
                  <a:pt x="4" y="8"/>
                </a:cubicBezTo>
                <a:cubicBezTo>
                  <a:pt x="6" y="7"/>
                  <a:pt x="8" y="5"/>
                  <a:pt x="8" y="4"/>
                </a:cubicBezTo>
                <a:cubicBezTo>
                  <a:pt x="6" y="3"/>
                  <a:pt x="2" y="2"/>
                  <a:pt x="2" y="2"/>
                </a:cubicBezTo>
                <a:lnTo>
                  <a:pt x="0" y="2"/>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75" name="Freeform 95" hidden="1">
            <a:extLst>
              <a:ext uri="{FF2B5EF4-FFF2-40B4-BE49-F238E27FC236}">
                <a16:creationId xmlns:a16="http://schemas.microsoft.com/office/drawing/2014/main" id="{00000000-0008-0000-0000-00004B000000}"/>
              </a:ext>
            </a:extLst>
          </xdr:cNvPr>
          <xdr:cNvSpPr>
            <a:spLocks/>
          </xdr:cNvSpPr>
        </xdr:nvSpPr>
        <xdr:spPr bwMode="auto">
          <a:xfrm>
            <a:off x="2162175" y="1876425"/>
            <a:ext cx="28575" cy="39688"/>
          </a:xfrm>
          <a:custGeom>
            <a:avLst/>
            <a:gdLst/>
            <a:ahLst/>
            <a:cxnLst>
              <a:cxn ang="0">
                <a:pos x="5" y="12"/>
              </a:cxn>
              <a:cxn ang="0">
                <a:pos x="0" y="4"/>
              </a:cxn>
              <a:cxn ang="0">
                <a:pos x="0" y="0"/>
              </a:cxn>
              <a:cxn ang="0">
                <a:pos x="10" y="3"/>
              </a:cxn>
              <a:cxn ang="0">
                <a:pos x="7" y="8"/>
              </a:cxn>
              <a:cxn ang="0">
                <a:pos x="13" y="3"/>
              </a:cxn>
              <a:cxn ang="0">
                <a:pos x="13" y="12"/>
              </a:cxn>
              <a:cxn ang="0">
                <a:pos x="15" y="18"/>
              </a:cxn>
              <a:cxn ang="0">
                <a:pos x="13" y="22"/>
              </a:cxn>
              <a:cxn ang="0">
                <a:pos x="17" y="30"/>
              </a:cxn>
              <a:cxn ang="0">
                <a:pos x="10" y="22"/>
              </a:cxn>
              <a:cxn ang="0">
                <a:pos x="12" y="17"/>
              </a:cxn>
              <a:cxn ang="0">
                <a:pos x="5" y="12"/>
              </a:cxn>
            </a:cxnLst>
            <a:rect l="0" t="0" r="r" b="b"/>
            <a:pathLst>
              <a:path w="21" h="30">
                <a:moveTo>
                  <a:pt x="5" y="12"/>
                </a:moveTo>
                <a:cubicBezTo>
                  <a:pt x="3" y="12"/>
                  <a:pt x="2" y="6"/>
                  <a:pt x="0" y="4"/>
                </a:cubicBezTo>
                <a:cubicBezTo>
                  <a:pt x="0" y="0"/>
                  <a:pt x="0" y="0"/>
                  <a:pt x="0" y="0"/>
                </a:cubicBezTo>
                <a:cubicBezTo>
                  <a:pt x="4" y="0"/>
                  <a:pt x="6" y="3"/>
                  <a:pt x="10" y="3"/>
                </a:cubicBezTo>
                <a:cubicBezTo>
                  <a:pt x="10" y="4"/>
                  <a:pt x="5" y="8"/>
                  <a:pt x="7" y="8"/>
                </a:cubicBezTo>
                <a:cubicBezTo>
                  <a:pt x="10" y="8"/>
                  <a:pt x="12" y="5"/>
                  <a:pt x="13" y="3"/>
                </a:cubicBezTo>
                <a:cubicBezTo>
                  <a:pt x="14" y="5"/>
                  <a:pt x="13" y="8"/>
                  <a:pt x="13" y="12"/>
                </a:cubicBezTo>
                <a:cubicBezTo>
                  <a:pt x="13" y="15"/>
                  <a:pt x="15" y="15"/>
                  <a:pt x="15" y="18"/>
                </a:cubicBezTo>
                <a:cubicBezTo>
                  <a:pt x="15" y="19"/>
                  <a:pt x="13" y="20"/>
                  <a:pt x="13" y="22"/>
                </a:cubicBezTo>
                <a:cubicBezTo>
                  <a:pt x="13" y="24"/>
                  <a:pt x="21" y="30"/>
                  <a:pt x="17" y="30"/>
                </a:cubicBezTo>
                <a:cubicBezTo>
                  <a:pt x="13" y="30"/>
                  <a:pt x="10" y="26"/>
                  <a:pt x="10" y="22"/>
                </a:cubicBezTo>
                <a:cubicBezTo>
                  <a:pt x="10" y="19"/>
                  <a:pt x="12" y="18"/>
                  <a:pt x="12" y="17"/>
                </a:cubicBezTo>
                <a:cubicBezTo>
                  <a:pt x="9" y="16"/>
                  <a:pt x="8" y="12"/>
                  <a:pt x="5" y="12"/>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76" name="Freeform 96" hidden="1">
            <a:extLst>
              <a:ext uri="{FF2B5EF4-FFF2-40B4-BE49-F238E27FC236}">
                <a16:creationId xmlns:a16="http://schemas.microsoft.com/office/drawing/2014/main" id="{00000000-0008-0000-0000-00004C000000}"/>
              </a:ext>
            </a:extLst>
          </xdr:cNvPr>
          <xdr:cNvSpPr>
            <a:spLocks/>
          </xdr:cNvSpPr>
        </xdr:nvSpPr>
        <xdr:spPr bwMode="auto">
          <a:xfrm>
            <a:off x="1803400" y="1787525"/>
            <a:ext cx="34925" cy="23813"/>
          </a:xfrm>
          <a:custGeom>
            <a:avLst/>
            <a:gdLst/>
            <a:ahLst/>
            <a:cxnLst>
              <a:cxn ang="0">
                <a:pos x="21" y="0"/>
              </a:cxn>
              <a:cxn ang="0">
                <a:pos x="27" y="0"/>
              </a:cxn>
              <a:cxn ang="0">
                <a:pos x="27" y="6"/>
              </a:cxn>
              <a:cxn ang="0">
                <a:pos x="10" y="18"/>
              </a:cxn>
              <a:cxn ang="0">
                <a:pos x="0" y="12"/>
              </a:cxn>
              <a:cxn ang="0">
                <a:pos x="0" y="7"/>
              </a:cxn>
              <a:cxn ang="0">
                <a:pos x="21" y="0"/>
              </a:cxn>
            </a:cxnLst>
            <a:rect l="0" t="0" r="r" b="b"/>
            <a:pathLst>
              <a:path w="27" h="18">
                <a:moveTo>
                  <a:pt x="21" y="0"/>
                </a:moveTo>
                <a:cubicBezTo>
                  <a:pt x="25" y="0"/>
                  <a:pt x="25" y="0"/>
                  <a:pt x="27" y="0"/>
                </a:cubicBezTo>
                <a:cubicBezTo>
                  <a:pt x="27" y="6"/>
                  <a:pt x="27" y="6"/>
                  <a:pt x="27" y="6"/>
                </a:cubicBezTo>
                <a:cubicBezTo>
                  <a:pt x="19" y="10"/>
                  <a:pt x="16" y="13"/>
                  <a:pt x="10" y="18"/>
                </a:cubicBezTo>
                <a:cubicBezTo>
                  <a:pt x="6" y="15"/>
                  <a:pt x="3" y="15"/>
                  <a:pt x="0" y="12"/>
                </a:cubicBezTo>
                <a:cubicBezTo>
                  <a:pt x="0" y="7"/>
                  <a:pt x="0" y="7"/>
                  <a:pt x="0" y="7"/>
                </a:cubicBezTo>
                <a:cubicBezTo>
                  <a:pt x="8" y="5"/>
                  <a:pt x="14" y="0"/>
                  <a:pt x="21" y="0"/>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77" name="Freeform 97" hidden="1">
            <a:extLst>
              <a:ext uri="{FF2B5EF4-FFF2-40B4-BE49-F238E27FC236}">
                <a16:creationId xmlns:a16="http://schemas.microsoft.com/office/drawing/2014/main" id="{00000000-0008-0000-0000-00004D000000}"/>
              </a:ext>
            </a:extLst>
          </xdr:cNvPr>
          <xdr:cNvSpPr>
            <a:spLocks/>
          </xdr:cNvSpPr>
        </xdr:nvSpPr>
        <xdr:spPr bwMode="auto">
          <a:xfrm>
            <a:off x="3311525" y="1963738"/>
            <a:ext cx="42863" cy="22225"/>
          </a:xfrm>
          <a:custGeom>
            <a:avLst/>
            <a:gdLst/>
            <a:ahLst/>
            <a:cxnLst>
              <a:cxn ang="0">
                <a:pos x="26" y="17"/>
              </a:cxn>
              <a:cxn ang="0">
                <a:pos x="32" y="14"/>
              </a:cxn>
              <a:cxn ang="0">
                <a:pos x="0" y="3"/>
              </a:cxn>
              <a:cxn ang="0">
                <a:pos x="26" y="17"/>
              </a:cxn>
            </a:cxnLst>
            <a:rect l="0" t="0" r="r" b="b"/>
            <a:pathLst>
              <a:path w="32" h="17">
                <a:moveTo>
                  <a:pt x="26" y="17"/>
                </a:moveTo>
                <a:cubicBezTo>
                  <a:pt x="29" y="17"/>
                  <a:pt x="30" y="16"/>
                  <a:pt x="32" y="14"/>
                </a:cubicBezTo>
                <a:cubicBezTo>
                  <a:pt x="22" y="9"/>
                  <a:pt x="14" y="0"/>
                  <a:pt x="0" y="3"/>
                </a:cubicBezTo>
                <a:cubicBezTo>
                  <a:pt x="6" y="7"/>
                  <a:pt x="18" y="17"/>
                  <a:pt x="26" y="17"/>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78" name="Freeform 98" hidden="1">
            <a:extLst>
              <a:ext uri="{FF2B5EF4-FFF2-40B4-BE49-F238E27FC236}">
                <a16:creationId xmlns:a16="http://schemas.microsoft.com/office/drawing/2014/main" id="{00000000-0008-0000-0000-00004E000000}"/>
              </a:ext>
            </a:extLst>
          </xdr:cNvPr>
          <xdr:cNvSpPr>
            <a:spLocks/>
          </xdr:cNvSpPr>
        </xdr:nvSpPr>
        <xdr:spPr bwMode="auto">
          <a:xfrm>
            <a:off x="3314700" y="2030413"/>
            <a:ext cx="31750" cy="20638"/>
          </a:xfrm>
          <a:custGeom>
            <a:avLst/>
            <a:gdLst/>
            <a:ahLst/>
            <a:cxnLst>
              <a:cxn ang="0">
                <a:pos x="1" y="0"/>
              </a:cxn>
              <a:cxn ang="0">
                <a:pos x="11" y="7"/>
              </a:cxn>
              <a:cxn ang="0">
                <a:pos x="24" y="7"/>
              </a:cxn>
              <a:cxn ang="0">
                <a:pos x="24" y="10"/>
              </a:cxn>
              <a:cxn ang="0">
                <a:pos x="19" y="15"/>
              </a:cxn>
              <a:cxn ang="0">
                <a:pos x="0" y="3"/>
              </a:cxn>
              <a:cxn ang="0">
                <a:pos x="1" y="0"/>
              </a:cxn>
            </a:cxnLst>
            <a:rect l="0" t="0" r="r" b="b"/>
            <a:pathLst>
              <a:path w="24" h="15">
                <a:moveTo>
                  <a:pt x="1" y="0"/>
                </a:moveTo>
                <a:cubicBezTo>
                  <a:pt x="4" y="4"/>
                  <a:pt x="7" y="6"/>
                  <a:pt x="11" y="7"/>
                </a:cubicBezTo>
                <a:cubicBezTo>
                  <a:pt x="24" y="7"/>
                  <a:pt x="24" y="7"/>
                  <a:pt x="24" y="7"/>
                </a:cubicBezTo>
                <a:cubicBezTo>
                  <a:pt x="24" y="8"/>
                  <a:pt x="24" y="9"/>
                  <a:pt x="24" y="10"/>
                </a:cubicBezTo>
                <a:cubicBezTo>
                  <a:pt x="24" y="12"/>
                  <a:pt x="20" y="15"/>
                  <a:pt x="19" y="15"/>
                </a:cubicBezTo>
                <a:cubicBezTo>
                  <a:pt x="16" y="15"/>
                  <a:pt x="0" y="6"/>
                  <a:pt x="0" y="3"/>
                </a:cubicBezTo>
                <a:cubicBezTo>
                  <a:pt x="0" y="2"/>
                  <a:pt x="0" y="0"/>
                  <a:pt x="1" y="0"/>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79" name="Freeform 99" hidden="1">
            <a:extLst>
              <a:ext uri="{FF2B5EF4-FFF2-40B4-BE49-F238E27FC236}">
                <a16:creationId xmlns:a16="http://schemas.microsoft.com/office/drawing/2014/main" id="{00000000-0008-0000-0000-00004F000000}"/>
              </a:ext>
            </a:extLst>
          </xdr:cNvPr>
          <xdr:cNvSpPr>
            <a:spLocks/>
          </xdr:cNvSpPr>
        </xdr:nvSpPr>
        <xdr:spPr bwMode="auto">
          <a:xfrm>
            <a:off x="3362325" y="2030413"/>
            <a:ext cx="22225" cy="26988"/>
          </a:xfrm>
          <a:custGeom>
            <a:avLst/>
            <a:gdLst/>
            <a:ahLst/>
            <a:cxnLst>
              <a:cxn ang="0">
                <a:pos x="17" y="12"/>
              </a:cxn>
              <a:cxn ang="0">
                <a:pos x="17" y="15"/>
              </a:cxn>
              <a:cxn ang="0">
                <a:pos x="7" y="20"/>
              </a:cxn>
              <a:cxn ang="0">
                <a:pos x="0" y="15"/>
              </a:cxn>
              <a:cxn ang="0">
                <a:pos x="10" y="0"/>
              </a:cxn>
              <a:cxn ang="0">
                <a:pos x="14" y="5"/>
              </a:cxn>
              <a:cxn ang="0">
                <a:pos x="17" y="12"/>
              </a:cxn>
            </a:cxnLst>
            <a:rect l="0" t="0" r="r" b="b"/>
            <a:pathLst>
              <a:path w="17" h="20">
                <a:moveTo>
                  <a:pt x="17" y="12"/>
                </a:moveTo>
                <a:cubicBezTo>
                  <a:pt x="17" y="12"/>
                  <a:pt x="17" y="14"/>
                  <a:pt x="17" y="15"/>
                </a:cubicBezTo>
                <a:cubicBezTo>
                  <a:pt x="17" y="18"/>
                  <a:pt x="12" y="20"/>
                  <a:pt x="7" y="20"/>
                </a:cubicBezTo>
                <a:cubicBezTo>
                  <a:pt x="3" y="20"/>
                  <a:pt x="0" y="18"/>
                  <a:pt x="0" y="15"/>
                </a:cubicBezTo>
                <a:cubicBezTo>
                  <a:pt x="0" y="13"/>
                  <a:pt x="6" y="2"/>
                  <a:pt x="10" y="0"/>
                </a:cubicBezTo>
                <a:cubicBezTo>
                  <a:pt x="11" y="2"/>
                  <a:pt x="14" y="3"/>
                  <a:pt x="14" y="5"/>
                </a:cubicBezTo>
                <a:cubicBezTo>
                  <a:pt x="14" y="9"/>
                  <a:pt x="7" y="12"/>
                  <a:pt x="17" y="12"/>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80" name="Freeform 100" hidden="1">
            <a:extLst>
              <a:ext uri="{FF2B5EF4-FFF2-40B4-BE49-F238E27FC236}">
                <a16:creationId xmlns:a16="http://schemas.microsoft.com/office/drawing/2014/main" id="{00000000-0008-0000-0000-000050000000}"/>
              </a:ext>
            </a:extLst>
          </xdr:cNvPr>
          <xdr:cNvSpPr>
            <a:spLocks/>
          </xdr:cNvSpPr>
        </xdr:nvSpPr>
        <xdr:spPr bwMode="auto">
          <a:xfrm>
            <a:off x="1593850" y="1724025"/>
            <a:ext cx="26988" cy="12700"/>
          </a:xfrm>
          <a:custGeom>
            <a:avLst/>
            <a:gdLst/>
            <a:ahLst/>
            <a:cxnLst>
              <a:cxn ang="0">
                <a:pos x="6" y="4"/>
              </a:cxn>
              <a:cxn ang="0">
                <a:pos x="13" y="1"/>
              </a:cxn>
              <a:cxn ang="0">
                <a:pos x="20" y="9"/>
              </a:cxn>
              <a:cxn ang="0">
                <a:pos x="5" y="9"/>
              </a:cxn>
              <a:cxn ang="0">
                <a:pos x="0" y="4"/>
              </a:cxn>
              <a:cxn ang="0">
                <a:pos x="6" y="4"/>
              </a:cxn>
            </a:cxnLst>
            <a:rect l="0" t="0" r="r" b="b"/>
            <a:pathLst>
              <a:path w="20" h="9">
                <a:moveTo>
                  <a:pt x="6" y="4"/>
                </a:moveTo>
                <a:cubicBezTo>
                  <a:pt x="8" y="0"/>
                  <a:pt x="10" y="1"/>
                  <a:pt x="13" y="1"/>
                </a:cubicBezTo>
                <a:cubicBezTo>
                  <a:pt x="18" y="1"/>
                  <a:pt x="19" y="4"/>
                  <a:pt x="20" y="9"/>
                </a:cubicBezTo>
                <a:cubicBezTo>
                  <a:pt x="5" y="9"/>
                  <a:pt x="5" y="9"/>
                  <a:pt x="5" y="9"/>
                </a:cubicBezTo>
                <a:cubicBezTo>
                  <a:pt x="3" y="7"/>
                  <a:pt x="1" y="6"/>
                  <a:pt x="0" y="4"/>
                </a:cubicBezTo>
                <a:lnTo>
                  <a:pt x="6" y="4"/>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grpSp>
    <xdr:clientData fLocksWithSheet="0"/>
  </xdr:twoCellAnchor>
  <xdr:twoCellAnchor editAs="absolute">
    <xdr:from>
      <xdr:col>8</xdr:col>
      <xdr:colOff>1631330</xdr:colOff>
      <xdr:row>22</xdr:row>
      <xdr:rowOff>31101</xdr:rowOff>
    </xdr:from>
    <xdr:to>
      <xdr:col>9</xdr:col>
      <xdr:colOff>1068887</xdr:colOff>
      <xdr:row>31</xdr:row>
      <xdr:rowOff>102041</xdr:rowOff>
    </xdr:to>
    <xdr:grpSp>
      <xdr:nvGrpSpPr>
        <xdr:cNvPr id="81" name="P_2" hidden="1">
          <a:extLst>
            <a:ext uri="{FF2B5EF4-FFF2-40B4-BE49-F238E27FC236}">
              <a16:creationId xmlns:a16="http://schemas.microsoft.com/office/drawing/2014/main" id="{00000000-0008-0000-0000-000051000000}"/>
            </a:ext>
          </a:extLst>
        </xdr:cNvPr>
        <xdr:cNvGrpSpPr/>
      </xdr:nvGrpSpPr>
      <xdr:grpSpPr>
        <a:xfrm>
          <a:off x="12745100" y="7030071"/>
          <a:ext cx="1226987" cy="1715590"/>
          <a:chOff x="3030538" y="2674938"/>
          <a:chExt cx="779463" cy="1258888"/>
        </a:xfrm>
        <a:solidFill>
          <a:srgbClr val="FEDD00"/>
        </a:solidFill>
      </xdr:grpSpPr>
      <xdr:sp macro="" textlink="">
        <xdr:nvSpPr>
          <xdr:cNvPr id="82" name="Freeform 22" hidden="1">
            <a:extLst>
              <a:ext uri="{FF2B5EF4-FFF2-40B4-BE49-F238E27FC236}">
                <a16:creationId xmlns:a16="http://schemas.microsoft.com/office/drawing/2014/main" id="{00000000-0008-0000-0000-000052000000}"/>
              </a:ext>
            </a:extLst>
          </xdr:cNvPr>
          <xdr:cNvSpPr>
            <a:spLocks/>
          </xdr:cNvSpPr>
        </xdr:nvSpPr>
        <xdr:spPr bwMode="auto">
          <a:xfrm>
            <a:off x="3541713" y="2881313"/>
            <a:ext cx="39688" cy="31750"/>
          </a:xfrm>
          <a:custGeom>
            <a:avLst/>
            <a:gdLst/>
            <a:ahLst/>
            <a:cxnLst>
              <a:cxn ang="0">
                <a:pos x="10" y="0"/>
              </a:cxn>
              <a:cxn ang="0">
                <a:pos x="20" y="4"/>
              </a:cxn>
              <a:cxn ang="0">
                <a:pos x="27" y="5"/>
              </a:cxn>
              <a:cxn ang="0">
                <a:pos x="30" y="9"/>
              </a:cxn>
              <a:cxn ang="0">
                <a:pos x="18" y="23"/>
              </a:cxn>
              <a:cxn ang="0">
                <a:pos x="0" y="11"/>
              </a:cxn>
              <a:cxn ang="0">
                <a:pos x="9" y="0"/>
              </a:cxn>
              <a:cxn ang="0">
                <a:pos x="10" y="0"/>
              </a:cxn>
            </a:cxnLst>
            <a:rect l="0" t="0" r="r" b="b"/>
            <a:pathLst>
              <a:path w="30" h="23">
                <a:moveTo>
                  <a:pt x="10" y="0"/>
                </a:moveTo>
                <a:cubicBezTo>
                  <a:pt x="13" y="1"/>
                  <a:pt x="16" y="4"/>
                  <a:pt x="20" y="4"/>
                </a:cubicBezTo>
                <a:cubicBezTo>
                  <a:pt x="21" y="9"/>
                  <a:pt x="25" y="5"/>
                  <a:pt x="27" y="5"/>
                </a:cubicBezTo>
                <a:cubicBezTo>
                  <a:pt x="29" y="5"/>
                  <a:pt x="30" y="8"/>
                  <a:pt x="30" y="9"/>
                </a:cubicBezTo>
                <a:cubicBezTo>
                  <a:pt x="30" y="12"/>
                  <a:pt x="23" y="23"/>
                  <a:pt x="18" y="23"/>
                </a:cubicBezTo>
                <a:cubicBezTo>
                  <a:pt x="11" y="23"/>
                  <a:pt x="0" y="15"/>
                  <a:pt x="0" y="11"/>
                </a:cubicBezTo>
                <a:cubicBezTo>
                  <a:pt x="0" y="4"/>
                  <a:pt x="3" y="0"/>
                  <a:pt x="9" y="0"/>
                </a:cubicBezTo>
                <a:cubicBezTo>
                  <a:pt x="9" y="0"/>
                  <a:pt x="10" y="0"/>
                  <a:pt x="10" y="0"/>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83" name="Freeform 23" hidden="1">
            <a:extLst>
              <a:ext uri="{FF2B5EF4-FFF2-40B4-BE49-F238E27FC236}">
                <a16:creationId xmlns:a16="http://schemas.microsoft.com/office/drawing/2014/main" id="{00000000-0008-0000-0000-000053000000}"/>
              </a:ext>
            </a:extLst>
          </xdr:cNvPr>
          <xdr:cNvSpPr>
            <a:spLocks/>
          </xdr:cNvSpPr>
        </xdr:nvSpPr>
        <xdr:spPr bwMode="auto">
          <a:xfrm>
            <a:off x="3030538" y="2674938"/>
            <a:ext cx="779463" cy="1258888"/>
          </a:xfrm>
          <a:custGeom>
            <a:avLst/>
            <a:gdLst/>
            <a:ahLst/>
            <a:cxnLst>
              <a:cxn ang="0">
                <a:pos x="46" y="91"/>
              </a:cxn>
              <a:cxn ang="0">
                <a:pos x="51" y="51"/>
              </a:cxn>
              <a:cxn ang="0">
                <a:pos x="59" y="46"/>
              </a:cxn>
              <a:cxn ang="0">
                <a:pos x="82" y="18"/>
              </a:cxn>
              <a:cxn ang="0">
                <a:pos x="128" y="6"/>
              </a:cxn>
              <a:cxn ang="0">
                <a:pos x="126" y="42"/>
              </a:cxn>
              <a:cxn ang="0">
                <a:pos x="136" y="13"/>
              </a:cxn>
              <a:cxn ang="0">
                <a:pos x="146" y="5"/>
              </a:cxn>
              <a:cxn ang="0">
                <a:pos x="194" y="24"/>
              </a:cxn>
              <a:cxn ang="0">
                <a:pos x="227" y="20"/>
              </a:cxn>
              <a:cxn ang="0">
                <a:pos x="233" y="26"/>
              </a:cxn>
              <a:cxn ang="0">
                <a:pos x="270" y="50"/>
              </a:cxn>
              <a:cxn ang="0">
                <a:pos x="328" y="84"/>
              </a:cxn>
              <a:cxn ang="0">
                <a:pos x="354" y="89"/>
              </a:cxn>
              <a:cxn ang="0">
                <a:pos x="389" y="130"/>
              </a:cxn>
              <a:cxn ang="0">
                <a:pos x="383" y="170"/>
              </a:cxn>
              <a:cxn ang="0">
                <a:pos x="403" y="185"/>
              </a:cxn>
              <a:cxn ang="0">
                <a:pos x="454" y="175"/>
              </a:cxn>
              <a:cxn ang="0">
                <a:pos x="467" y="191"/>
              </a:cxn>
              <a:cxn ang="0">
                <a:pos x="513" y="191"/>
              </a:cxn>
              <a:cxn ang="0">
                <a:pos x="575" y="220"/>
              </a:cxn>
              <a:cxn ang="0">
                <a:pos x="549" y="310"/>
              </a:cxn>
              <a:cxn ang="0">
                <a:pos x="532" y="374"/>
              </a:cxn>
              <a:cxn ang="0">
                <a:pos x="522" y="405"/>
              </a:cxn>
              <a:cxn ang="0">
                <a:pos x="485" y="449"/>
              </a:cxn>
              <a:cxn ang="0">
                <a:pos x="429" y="474"/>
              </a:cxn>
              <a:cxn ang="0">
                <a:pos x="412" y="524"/>
              </a:cxn>
              <a:cxn ang="0">
                <a:pos x="388" y="559"/>
              </a:cxn>
              <a:cxn ang="0">
                <a:pos x="311" y="614"/>
              </a:cxn>
              <a:cxn ang="0">
                <a:pos x="297" y="619"/>
              </a:cxn>
              <a:cxn ang="0">
                <a:pos x="308" y="654"/>
              </a:cxn>
              <a:cxn ang="0">
                <a:pos x="244" y="677"/>
              </a:cxn>
              <a:cxn ang="0">
                <a:pos x="240" y="707"/>
              </a:cxn>
              <a:cxn ang="0">
                <a:pos x="205" y="711"/>
              </a:cxn>
              <a:cxn ang="0">
                <a:pos x="225" y="730"/>
              </a:cxn>
              <a:cxn ang="0">
                <a:pos x="214" y="739"/>
              </a:cxn>
              <a:cxn ang="0">
                <a:pos x="178" y="787"/>
              </a:cxn>
              <a:cxn ang="0">
                <a:pos x="176" y="846"/>
              </a:cxn>
              <a:cxn ang="0">
                <a:pos x="161" y="884"/>
              </a:cxn>
              <a:cxn ang="0">
                <a:pos x="200" y="935"/>
              </a:cxn>
              <a:cxn ang="0">
                <a:pos x="169" y="945"/>
              </a:cxn>
              <a:cxn ang="0">
                <a:pos x="127" y="921"/>
              </a:cxn>
              <a:cxn ang="0">
                <a:pos x="92" y="903"/>
              </a:cxn>
              <a:cxn ang="0">
                <a:pos x="93" y="889"/>
              </a:cxn>
              <a:cxn ang="0">
                <a:pos x="84" y="857"/>
              </a:cxn>
              <a:cxn ang="0">
                <a:pos x="82" y="791"/>
              </a:cxn>
              <a:cxn ang="0">
                <a:pos x="86" y="782"/>
              </a:cxn>
              <a:cxn ang="0">
                <a:pos x="112" y="718"/>
              </a:cxn>
              <a:cxn ang="0">
                <a:pos x="95" y="708"/>
              </a:cxn>
              <a:cxn ang="0">
                <a:pos x="102" y="680"/>
              </a:cxn>
              <a:cxn ang="0">
                <a:pos x="114" y="626"/>
              </a:cxn>
              <a:cxn ang="0">
                <a:pos x="124" y="562"/>
              </a:cxn>
              <a:cxn ang="0">
                <a:pos x="136" y="494"/>
              </a:cxn>
              <a:cxn ang="0">
                <a:pos x="143" y="434"/>
              </a:cxn>
              <a:cxn ang="0">
                <a:pos x="104" y="370"/>
              </a:cxn>
              <a:cxn ang="0">
                <a:pos x="62" y="330"/>
              </a:cxn>
              <a:cxn ang="0">
                <a:pos x="28" y="261"/>
              </a:cxn>
              <a:cxn ang="0">
                <a:pos x="11" y="242"/>
              </a:cxn>
              <a:cxn ang="0">
                <a:pos x="18" y="191"/>
              </a:cxn>
              <a:cxn ang="0">
                <a:pos x="14" y="148"/>
              </a:cxn>
              <a:cxn ang="0">
                <a:pos x="47" y="106"/>
              </a:cxn>
            </a:cxnLst>
            <a:rect l="0" t="0" r="r" b="b"/>
            <a:pathLst>
              <a:path w="586" h="945">
                <a:moveTo>
                  <a:pt x="49" y="103"/>
                </a:moveTo>
                <a:cubicBezTo>
                  <a:pt x="49" y="102"/>
                  <a:pt x="49" y="101"/>
                  <a:pt x="49" y="100"/>
                </a:cubicBezTo>
                <a:cubicBezTo>
                  <a:pt x="49" y="97"/>
                  <a:pt x="46" y="94"/>
                  <a:pt x="46" y="91"/>
                </a:cubicBezTo>
                <a:cubicBezTo>
                  <a:pt x="46" y="85"/>
                  <a:pt x="48" y="84"/>
                  <a:pt x="48" y="79"/>
                </a:cubicBezTo>
                <a:cubicBezTo>
                  <a:pt x="48" y="70"/>
                  <a:pt x="40" y="71"/>
                  <a:pt x="40" y="63"/>
                </a:cubicBezTo>
                <a:cubicBezTo>
                  <a:pt x="40" y="57"/>
                  <a:pt x="49" y="55"/>
                  <a:pt x="51" y="51"/>
                </a:cubicBezTo>
                <a:cubicBezTo>
                  <a:pt x="55" y="52"/>
                  <a:pt x="53" y="52"/>
                  <a:pt x="57" y="51"/>
                </a:cubicBezTo>
                <a:cubicBezTo>
                  <a:pt x="57" y="50"/>
                  <a:pt x="57" y="49"/>
                  <a:pt x="57" y="48"/>
                </a:cubicBezTo>
                <a:cubicBezTo>
                  <a:pt x="57" y="48"/>
                  <a:pt x="58" y="46"/>
                  <a:pt x="59" y="46"/>
                </a:cubicBezTo>
                <a:cubicBezTo>
                  <a:pt x="59" y="42"/>
                  <a:pt x="64" y="40"/>
                  <a:pt x="66" y="39"/>
                </a:cubicBezTo>
                <a:cubicBezTo>
                  <a:pt x="69" y="37"/>
                  <a:pt x="69" y="31"/>
                  <a:pt x="70" y="28"/>
                </a:cubicBezTo>
                <a:cubicBezTo>
                  <a:pt x="72" y="21"/>
                  <a:pt x="76" y="19"/>
                  <a:pt x="82" y="18"/>
                </a:cubicBezTo>
                <a:cubicBezTo>
                  <a:pt x="93" y="14"/>
                  <a:pt x="100" y="12"/>
                  <a:pt x="111" y="9"/>
                </a:cubicBezTo>
                <a:cubicBezTo>
                  <a:pt x="117" y="7"/>
                  <a:pt x="118" y="0"/>
                  <a:pt x="124" y="0"/>
                </a:cubicBezTo>
                <a:cubicBezTo>
                  <a:pt x="126" y="0"/>
                  <a:pt x="128" y="5"/>
                  <a:pt x="128" y="6"/>
                </a:cubicBezTo>
                <a:cubicBezTo>
                  <a:pt x="128" y="9"/>
                  <a:pt x="125" y="11"/>
                  <a:pt x="123" y="11"/>
                </a:cubicBezTo>
                <a:cubicBezTo>
                  <a:pt x="122" y="18"/>
                  <a:pt x="119" y="25"/>
                  <a:pt x="119" y="29"/>
                </a:cubicBezTo>
                <a:cubicBezTo>
                  <a:pt x="119" y="34"/>
                  <a:pt x="122" y="42"/>
                  <a:pt x="126" y="42"/>
                </a:cubicBezTo>
                <a:cubicBezTo>
                  <a:pt x="128" y="42"/>
                  <a:pt x="131" y="37"/>
                  <a:pt x="131" y="35"/>
                </a:cubicBezTo>
                <a:cubicBezTo>
                  <a:pt x="131" y="30"/>
                  <a:pt x="125" y="27"/>
                  <a:pt x="125" y="21"/>
                </a:cubicBezTo>
                <a:cubicBezTo>
                  <a:pt x="125" y="15"/>
                  <a:pt x="132" y="16"/>
                  <a:pt x="136" y="13"/>
                </a:cubicBezTo>
                <a:cubicBezTo>
                  <a:pt x="147" y="13"/>
                  <a:pt x="147" y="13"/>
                  <a:pt x="147" y="13"/>
                </a:cubicBezTo>
                <a:cubicBezTo>
                  <a:pt x="145" y="8"/>
                  <a:pt x="139" y="10"/>
                  <a:pt x="139" y="5"/>
                </a:cubicBezTo>
                <a:cubicBezTo>
                  <a:pt x="146" y="5"/>
                  <a:pt x="146" y="5"/>
                  <a:pt x="146" y="5"/>
                </a:cubicBezTo>
                <a:cubicBezTo>
                  <a:pt x="148" y="12"/>
                  <a:pt x="158" y="14"/>
                  <a:pt x="165" y="16"/>
                </a:cubicBezTo>
                <a:cubicBezTo>
                  <a:pt x="165" y="20"/>
                  <a:pt x="167" y="23"/>
                  <a:pt x="170" y="24"/>
                </a:cubicBezTo>
                <a:cubicBezTo>
                  <a:pt x="177" y="24"/>
                  <a:pt x="190" y="24"/>
                  <a:pt x="194" y="24"/>
                </a:cubicBezTo>
                <a:cubicBezTo>
                  <a:pt x="194" y="28"/>
                  <a:pt x="199" y="29"/>
                  <a:pt x="203" y="29"/>
                </a:cubicBezTo>
                <a:cubicBezTo>
                  <a:pt x="209" y="28"/>
                  <a:pt x="214" y="28"/>
                  <a:pt x="216" y="22"/>
                </a:cubicBezTo>
                <a:cubicBezTo>
                  <a:pt x="217" y="21"/>
                  <a:pt x="226" y="21"/>
                  <a:pt x="227" y="20"/>
                </a:cubicBezTo>
                <a:cubicBezTo>
                  <a:pt x="232" y="20"/>
                  <a:pt x="240" y="21"/>
                  <a:pt x="240" y="21"/>
                </a:cubicBezTo>
                <a:cubicBezTo>
                  <a:pt x="238" y="23"/>
                  <a:pt x="234" y="23"/>
                  <a:pt x="233" y="22"/>
                </a:cubicBezTo>
                <a:cubicBezTo>
                  <a:pt x="233" y="26"/>
                  <a:pt x="233" y="26"/>
                  <a:pt x="233" y="26"/>
                </a:cubicBezTo>
                <a:cubicBezTo>
                  <a:pt x="236" y="32"/>
                  <a:pt x="245" y="33"/>
                  <a:pt x="252" y="36"/>
                </a:cubicBezTo>
                <a:cubicBezTo>
                  <a:pt x="258" y="37"/>
                  <a:pt x="256" y="44"/>
                  <a:pt x="258" y="50"/>
                </a:cubicBezTo>
                <a:cubicBezTo>
                  <a:pt x="270" y="50"/>
                  <a:pt x="270" y="50"/>
                  <a:pt x="270" y="50"/>
                </a:cubicBezTo>
                <a:cubicBezTo>
                  <a:pt x="279" y="58"/>
                  <a:pt x="283" y="57"/>
                  <a:pt x="288" y="68"/>
                </a:cubicBezTo>
                <a:cubicBezTo>
                  <a:pt x="289" y="70"/>
                  <a:pt x="293" y="70"/>
                  <a:pt x="295" y="70"/>
                </a:cubicBezTo>
                <a:cubicBezTo>
                  <a:pt x="298" y="83"/>
                  <a:pt x="316" y="81"/>
                  <a:pt x="328" y="84"/>
                </a:cubicBezTo>
                <a:cubicBezTo>
                  <a:pt x="340" y="84"/>
                  <a:pt x="340" y="84"/>
                  <a:pt x="340" y="84"/>
                </a:cubicBezTo>
                <a:cubicBezTo>
                  <a:pt x="343" y="85"/>
                  <a:pt x="350" y="89"/>
                  <a:pt x="354" y="89"/>
                </a:cubicBezTo>
                <a:cubicBezTo>
                  <a:pt x="354" y="89"/>
                  <a:pt x="354" y="89"/>
                  <a:pt x="354" y="89"/>
                </a:cubicBezTo>
                <a:cubicBezTo>
                  <a:pt x="355" y="89"/>
                  <a:pt x="356" y="89"/>
                  <a:pt x="357" y="89"/>
                </a:cubicBezTo>
                <a:cubicBezTo>
                  <a:pt x="364" y="89"/>
                  <a:pt x="373" y="104"/>
                  <a:pt x="381" y="106"/>
                </a:cubicBezTo>
                <a:cubicBezTo>
                  <a:pt x="381" y="111"/>
                  <a:pt x="386" y="125"/>
                  <a:pt x="389" y="130"/>
                </a:cubicBezTo>
                <a:cubicBezTo>
                  <a:pt x="391" y="134"/>
                  <a:pt x="397" y="134"/>
                  <a:pt x="397" y="139"/>
                </a:cubicBezTo>
                <a:cubicBezTo>
                  <a:pt x="390" y="148"/>
                  <a:pt x="377" y="152"/>
                  <a:pt x="377" y="165"/>
                </a:cubicBezTo>
                <a:cubicBezTo>
                  <a:pt x="377" y="170"/>
                  <a:pt x="381" y="169"/>
                  <a:pt x="383" y="170"/>
                </a:cubicBezTo>
                <a:cubicBezTo>
                  <a:pt x="387" y="172"/>
                  <a:pt x="390" y="176"/>
                  <a:pt x="390" y="180"/>
                </a:cubicBezTo>
                <a:cubicBezTo>
                  <a:pt x="401" y="180"/>
                  <a:pt x="401" y="180"/>
                  <a:pt x="401" y="180"/>
                </a:cubicBezTo>
                <a:cubicBezTo>
                  <a:pt x="401" y="182"/>
                  <a:pt x="402" y="185"/>
                  <a:pt x="403" y="185"/>
                </a:cubicBezTo>
                <a:cubicBezTo>
                  <a:pt x="405" y="185"/>
                  <a:pt x="407" y="182"/>
                  <a:pt x="408" y="180"/>
                </a:cubicBezTo>
                <a:cubicBezTo>
                  <a:pt x="413" y="173"/>
                  <a:pt x="418" y="164"/>
                  <a:pt x="425" y="164"/>
                </a:cubicBezTo>
                <a:cubicBezTo>
                  <a:pt x="433" y="164"/>
                  <a:pt x="449" y="172"/>
                  <a:pt x="454" y="175"/>
                </a:cubicBezTo>
                <a:cubicBezTo>
                  <a:pt x="458" y="178"/>
                  <a:pt x="462" y="177"/>
                  <a:pt x="463" y="180"/>
                </a:cubicBezTo>
                <a:cubicBezTo>
                  <a:pt x="464" y="184"/>
                  <a:pt x="464" y="187"/>
                  <a:pt x="464" y="191"/>
                </a:cubicBezTo>
                <a:cubicBezTo>
                  <a:pt x="467" y="191"/>
                  <a:pt x="467" y="191"/>
                  <a:pt x="467" y="191"/>
                </a:cubicBezTo>
                <a:cubicBezTo>
                  <a:pt x="471" y="190"/>
                  <a:pt x="472" y="186"/>
                  <a:pt x="476" y="186"/>
                </a:cubicBezTo>
                <a:cubicBezTo>
                  <a:pt x="486" y="186"/>
                  <a:pt x="487" y="194"/>
                  <a:pt x="496" y="194"/>
                </a:cubicBezTo>
                <a:cubicBezTo>
                  <a:pt x="513" y="191"/>
                  <a:pt x="513" y="191"/>
                  <a:pt x="513" y="191"/>
                </a:cubicBezTo>
                <a:cubicBezTo>
                  <a:pt x="521" y="193"/>
                  <a:pt x="529" y="196"/>
                  <a:pt x="534" y="198"/>
                </a:cubicBezTo>
                <a:cubicBezTo>
                  <a:pt x="538" y="205"/>
                  <a:pt x="551" y="217"/>
                  <a:pt x="558" y="220"/>
                </a:cubicBezTo>
                <a:cubicBezTo>
                  <a:pt x="565" y="221"/>
                  <a:pt x="569" y="219"/>
                  <a:pt x="575" y="220"/>
                </a:cubicBezTo>
                <a:cubicBezTo>
                  <a:pt x="584" y="223"/>
                  <a:pt x="586" y="232"/>
                  <a:pt x="586" y="242"/>
                </a:cubicBezTo>
                <a:cubicBezTo>
                  <a:pt x="586" y="274"/>
                  <a:pt x="568" y="283"/>
                  <a:pt x="556" y="301"/>
                </a:cubicBezTo>
                <a:cubicBezTo>
                  <a:pt x="553" y="305"/>
                  <a:pt x="551" y="306"/>
                  <a:pt x="549" y="310"/>
                </a:cubicBezTo>
                <a:cubicBezTo>
                  <a:pt x="544" y="317"/>
                  <a:pt x="540" y="317"/>
                  <a:pt x="535" y="322"/>
                </a:cubicBezTo>
                <a:cubicBezTo>
                  <a:pt x="529" y="328"/>
                  <a:pt x="535" y="343"/>
                  <a:pt x="535" y="353"/>
                </a:cubicBezTo>
                <a:cubicBezTo>
                  <a:pt x="535" y="361"/>
                  <a:pt x="532" y="369"/>
                  <a:pt x="532" y="374"/>
                </a:cubicBezTo>
                <a:cubicBezTo>
                  <a:pt x="532" y="377"/>
                  <a:pt x="530" y="378"/>
                  <a:pt x="530" y="380"/>
                </a:cubicBezTo>
                <a:cubicBezTo>
                  <a:pt x="528" y="382"/>
                  <a:pt x="524" y="386"/>
                  <a:pt x="524" y="390"/>
                </a:cubicBezTo>
                <a:cubicBezTo>
                  <a:pt x="524" y="394"/>
                  <a:pt x="523" y="403"/>
                  <a:pt x="522" y="405"/>
                </a:cubicBezTo>
                <a:cubicBezTo>
                  <a:pt x="515" y="415"/>
                  <a:pt x="513" y="419"/>
                  <a:pt x="506" y="428"/>
                </a:cubicBezTo>
                <a:cubicBezTo>
                  <a:pt x="505" y="431"/>
                  <a:pt x="505" y="436"/>
                  <a:pt x="504" y="438"/>
                </a:cubicBezTo>
                <a:cubicBezTo>
                  <a:pt x="502" y="443"/>
                  <a:pt x="492" y="449"/>
                  <a:pt x="485" y="449"/>
                </a:cubicBezTo>
                <a:cubicBezTo>
                  <a:pt x="476" y="449"/>
                  <a:pt x="470" y="449"/>
                  <a:pt x="463" y="452"/>
                </a:cubicBezTo>
                <a:cubicBezTo>
                  <a:pt x="461" y="453"/>
                  <a:pt x="460" y="455"/>
                  <a:pt x="459" y="457"/>
                </a:cubicBezTo>
                <a:cubicBezTo>
                  <a:pt x="448" y="467"/>
                  <a:pt x="437" y="461"/>
                  <a:pt x="429" y="474"/>
                </a:cubicBezTo>
                <a:cubicBezTo>
                  <a:pt x="426" y="479"/>
                  <a:pt x="420" y="479"/>
                  <a:pt x="416" y="483"/>
                </a:cubicBezTo>
                <a:cubicBezTo>
                  <a:pt x="411" y="489"/>
                  <a:pt x="412" y="495"/>
                  <a:pt x="412" y="503"/>
                </a:cubicBezTo>
                <a:cubicBezTo>
                  <a:pt x="412" y="524"/>
                  <a:pt x="412" y="524"/>
                  <a:pt x="412" y="524"/>
                </a:cubicBezTo>
                <a:cubicBezTo>
                  <a:pt x="403" y="528"/>
                  <a:pt x="398" y="536"/>
                  <a:pt x="394" y="545"/>
                </a:cubicBezTo>
                <a:cubicBezTo>
                  <a:pt x="394" y="545"/>
                  <a:pt x="394" y="545"/>
                  <a:pt x="394" y="545"/>
                </a:cubicBezTo>
                <a:cubicBezTo>
                  <a:pt x="391" y="550"/>
                  <a:pt x="391" y="553"/>
                  <a:pt x="388" y="559"/>
                </a:cubicBezTo>
                <a:cubicBezTo>
                  <a:pt x="380" y="571"/>
                  <a:pt x="371" y="572"/>
                  <a:pt x="364" y="584"/>
                </a:cubicBezTo>
                <a:cubicBezTo>
                  <a:pt x="355" y="597"/>
                  <a:pt x="351" y="619"/>
                  <a:pt x="331" y="619"/>
                </a:cubicBezTo>
                <a:cubicBezTo>
                  <a:pt x="324" y="619"/>
                  <a:pt x="314" y="614"/>
                  <a:pt x="311" y="614"/>
                </a:cubicBezTo>
                <a:cubicBezTo>
                  <a:pt x="305" y="614"/>
                  <a:pt x="299" y="609"/>
                  <a:pt x="293" y="609"/>
                </a:cubicBezTo>
                <a:cubicBezTo>
                  <a:pt x="291" y="609"/>
                  <a:pt x="289" y="610"/>
                  <a:pt x="289" y="611"/>
                </a:cubicBezTo>
                <a:cubicBezTo>
                  <a:pt x="289" y="615"/>
                  <a:pt x="296" y="617"/>
                  <a:pt x="297" y="619"/>
                </a:cubicBezTo>
                <a:cubicBezTo>
                  <a:pt x="300" y="622"/>
                  <a:pt x="300" y="627"/>
                  <a:pt x="302" y="632"/>
                </a:cubicBezTo>
                <a:cubicBezTo>
                  <a:pt x="304" y="637"/>
                  <a:pt x="311" y="637"/>
                  <a:pt x="311" y="642"/>
                </a:cubicBezTo>
                <a:cubicBezTo>
                  <a:pt x="311" y="647"/>
                  <a:pt x="311" y="650"/>
                  <a:pt x="308" y="654"/>
                </a:cubicBezTo>
                <a:cubicBezTo>
                  <a:pt x="304" y="660"/>
                  <a:pt x="301" y="663"/>
                  <a:pt x="297" y="667"/>
                </a:cubicBezTo>
                <a:cubicBezTo>
                  <a:pt x="289" y="675"/>
                  <a:pt x="280" y="673"/>
                  <a:pt x="270" y="676"/>
                </a:cubicBezTo>
                <a:cubicBezTo>
                  <a:pt x="263" y="678"/>
                  <a:pt x="248" y="673"/>
                  <a:pt x="244" y="677"/>
                </a:cubicBezTo>
                <a:cubicBezTo>
                  <a:pt x="238" y="683"/>
                  <a:pt x="243" y="696"/>
                  <a:pt x="240" y="703"/>
                </a:cubicBezTo>
                <a:cubicBezTo>
                  <a:pt x="240" y="702"/>
                  <a:pt x="240" y="702"/>
                  <a:pt x="240" y="702"/>
                </a:cubicBezTo>
                <a:cubicBezTo>
                  <a:pt x="240" y="703"/>
                  <a:pt x="240" y="706"/>
                  <a:pt x="240" y="707"/>
                </a:cubicBezTo>
                <a:cubicBezTo>
                  <a:pt x="240" y="709"/>
                  <a:pt x="233" y="712"/>
                  <a:pt x="229" y="712"/>
                </a:cubicBezTo>
                <a:cubicBezTo>
                  <a:pt x="220" y="712"/>
                  <a:pt x="218" y="706"/>
                  <a:pt x="210" y="706"/>
                </a:cubicBezTo>
                <a:cubicBezTo>
                  <a:pt x="207" y="706"/>
                  <a:pt x="205" y="709"/>
                  <a:pt x="205" y="711"/>
                </a:cubicBezTo>
                <a:cubicBezTo>
                  <a:pt x="205" y="717"/>
                  <a:pt x="211" y="729"/>
                  <a:pt x="214" y="729"/>
                </a:cubicBezTo>
                <a:cubicBezTo>
                  <a:pt x="217" y="729"/>
                  <a:pt x="219" y="726"/>
                  <a:pt x="221" y="726"/>
                </a:cubicBezTo>
                <a:cubicBezTo>
                  <a:pt x="222" y="728"/>
                  <a:pt x="225" y="728"/>
                  <a:pt x="225" y="730"/>
                </a:cubicBezTo>
                <a:cubicBezTo>
                  <a:pt x="225" y="733"/>
                  <a:pt x="221" y="736"/>
                  <a:pt x="220" y="736"/>
                </a:cubicBezTo>
                <a:cubicBezTo>
                  <a:pt x="215" y="736"/>
                  <a:pt x="213" y="732"/>
                  <a:pt x="209" y="732"/>
                </a:cubicBezTo>
                <a:cubicBezTo>
                  <a:pt x="209" y="737"/>
                  <a:pt x="211" y="738"/>
                  <a:pt x="214" y="739"/>
                </a:cubicBezTo>
                <a:cubicBezTo>
                  <a:pt x="206" y="747"/>
                  <a:pt x="206" y="755"/>
                  <a:pt x="203" y="766"/>
                </a:cubicBezTo>
                <a:cubicBezTo>
                  <a:pt x="202" y="770"/>
                  <a:pt x="194" y="771"/>
                  <a:pt x="191" y="771"/>
                </a:cubicBezTo>
                <a:cubicBezTo>
                  <a:pt x="184" y="773"/>
                  <a:pt x="178" y="779"/>
                  <a:pt x="178" y="787"/>
                </a:cubicBezTo>
                <a:cubicBezTo>
                  <a:pt x="178" y="804"/>
                  <a:pt x="198" y="798"/>
                  <a:pt x="198" y="811"/>
                </a:cubicBezTo>
                <a:cubicBezTo>
                  <a:pt x="198" y="824"/>
                  <a:pt x="187" y="825"/>
                  <a:pt x="181" y="831"/>
                </a:cubicBezTo>
                <a:cubicBezTo>
                  <a:pt x="177" y="835"/>
                  <a:pt x="178" y="841"/>
                  <a:pt x="176" y="846"/>
                </a:cubicBezTo>
                <a:cubicBezTo>
                  <a:pt x="173" y="852"/>
                  <a:pt x="166" y="850"/>
                  <a:pt x="162" y="854"/>
                </a:cubicBezTo>
                <a:cubicBezTo>
                  <a:pt x="156" y="859"/>
                  <a:pt x="154" y="865"/>
                  <a:pt x="154" y="874"/>
                </a:cubicBezTo>
                <a:cubicBezTo>
                  <a:pt x="154" y="878"/>
                  <a:pt x="158" y="883"/>
                  <a:pt x="161" y="884"/>
                </a:cubicBezTo>
                <a:cubicBezTo>
                  <a:pt x="169" y="888"/>
                  <a:pt x="168" y="908"/>
                  <a:pt x="174" y="914"/>
                </a:cubicBezTo>
                <a:cubicBezTo>
                  <a:pt x="184" y="924"/>
                  <a:pt x="196" y="928"/>
                  <a:pt x="207" y="934"/>
                </a:cubicBezTo>
                <a:cubicBezTo>
                  <a:pt x="206" y="936"/>
                  <a:pt x="203" y="935"/>
                  <a:pt x="200" y="935"/>
                </a:cubicBezTo>
                <a:cubicBezTo>
                  <a:pt x="194" y="935"/>
                  <a:pt x="183" y="943"/>
                  <a:pt x="179" y="943"/>
                </a:cubicBezTo>
                <a:cubicBezTo>
                  <a:pt x="176" y="943"/>
                  <a:pt x="176" y="943"/>
                  <a:pt x="174" y="943"/>
                </a:cubicBezTo>
                <a:cubicBezTo>
                  <a:pt x="173" y="943"/>
                  <a:pt x="171" y="945"/>
                  <a:pt x="169" y="945"/>
                </a:cubicBezTo>
                <a:cubicBezTo>
                  <a:pt x="165" y="945"/>
                  <a:pt x="162" y="945"/>
                  <a:pt x="157" y="945"/>
                </a:cubicBezTo>
                <a:cubicBezTo>
                  <a:pt x="147" y="945"/>
                  <a:pt x="151" y="933"/>
                  <a:pt x="143" y="931"/>
                </a:cubicBezTo>
                <a:cubicBezTo>
                  <a:pt x="137" y="929"/>
                  <a:pt x="127" y="929"/>
                  <a:pt x="127" y="921"/>
                </a:cubicBezTo>
                <a:cubicBezTo>
                  <a:pt x="124" y="921"/>
                  <a:pt x="122" y="921"/>
                  <a:pt x="119" y="921"/>
                </a:cubicBezTo>
                <a:cubicBezTo>
                  <a:pt x="115" y="921"/>
                  <a:pt x="114" y="917"/>
                  <a:pt x="114" y="915"/>
                </a:cubicBezTo>
                <a:cubicBezTo>
                  <a:pt x="102" y="915"/>
                  <a:pt x="98" y="909"/>
                  <a:pt x="92" y="903"/>
                </a:cubicBezTo>
                <a:cubicBezTo>
                  <a:pt x="91" y="902"/>
                  <a:pt x="88" y="900"/>
                  <a:pt x="88" y="899"/>
                </a:cubicBezTo>
                <a:cubicBezTo>
                  <a:pt x="88" y="895"/>
                  <a:pt x="96" y="895"/>
                  <a:pt x="97" y="891"/>
                </a:cubicBezTo>
                <a:cubicBezTo>
                  <a:pt x="95" y="891"/>
                  <a:pt x="94" y="890"/>
                  <a:pt x="93" y="889"/>
                </a:cubicBezTo>
                <a:cubicBezTo>
                  <a:pt x="94" y="887"/>
                  <a:pt x="96" y="884"/>
                  <a:pt x="96" y="882"/>
                </a:cubicBezTo>
                <a:cubicBezTo>
                  <a:pt x="96" y="871"/>
                  <a:pt x="84" y="873"/>
                  <a:pt x="84" y="863"/>
                </a:cubicBezTo>
                <a:cubicBezTo>
                  <a:pt x="84" y="860"/>
                  <a:pt x="84" y="859"/>
                  <a:pt x="84" y="857"/>
                </a:cubicBezTo>
                <a:cubicBezTo>
                  <a:pt x="84" y="848"/>
                  <a:pt x="78" y="832"/>
                  <a:pt x="78" y="825"/>
                </a:cubicBezTo>
                <a:cubicBezTo>
                  <a:pt x="78" y="817"/>
                  <a:pt x="88" y="814"/>
                  <a:pt x="88" y="807"/>
                </a:cubicBezTo>
                <a:cubicBezTo>
                  <a:pt x="88" y="803"/>
                  <a:pt x="83" y="796"/>
                  <a:pt x="82" y="791"/>
                </a:cubicBezTo>
                <a:cubicBezTo>
                  <a:pt x="82" y="787"/>
                  <a:pt x="82" y="787"/>
                  <a:pt x="82" y="787"/>
                </a:cubicBezTo>
                <a:cubicBezTo>
                  <a:pt x="82" y="787"/>
                  <a:pt x="82" y="787"/>
                  <a:pt x="82" y="787"/>
                </a:cubicBezTo>
                <a:cubicBezTo>
                  <a:pt x="82" y="784"/>
                  <a:pt x="84" y="782"/>
                  <a:pt x="86" y="782"/>
                </a:cubicBezTo>
                <a:cubicBezTo>
                  <a:pt x="94" y="782"/>
                  <a:pt x="91" y="790"/>
                  <a:pt x="98" y="790"/>
                </a:cubicBezTo>
                <a:cubicBezTo>
                  <a:pt x="112" y="725"/>
                  <a:pt x="112" y="725"/>
                  <a:pt x="112" y="725"/>
                </a:cubicBezTo>
                <a:cubicBezTo>
                  <a:pt x="112" y="718"/>
                  <a:pt x="112" y="718"/>
                  <a:pt x="112" y="718"/>
                </a:cubicBezTo>
                <a:cubicBezTo>
                  <a:pt x="111" y="718"/>
                  <a:pt x="109" y="717"/>
                  <a:pt x="108" y="718"/>
                </a:cubicBezTo>
                <a:cubicBezTo>
                  <a:pt x="105" y="719"/>
                  <a:pt x="105" y="723"/>
                  <a:pt x="102" y="723"/>
                </a:cubicBezTo>
                <a:cubicBezTo>
                  <a:pt x="98" y="723"/>
                  <a:pt x="95" y="713"/>
                  <a:pt x="95" y="708"/>
                </a:cubicBezTo>
                <a:cubicBezTo>
                  <a:pt x="95" y="699"/>
                  <a:pt x="98" y="696"/>
                  <a:pt x="100" y="688"/>
                </a:cubicBezTo>
                <a:cubicBezTo>
                  <a:pt x="103" y="688"/>
                  <a:pt x="104" y="687"/>
                  <a:pt x="104" y="685"/>
                </a:cubicBezTo>
                <a:cubicBezTo>
                  <a:pt x="104" y="683"/>
                  <a:pt x="102" y="680"/>
                  <a:pt x="102" y="680"/>
                </a:cubicBezTo>
                <a:cubicBezTo>
                  <a:pt x="100" y="680"/>
                  <a:pt x="99" y="668"/>
                  <a:pt x="99" y="665"/>
                </a:cubicBezTo>
                <a:cubicBezTo>
                  <a:pt x="99" y="655"/>
                  <a:pt x="106" y="645"/>
                  <a:pt x="109" y="639"/>
                </a:cubicBezTo>
                <a:cubicBezTo>
                  <a:pt x="111" y="635"/>
                  <a:pt x="112" y="629"/>
                  <a:pt x="114" y="626"/>
                </a:cubicBezTo>
                <a:cubicBezTo>
                  <a:pt x="116" y="624"/>
                  <a:pt x="118" y="625"/>
                  <a:pt x="118" y="623"/>
                </a:cubicBezTo>
                <a:cubicBezTo>
                  <a:pt x="121" y="613"/>
                  <a:pt x="121" y="605"/>
                  <a:pt x="124" y="595"/>
                </a:cubicBezTo>
                <a:cubicBezTo>
                  <a:pt x="124" y="562"/>
                  <a:pt x="124" y="562"/>
                  <a:pt x="124" y="562"/>
                </a:cubicBezTo>
                <a:cubicBezTo>
                  <a:pt x="121" y="554"/>
                  <a:pt x="126" y="548"/>
                  <a:pt x="126" y="541"/>
                </a:cubicBezTo>
                <a:cubicBezTo>
                  <a:pt x="126" y="524"/>
                  <a:pt x="136" y="513"/>
                  <a:pt x="136" y="498"/>
                </a:cubicBezTo>
                <a:cubicBezTo>
                  <a:pt x="136" y="497"/>
                  <a:pt x="136" y="495"/>
                  <a:pt x="136" y="494"/>
                </a:cubicBezTo>
                <a:cubicBezTo>
                  <a:pt x="136" y="491"/>
                  <a:pt x="138" y="483"/>
                  <a:pt x="139" y="478"/>
                </a:cubicBezTo>
                <a:cubicBezTo>
                  <a:pt x="139" y="465"/>
                  <a:pt x="139" y="465"/>
                  <a:pt x="139" y="459"/>
                </a:cubicBezTo>
                <a:cubicBezTo>
                  <a:pt x="139" y="453"/>
                  <a:pt x="143" y="441"/>
                  <a:pt x="143" y="434"/>
                </a:cubicBezTo>
                <a:cubicBezTo>
                  <a:pt x="143" y="429"/>
                  <a:pt x="141" y="403"/>
                  <a:pt x="140" y="399"/>
                </a:cubicBezTo>
                <a:cubicBezTo>
                  <a:pt x="136" y="388"/>
                  <a:pt x="128" y="381"/>
                  <a:pt x="121" y="377"/>
                </a:cubicBezTo>
                <a:cubicBezTo>
                  <a:pt x="114" y="374"/>
                  <a:pt x="109" y="375"/>
                  <a:pt x="104" y="370"/>
                </a:cubicBezTo>
                <a:cubicBezTo>
                  <a:pt x="99" y="365"/>
                  <a:pt x="96" y="363"/>
                  <a:pt x="90" y="362"/>
                </a:cubicBezTo>
                <a:cubicBezTo>
                  <a:pt x="78" y="358"/>
                  <a:pt x="72" y="351"/>
                  <a:pt x="64" y="343"/>
                </a:cubicBezTo>
                <a:cubicBezTo>
                  <a:pt x="60" y="340"/>
                  <a:pt x="62" y="335"/>
                  <a:pt x="62" y="330"/>
                </a:cubicBezTo>
                <a:cubicBezTo>
                  <a:pt x="62" y="323"/>
                  <a:pt x="55" y="319"/>
                  <a:pt x="53" y="313"/>
                </a:cubicBezTo>
                <a:cubicBezTo>
                  <a:pt x="50" y="302"/>
                  <a:pt x="41" y="294"/>
                  <a:pt x="38" y="285"/>
                </a:cubicBezTo>
                <a:cubicBezTo>
                  <a:pt x="35" y="275"/>
                  <a:pt x="32" y="269"/>
                  <a:pt x="28" y="261"/>
                </a:cubicBezTo>
                <a:cubicBezTo>
                  <a:pt x="27" y="258"/>
                  <a:pt x="24" y="259"/>
                  <a:pt x="23" y="257"/>
                </a:cubicBezTo>
                <a:cubicBezTo>
                  <a:pt x="20" y="254"/>
                  <a:pt x="19" y="248"/>
                  <a:pt x="17" y="245"/>
                </a:cubicBezTo>
                <a:cubicBezTo>
                  <a:pt x="16" y="242"/>
                  <a:pt x="12" y="243"/>
                  <a:pt x="11" y="242"/>
                </a:cubicBezTo>
                <a:cubicBezTo>
                  <a:pt x="6" y="237"/>
                  <a:pt x="0" y="228"/>
                  <a:pt x="0" y="220"/>
                </a:cubicBezTo>
                <a:cubicBezTo>
                  <a:pt x="0" y="215"/>
                  <a:pt x="3" y="209"/>
                  <a:pt x="5" y="207"/>
                </a:cubicBezTo>
                <a:cubicBezTo>
                  <a:pt x="8" y="200"/>
                  <a:pt x="16" y="198"/>
                  <a:pt x="18" y="191"/>
                </a:cubicBezTo>
                <a:cubicBezTo>
                  <a:pt x="14" y="189"/>
                  <a:pt x="15" y="191"/>
                  <a:pt x="12" y="191"/>
                </a:cubicBezTo>
                <a:cubicBezTo>
                  <a:pt x="5" y="191"/>
                  <a:pt x="5" y="182"/>
                  <a:pt x="5" y="176"/>
                </a:cubicBezTo>
                <a:cubicBezTo>
                  <a:pt x="5" y="166"/>
                  <a:pt x="16" y="168"/>
                  <a:pt x="14" y="148"/>
                </a:cubicBezTo>
                <a:cubicBezTo>
                  <a:pt x="26" y="148"/>
                  <a:pt x="29" y="136"/>
                  <a:pt x="32" y="129"/>
                </a:cubicBezTo>
                <a:cubicBezTo>
                  <a:pt x="37" y="119"/>
                  <a:pt x="49" y="123"/>
                  <a:pt x="51" y="111"/>
                </a:cubicBezTo>
                <a:cubicBezTo>
                  <a:pt x="49" y="110"/>
                  <a:pt x="47" y="107"/>
                  <a:pt x="47" y="106"/>
                </a:cubicBezTo>
                <a:cubicBezTo>
                  <a:pt x="49" y="103"/>
                  <a:pt x="49" y="103"/>
                  <a:pt x="49" y="103"/>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grpSp>
    <xdr:clientData fLocksWithSheet="0"/>
  </xdr:twoCellAnchor>
  <xdr:twoCellAnchor editAs="absolute">
    <xdr:from>
      <xdr:col>9</xdr:col>
      <xdr:colOff>1553786</xdr:colOff>
      <xdr:row>17</xdr:row>
      <xdr:rowOff>153667</xdr:rowOff>
    </xdr:from>
    <xdr:to>
      <xdr:col>10</xdr:col>
      <xdr:colOff>1365058</xdr:colOff>
      <xdr:row>27</xdr:row>
      <xdr:rowOff>25506</xdr:rowOff>
    </xdr:to>
    <xdr:grpSp>
      <xdr:nvGrpSpPr>
        <xdr:cNvPr id="84" name="P_3" hidden="1">
          <a:extLst>
            <a:ext uri="{FF2B5EF4-FFF2-40B4-BE49-F238E27FC236}">
              <a16:creationId xmlns:a16="http://schemas.microsoft.com/office/drawing/2014/main" id="{00000000-0008-0000-0000-000054000000}"/>
            </a:ext>
          </a:extLst>
        </xdr:cNvPr>
        <xdr:cNvGrpSpPr/>
      </xdr:nvGrpSpPr>
      <xdr:grpSpPr>
        <a:xfrm>
          <a:off x="14455716" y="6219187"/>
          <a:ext cx="1599432" cy="1718419"/>
          <a:chOff x="4097338" y="2217738"/>
          <a:chExt cx="1139825" cy="1274763"/>
        </a:xfrm>
        <a:solidFill>
          <a:srgbClr val="FEDD00"/>
        </a:solidFill>
      </xdr:grpSpPr>
      <xdr:sp macro="" textlink="">
        <xdr:nvSpPr>
          <xdr:cNvPr id="85" name="Freeform 5" hidden="1">
            <a:extLst>
              <a:ext uri="{FF2B5EF4-FFF2-40B4-BE49-F238E27FC236}">
                <a16:creationId xmlns:a16="http://schemas.microsoft.com/office/drawing/2014/main" id="{00000000-0008-0000-0000-000055000000}"/>
              </a:ext>
            </a:extLst>
          </xdr:cNvPr>
          <xdr:cNvSpPr>
            <a:spLocks/>
          </xdr:cNvSpPr>
        </xdr:nvSpPr>
        <xdr:spPr bwMode="auto">
          <a:xfrm>
            <a:off x="5102225" y="3086100"/>
            <a:ext cx="120650" cy="233363"/>
          </a:xfrm>
          <a:custGeom>
            <a:avLst/>
            <a:gdLst/>
            <a:ahLst/>
            <a:cxnLst>
              <a:cxn ang="0">
                <a:pos x="9" y="114"/>
              </a:cxn>
              <a:cxn ang="0">
                <a:pos x="18" y="94"/>
              </a:cxn>
              <a:cxn ang="0">
                <a:pos x="11" y="71"/>
              </a:cxn>
              <a:cxn ang="0">
                <a:pos x="40" y="43"/>
              </a:cxn>
              <a:cxn ang="0">
                <a:pos x="71" y="13"/>
              </a:cxn>
              <a:cxn ang="0">
                <a:pos x="73" y="0"/>
              </a:cxn>
              <a:cxn ang="0">
                <a:pos x="91" y="42"/>
              </a:cxn>
              <a:cxn ang="0">
                <a:pos x="91" y="49"/>
              </a:cxn>
              <a:cxn ang="0">
                <a:pos x="84" y="47"/>
              </a:cxn>
              <a:cxn ang="0">
                <a:pos x="64" y="126"/>
              </a:cxn>
              <a:cxn ang="0">
                <a:pos x="25" y="175"/>
              </a:cxn>
              <a:cxn ang="0">
                <a:pos x="5" y="151"/>
              </a:cxn>
              <a:cxn ang="0">
                <a:pos x="5" y="140"/>
              </a:cxn>
              <a:cxn ang="0">
                <a:pos x="0" y="122"/>
              </a:cxn>
              <a:cxn ang="0">
                <a:pos x="9" y="114"/>
              </a:cxn>
            </a:cxnLst>
            <a:rect l="0" t="0" r="r" b="b"/>
            <a:pathLst>
              <a:path w="91" h="175">
                <a:moveTo>
                  <a:pt x="9" y="114"/>
                </a:moveTo>
                <a:cubicBezTo>
                  <a:pt x="9" y="114"/>
                  <a:pt x="18" y="95"/>
                  <a:pt x="18" y="94"/>
                </a:cubicBezTo>
                <a:cubicBezTo>
                  <a:pt x="18" y="89"/>
                  <a:pt x="11" y="78"/>
                  <a:pt x="11" y="71"/>
                </a:cubicBezTo>
                <a:cubicBezTo>
                  <a:pt x="11" y="49"/>
                  <a:pt x="27" y="50"/>
                  <a:pt x="40" y="43"/>
                </a:cubicBezTo>
                <a:cubicBezTo>
                  <a:pt x="50" y="37"/>
                  <a:pt x="64" y="20"/>
                  <a:pt x="71" y="13"/>
                </a:cubicBezTo>
                <a:cubicBezTo>
                  <a:pt x="73" y="11"/>
                  <a:pt x="72" y="4"/>
                  <a:pt x="73" y="0"/>
                </a:cubicBezTo>
                <a:cubicBezTo>
                  <a:pt x="88" y="2"/>
                  <a:pt x="87" y="31"/>
                  <a:pt x="91" y="42"/>
                </a:cubicBezTo>
                <a:cubicBezTo>
                  <a:pt x="91" y="49"/>
                  <a:pt x="91" y="49"/>
                  <a:pt x="91" y="49"/>
                </a:cubicBezTo>
                <a:cubicBezTo>
                  <a:pt x="89" y="48"/>
                  <a:pt x="85" y="47"/>
                  <a:pt x="84" y="47"/>
                </a:cubicBezTo>
                <a:cubicBezTo>
                  <a:pt x="84" y="79"/>
                  <a:pt x="74" y="101"/>
                  <a:pt x="64" y="126"/>
                </a:cubicBezTo>
                <a:cubicBezTo>
                  <a:pt x="56" y="146"/>
                  <a:pt x="52" y="175"/>
                  <a:pt x="25" y="175"/>
                </a:cubicBezTo>
                <a:cubicBezTo>
                  <a:pt x="14" y="175"/>
                  <a:pt x="5" y="163"/>
                  <a:pt x="5" y="151"/>
                </a:cubicBezTo>
                <a:cubicBezTo>
                  <a:pt x="5" y="145"/>
                  <a:pt x="6" y="143"/>
                  <a:pt x="5" y="140"/>
                </a:cubicBezTo>
                <a:cubicBezTo>
                  <a:pt x="0" y="136"/>
                  <a:pt x="0" y="129"/>
                  <a:pt x="0" y="122"/>
                </a:cubicBezTo>
                <a:cubicBezTo>
                  <a:pt x="0" y="121"/>
                  <a:pt x="8" y="114"/>
                  <a:pt x="9" y="114"/>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86" name="Freeform 6" hidden="1">
            <a:extLst>
              <a:ext uri="{FF2B5EF4-FFF2-40B4-BE49-F238E27FC236}">
                <a16:creationId xmlns:a16="http://schemas.microsoft.com/office/drawing/2014/main" id="{00000000-0008-0000-0000-000056000000}"/>
              </a:ext>
            </a:extLst>
          </xdr:cNvPr>
          <xdr:cNvSpPr>
            <a:spLocks/>
          </xdr:cNvSpPr>
        </xdr:nvSpPr>
        <xdr:spPr bwMode="auto">
          <a:xfrm>
            <a:off x="4097338" y="2217738"/>
            <a:ext cx="1139825" cy="1274763"/>
          </a:xfrm>
          <a:custGeom>
            <a:avLst/>
            <a:gdLst/>
            <a:ahLst/>
            <a:cxnLst>
              <a:cxn ang="0">
                <a:pos x="499" y="66"/>
              </a:cxn>
              <a:cxn ang="0">
                <a:pos x="527" y="81"/>
              </a:cxn>
              <a:cxn ang="0">
                <a:pos x="609" y="86"/>
              </a:cxn>
              <a:cxn ang="0">
                <a:pos x="644" y="89"/>
              </a:cxn>
              <a:cxn ang="0">
                <a:pos x="644" y="136"/>
              </a:cxn>
              <a:cxn ang="0">
                <a:pos x="620" y="115"/>
              </a:cxn>
              <a:cxn ang="0">
                <a:pos x="679" y="223"/>
              </a:cxn>
              <a:cxn ang="0">
                <a:pos x="699" y="267"/>
              </a:cxn>
              <a:cxn ang="0">
                <a:pos x="730" y="310"/>
              </a:cxn>
              <a:cxn ang="0">
                <a:pos x="755" y="348"/>
              </a:cxn>
              <a:cxn ang="0">
                <a:pos x="787" y="359"/>
              </a:cxn>
              <a:cxn ang="0">
                <a:pos x="853" y="346"/>
              </a:cxn>
              <a:cxn ang="0">
                <a:pos x="826" y="425"/>
              </a:cxn>
              <a:cxn ang="0">
                <a:pos x="719" y="541"/>
              </a:cxn>
              <a:cxn ang="0">
                <a:pos x="708" y="600"/>
              </a:cxn>
              <a:cxn ang="0">
                <a:pos x="721" y="638"/>
              </a:cxn>
              <a:cxn ang="0">
                <a:pos x="720" y="676"/>
              </a:cxn>
              <a:cxn ang="0">
                <a:pos x="660" y="745"/>
              </a:cxn>
              <a:cxn ang="0">
                <a:pos x="659" y="788"/>
              </a:cxn>
              <a:cxn ang="0">
                <a:pos x="643" y="816"/>
              </a:cxn>
              <a:cxn ang="0">
                <a:pos x="627" y="846"/>
              </a:cxn>
              <a:cxn ang="0">
                <a:pos x="592" y="902"/>
              </a:cxn>
              <a:cxn ang="0">
                <a:pos x="538" y="946"/>
              </a:cxn>
              <a:cxn ang="0">
                <a:pos x="512" y="944"/>
              </a:cxn>
              <a:cxn ang="0">
                <a:pos x="452" y="949"/>
              </a:cxn>
              <a:cxn ang="0">
                <a:pos x="440" y="929"/>
              </a:cxn>
              <a:cxn ang="0">
                <a:pos x="431" y="893"/>
              </a:cxn>
              <a:cxn ang="0">
                <a:pos x="395" y="789"/>
              </a:cxn>
              <a:cxn ang="0">
                <a:pos x="360" y="708"/>
              </a:cxn>
              <a:cxn ang="0">
                <a:pos x="382" y="621"/>
              </a:cxn>
              <a:cxn ang="0">
                <a:pos x="364" y="558"/>
              </a:cxn>
              <a:cxn ang="0">
                <a:pos x="337" y="490"/>
              </a:cxn>
              <a:cxn ang="0">
                <a:pos x="342" y="461"/>
              </a:cxn>
              <a:cxn ang="0">
                <a:pos x="295" y="443"/>
              </a:cxn>
              <a:cxn ang="0">
                <a:pos x="206" y="433"/>
              </a:cxn>
              <a:cxn ang="0">
                <a:pos x="164" y="434"/>
              </a:cxn>
              <a:cxn ang="0">
                <a:pos x="109" y="439"/>
              </a:cxn>
              <a:cxn ang="0">
                <a:pos x="40" y="369"/>
              </a:cxn>
              <a:cxn ang="0">
                <a:pos x="7" y="338"/>
              </a:cxn>
              <a:cxn ang="0">
                <a:pos x="7" y="324"/>
              </a:cxn>
              <a:cxn ang="0">
                <a:pos x="18" y="269"/>
              </a:cxn>
              <a:cxn ang="0">
                <a:pos x="22" y="199"/>
              </a:cxn>
              <a:cxn ang="0">
                <a:pos x="77" y="132"/>
              </a:cxn>
              <a:cxn ang="0">
                <a:pos x="104" y="77"/>
              </a:cxn>
              <a:cxn ang="0">
                <a:pos x="141" y="36"/>
              </a:cxn>
              <a:cxn ang="0">
                <a:pos x="187" y="35"/>
              </a:cxn>
              <a:cxn ang="0">
                <a:pos x="273" y="6"/>
              </a:cxn>
              <a:cxn ang="0">
                <a:pos x="307" y="4"/>
              </a:cxn>
              <a:cxn ang="0">
                <a:pos x="338" y="0"/>
              </a:cxn>
              <a:cxn ang="0">
                <a:pos x="358" y="6"/>
              </a:cxn>
              <a:cxn ang="0">
                <a:pos x="357" y="27"/>
              </a:cxn>
              <a:cxn ang="0">
                <a:pos x="371" y="64"/>
              </a:cxn>
              <a:cxn ang="0">
                <a:pos x="455" y="100"/>
              </a:cxn>
              <a:cxn ang="0">
                <a:pos x="464" y="84"/>
              </a:cxn>
              <a:cxn ang="0">
                <a:pos x="490" y="66"/>
              </a:cxn>
            </a:cxnLst>
            <a:rect l="0" t="0" r="r" b="b"/>
            <a:pathLst>
              <a:path w="856" h="957">
                <a:moveTo>
                  <a:pt x="490" y="66"/>
                </a:moveTo>
                <a:cubicBezTo>
                  <a:pt x="499" y="66"/>
                  <a:pt x="499" y="66"/>
                  <a:pt x="499" y="66"/>
                </a:cubicBezTo>
                <a:cubicBezTo>
                  <a:pt x="499" y="73"/>
                  <a:pt x="504" y="74"/>
                  <a:pt x="506" y="77"/>
                </a:cubicBezTo>
                <a:cubicBezTo>
                  <a:pt x="510" y="82"/>
                  <a:pt x="520" y="78"/>
                  <a:pt x="527" y="81"/>
                </a:cubicBezTo>
                <a:cubicBezTo>
                  <a:pt x="541" y="86"/>
                  <a:pt x="561" y="93"/>
                  <a:pt x="576" y="93"/>
                </a:cubicBezTo>
                <a:cubicBezTo>
                  <a:pt x="591" y="93"/>
                  <a:pt x="595" y="86"/>
                  <a:pt x="609" y="86"/>
                </a:cubicBezTo>
                <a:cubicBezTo>
                  <a:pt x="617" y="86"/>
                  <a:pt x="622" y="92"/>
                  <a:pt x="632" y="92"/>
                </a:cubicBezTo>
                <a:cubicBezTo>
                  <a:pt x="638" y="92"/>
                  <a:pt x="638" y="90"/>
                  <a:pt x="644" y="89"/>
                </a:cubicBezTo>
                <a:cubicBezTo>
                  <a:pt x="647" y="96"/>
                  <a:pt x="653" y="102"/>
                  <a:pt x="653" y="111"/>
                </a:cubicBezTo>
                <a:cubicBezTo>
                  <a:pt x="653" y="115"/>
                  <a:pt x="646" y="131"/>
                  <a:pt x="644" y="136"/>
                </a:cubicBezTo>
                <a:cubicBezTo>
                  <a:pt x="635" y="135"/>
                  <a:pt x="627" y="115"/>
                  <a:pt x="620" y="107"/>
                </a:cubicBezTo>
                <a:cubicBezTo>
                  <a:pt x="620" y="115"/>
                  <a:pt x="620" y="115"/>
                  <a:pt x="620" y="115"/>
                </a:cubicBezTo>
                <a:cubicBezTo>
                  <a:pt x="662" y="189"/>
                  <a:pt x="662" y="189"/>
                  <a:pt x="662" y="189"/>
                </a:cubicBezTo>
                <a:cubicBezTo>
                  <a:pt x="659" y="198"/>
                  <a:pt x="673" y="218"/>
                  <a:pt x="679" y="223"/>
                </a:cubicBezTo>
                <a:cubicBezTo>
                  <a:pt x="679" y="246"/>
                  <a:pt x="679" y="246"/>
                  <a:pt x="679" y="246"/>
                </a:cubicBezTo>
                <a:cubicBezTo>
                  <a:pt x="684" y="258"/>
                  <a:pt x="692" y="258"/>
                  <a:pt x="699" y="267"/>
                </a:cubicBezTo>
                <a:cubicBezTo>
                  <a:pt x="707" y="278"/>
                  <a:pt x="702" y="289"/>
                  <a:pt x="710" y="297"/>
                </a:cubicBezTo>
                <a:cubicBezTo>
                  <a:pt x="717" y="304"/>
                  <a:pt x="722" y="305"/>
                  <a:pt x="730" y="310"/>
                </a:cubicBezTo>
                <a:cubicBezTo>
                  <a:pt x="737" y="316"/>
                  <a:pt x="741" y="334"/>
                  <a:pt x="755" y="334"/>
                </a:cubicBezTo>
                <a:cubicBezTo>
                  <a:pt x="755" y="341"/>
                  <a:pt x="759" y="343"/>
                  <a:pt x="755" y="348"/>
                </a:cubicBezTo>
                <a:cubicBezTo>
                  <a:pt x="761" y="352"/>
                  <a:pt x="767" y="366"/>
                  <a:pt x="774" y="366"/>
                </a:cubicBezTo>
                <a:cubicBezTo>
                  <a:pt x="781" y="366"/>
                  <a:pt x="782" y="361"/>
                  <a:pt x="787" y="359"/>
                </a:cubicBezTo>
                <a:cubicBezTo>
                  <a:pt x="794" y="357"/>
                  <a:pt x="798" y="360"/>
                  <a:pt x="805" y="359"/>
                </a:cubicBezTo>
                <a:cubicBezTo>
                  <a:pt x="822" y="356"/>
                  <a:pt x="838" y="350"/>
                  <a:pt x="853" y="346"/>
                </a:cubicBezTo>
                <a:cubicBezTo>
                  <a:pt x="855" y="348"/>
                  <a:pt x="856" y="350"/>
                  <a:pt x="856" y="352"/>
                </a:cubicBezTo>
                <a:cubicBezTo>
                  <a:pt x="856" y="377"/>
                  <a:pt x="837" y="410"/>
                  <a:pt x="826" y="425"/>
                </a:cubicBezTo>
                <a:cubicBezTo>
                  <a:pt x="812" y="443"/>
                  <a:pt x="807" y="459"/>
                  <a:pt x="790" y="471"/>
                </a:cubicBezTo>
                <a:cubicBezTo>
                  <a:pt x="761" y="494"/>
                  <a:pt x="730" y="501"/>
                  <a:pt x="719" y="541"/>
                </a:cubicBezTo>
                <a:cubicBezTo>
                  <a:pt x="716" y="552"/>
                  <a:pt x="704" y="555"/>
                  <a:pt x="704" y="567"/>
                </a:cubicBezTo>
                <a:cubicBezTo>
                  <a:pt x="704" y="581"/>
                  <a:pt x="708" y="587"/>
                  <a:pt x="708" y="600"/>
                </a:cubicBezTo>
                <a:cubicBezTo>
                  <a:pt x="708" y="615"/>
                  <a:pt x="724" y="623"/>
                  <a:pt x="724" y="631"/>
                </a:cubicBezTo>
                <a:cubicBezTo>
                  <a:pt x="724" y="634"/>
                  <a:pt x="722" y="637"/>
                  <a:pt x="721" y="638"/>
                </a:cubicBezTo>
                <a:cubicBezTo>
                  <a:pt x="721" y="649"/>
                  <a:pt x="721" y="649"/>
                  <a:pt x="721" y="649"/>
                </a:cubicBezTo>
                <a:cubicBezTo>
                  <a:pt x="721" y="656"/>
                  <a:pt x="720" y="664"/>
                  <a:pt x="720" y="676"/>
                </a:cubicBezTo>
                <a:cubicBezTo>
                  <a:pt x="722" y="679"/>
                  <a:pt x="723" y="682"/>
                  <a:pt x="723" y="685"/>
                </a:cubicBezTo>
                <a:cubicBezTo>
                  <a:pt x="723" y="720"/>
                  <a:pt x="665" y="716"/>
                  <a:pt x="660" y="745"/>
                </a:cubicBezTo>
                <a:cubicBezTo>
                  <a:pt x="654" y="746"/>
                  <a:pt x="647" y="753"/>
                  <a:pt x="647" y="758"/>
                </a:cubicBezTo>
                <a:cubicBezTo>
                  <a:pt x="647" y="768"/>
                  <a:pt x="659" y="774"/>
                  <a:pt x="659" y="788"/>
                </a:cubicBezTo>
                <a:cubicBezTo>
                  <a:pt x="659" y="795"/>
                  <a:pt x="658" y="809"/>
                  <a:pt x="656" y="813"/>
                </a:cubicBezTo>
                <a:cubicBezTo>
                  <a:pt x="653" y="817"/>
                  <a:pt x="646" y="815"/>
                  <a:pt x="643" y="816"/>
                </a:cubicBezTo>
                <a:cubicBezTo>
                  <a:pt x="632" y="822"/>
                  <a:pt x="626" y="826"/>
                  <a:pt x="621" y="837"/>
                </a:cubicBezTo>
                <a:cubicBezTo>
                  <a:pt x="624" y="839"/>
                  <a:pt x="627" y="842"/>
                  <a:pt x="627" y="846"/>
                </a:cubicBezTo>
                <a:cubicBezTo>
                  <a:pt x="627" y="859"/>
                  <a:pt x="615" y="868"/>
                  <a:pt x="610" y="874"/>
                </a:cubicBezTo>
                <a:cubicBezTo>
                  <a:pt x="600" y="883"/>
                  <a:pt x="599" y="893"/>
                  <a:pt x="592" y="902"/>
                </a:cubicBezTo>
                <a:cubicBezTo>
                  <a:pt x="581" y="916"/>
                  <a:pt x="576" y="929"/>
                  <a:pt x="558" y="938"/>
                </a:cubicBezTo>
                <a:cubicBezTo>
                  <a:pt x="550" y="941"/>
                  <a:pt x="539" y="938"/>
                  <a:pt x="538" y="946"/>
                </a:cubicBezTo>
                <a:cubicBezTo>
                  <a:pt x="532" y="946"/>
                  <a:pt x="529" y="949"/>
                  <a:pt x="525" y="949"/>
                </a:cubicBezTo>
                <a:cubicBezTo>
                  <a:pt x="520" y="949"/>
                  <a:pt x="517" y="944"/>
                  <a:pt x="512" y="944"/>
                </a:cubicBezTo>
                <a:cubicBezTo>
                  <a:pt x="494" y="944"/>
                  <a:pt x="483" y="957"/>
                  <a:pt x="466" y="957"/>
                </a:cubicBezTo>
                <a:cubicBezTo>
                  <a:pt x="459" y="957"/>
                  <a:pt x="455" y="953"/>
                  <a:pt x="452" y="949"/>
                </a:cubicBezTo>
                <a:cubicBezTo>
                  <a:pt x="449" y="949"/>
                  <a:pt x="449" y="950"/>
                  <a:pt x="448" y="951"/>
                </a:cubicBezTo>
                <a:cubicBezTo>
                  <a:pt x="448" y="942"/>
                  <a:pt x="443" y="932"/>
                  <a:pt x="440" y="929"/>
                </a:cubicBezTo>
                <a:cubicBezTo>
                  <a:pt x="443" y="925"/>
                  <a:pt x="445" y="922"/>
                  <a:pt x="445" y="917"/>
                </a:cubicBezTo>
                <a:cubicBezTo>
                  <a:pt x="445" y="910"/>
                  <a:pt x="433" y="897"/>
                  <a:pt x="431" y="893"/>
                </a:cubicBezTo>
                <a:cubicBezTo>
                  <a:pt x="415" y="866"/>
                  <a:pt x="395" y="840"/>
                  <a:pt x="395" y="801"/>
                </a:cubicBezTo>
                <a:cubicBezTo>
                  <a:pt x="395" y="794"/>
                  <a:pt x="395" y="792"/>
                  <a:pt x="395" y="789"/>
                </a:cubicBezTo>
                <a:cubicBezTo>
                  <a:pt x="395" y="783"/>
                  <a:pt x="389" y="781"/>
                  <a:pt x="386" y="774"/>
                </a:cubicBezTo>
                <a:cubicBezTo>
                  <a:pt x="374" y="754"/>
                  <a:pt x="360" y="737"/>
                  <a:pt x="360" y="708"/>
                </a:cubicBezTo>
                <a:cubicBezTo>
                  <a:pt x="360" y="677"/>
                  <a:pt x="388" y="670"/>
                  <a:pt x="388" y="646"/>
                </a:cubicBezTo>
                <a:cubicBezTo>
                  <a:pt x="388" y="635"/>
                  <a:pt x="384" y="631"/>
                  <a:pt x="382" y="621"/>
                </a:cubicBezTo>
                <a:cubicBezTo>
                  <a:pt x="379" y="602"/>
                  <a:pt x="376" y="596"/>
                  <a:pt x="371" y="585"/>
                </a:cubicBezTo>
                <a:cubicBezTo>
                  <a:pt x="368" y="576"/>
                  <a:pt x="370" y="566"/>
                  <a:pt x="364" y="558"/>
                </a:cubicBezTo>
                <a:cubicBezTo>
                  <a:pt x="352" y="544"/>
                  <a:pt x="327" y="528"/>
                  <a:pt x="327" y="508"/>
                </a:cubicBezTo>
                <a:cubicBezTo>
                  <a:pt x="327" y="503"/>
                  <a:pt x="334" y="492"/>
                  <a:pt x="337" y="490"/>
                </a:cubicBezTo>
                <a:cubicBezTo>
                  <a:pt x="336" y="486"/>
                  <a:pt x="337" y="485"/>
                  <a:pt x="337" y="483"/>
                </a:cubicBezTo>
                <a:cubicBezTo>
                  <a:pt x="337" y="478"/>
                  <a:pt x="337" y="465"/>
                  <a:pt x="342" y="461"/>
                </a:cubicBezTo>
                <a:cubicBezTo>
                  <a:pt x="337" y="451"/>
                  <a:pt x="329" y="443"/>
                  <a:pt x="314" y="443"/>
                </a:cubicBezTo>
                <a:cubicBezTo>
                  <a:pt x="306" y="443"/>
                  <a:pt x="299" y="443"/>
                  <a:pt x="295" y="443"/>
                </a:cubicBezTo>
                <a:cubicBezTo>
                  <a:pt x="282" y="443"/>
                  <a:pt x="279" y="417"/>
                  <a:pt x="261" y="417"/>
                </a:cubicBezTo>
                <a:cubicBezTo>
                  <a:pt x="239" y="417"/>
                  <a:pt x="223" y="427"/>
                  <a:pt x="206" y="433"/>
                </a:cubicBezTo>
                <a:cubicBezTo>
                  <a:pt x="199" y="435"/>
                  <a:pt x="197" y="440"/>
                  <a:pt x="191" y="440"/>
                </a:cubicBezTo>
                <a:cubicBezTo>
                  <a:pt x="184" y="440"/>
                  <a:pt x="173" y="434"/>
                  <a:pt x="164" y="434"/>
                </a:cubicBezTo>
                <a:cubicBezTo>
                  <a:pt x="147" y="434"/>
                  <a:pt x="139" y="443"/>
                  <a:pt x="122" y="443"/>
                </a:cubicBezTo>
                <a:cubicBezTo>
                  <a:pt x="117" y="443"/>
                  <a:pt x="111" y="440"/>
                  <a:pt x="109" y="439"/>
                </a:cubicBezTo>
                <a:cubicBezTo>
                  <a:pt x="97" y="430"/>
                  <a:pt x="71" y="415"/>
                  <a:pt x="62" y="401"/>
                </a:cubicBezTo>
                <a:cubicBezTo>
                  <a:pt x="53" y="388"/>
                  <a:pt x="51" y="377"/>
                  <a:pt x="40" y="369"/>
                </a:cubicBezTo>
                <a:cubicBezTo>
                  <a:pt x="37" y="366"/>
                  <a:pt x="13" y="346"/>
                  <a:pt x="13" y="344"/>
                </a:cubicBezTo>
                <a:cubicBezTo>
                  <a:pt x="11" y="341"/>
                  <a:pt x="10" y="340"/>
                  <a:pt x="7" y="338"/>
                </a:cubicBezTo>
                <a:cubicBezTo>
                  <a:pt x="9" y="338"/>
                  <a:pt x="9" y="338"/>
                  <a:pt x="9" y="338"/>
                </a:cubicBezTo>
                <a:cubicBezTo>
                  <a:pt x="9" y="331"/>
                  <a:pt x="7" y="328"/>
                  <a:pt x="7" y="324"/>
                </a:cubicBezTo>
                <a:cubicBezTo>
                  <a:pt x="7" y="317"/>
                  <a:pt x="3" y="315"/>
                  <a:pt x="0" y="309"/>
                </a:cubicBezTo>
                <a:cubicBezTo>
                  <a:pt x="10" y="304"/>
                  <a:pt x="18" y="280"/>
                  <a:pt x="18" y="269"/>
                </a:cubicBezTo>
                <a:cubicBezTo>
                  <a:pt x="18" y="250"/>
                  <a:pt x="10" y="238"/>
                  <a:pt x="10" y="220"/>
                </a:cubicBezTo>
                <a:cubicBezTo>
                  <a:pt x="10" y="211"/>
                  <a:pt x="20" y="206"/>
                  <a:pt x="22" y="199"/>
                </a:cubicBezTo>
                <a:cubicBezTo>
                  <a:pt x="28" y="182"/>
                  <a:pt x="41" y="158"/>
                  <a:pt x="52" y="144"/>
                </a:cubicBezTo>
                <a:cubicBezTo>
                  <a:pt x="58" y="135"/>
                  <a:pt x="69" y="136"/>
                  <a:pt x="77" y="132"/>
                </a:cubicBezTo>
                <a:cubicBezTo>
                  <a:pt x="84" y="128"/>
                  <a:pt x="95" y="119"/>
                  <a:pt x="97" y="112"/>
                </a:cubicBezTo>
                <a:cubicBezTo>
                  <a:pt x="102" y="96"/>
                  <a:pt x="96" y="89"/>
                  <a:pt x="104" y="77"/>
                </a:cubicBezTo>
                <a:cubicBezTo>
                  <a:pt x="116" y="63"/>
                  <a:pt x="131" y="49"/>
                  <a:pt x="142" y="36"/>
                </a:cubicBezTo>
                <a:cubicBezTo>
                  <a:pt x="141" y="36"/>
                  <a:pt x="141" y="36"/>
                  <a:pt x="141" y="36"/>
                </a:cubicBezTo>
                <a:cubicBezTo>
                  <a:pt x="145" y="31"/>
                  <a:pt x="146" y="27"/>
                  <a:pt x="150" y="24"/>
                </a:cubicBezTo>
                <a:cubicBezTo>
                  <a:pt x="161" y="32"/>
                  <a:pt x="172" y="35"/>
                  <a:pt x="187" y="35"/>
                </a:cubicBezTo>
                <a:cubicBezTo>
                  <a:pt x="197" y="35"/>
                  <a:pt x="198" y="29"/>
                  <a:pt x="204" y="27"/>
                </a:cubicBezTo>
                <a:cubicBezTo>
                  <a:pt x="221" y="18"/>
                  <a:pt x="254" y="6"/>
                  <a:pt x="273" y="6"/>
                </a:cubicBezTo>
                <a:cubicBezTo>
                  <a:pt x="280" y="6"/>
                  <a:pt x="285" y="10"/>
                  <a:pt x="289" y="10"/>
                </a:cubicBezTo>
                <a:cubicBezTo>
                  <a:pt x="294" y="10"/>
                  <a:pt x="301" y="4"/>
                  <a:pt x="307" y="4"/>
                </a:cubicBezTo>
                <a:cubicBezTo>
                  <a:pt x="313" y="4"/>
                  <a:pt x="316" y="7"/>
                  <a:pt x="321" y="7"/>
                </a:cubicBezTo>
                <a:cubicBezTo>
                  <a:pt x="329" y="7"/>
                  <a:pt x="330" y="0"/>
                  <a:pt x="338" y="0"/>
                </a:cubicBezTo>
                <a:cubicBezTo>
                  <a:pt x="347" y="0"/>
                  <a:pt x="344" y="8"/>
                  <a:pt x="351" y="8"/>
                </a:cubicBezTo>
                <a:cubicBezTo>
                  <a:pt x="354" y="8"/>
                  <a:pt x="355" y="6"/>
                  <a:pt x="358" y="6"/>
                </a:cubicBezTo>
                <a:cubicBezTo>
                  <a:pt x="358" y="12"/>
                  <a:pt x="351" y="11"/>
                  <a:pt x="351" y="17"/>
                </a:cubicBezTo>
                <a:cubicBezTo>
                  <a:pt x="351" y="21"/>
                  <a:pt x="357" y="23"/>
                  <a:pt x="357" y="27"/>
                </a:cubicBezTo>
                <a:cubicBezTo>
                  <a:pt x="357" y="33"/>
                  <a:pt x="351" y="37"/>
                  <a:pt x="351" y="44"/>
                </a:cubicBezTo>
                <a:cubicBezTo>
                  <a:pt x="351" y="55"/>
                  <a:pt x="363" y="64"/>
                  <a:pt x="371" y="64"/>
                </a:cubicBezTo>
                <a:cubicBezTo>
                  <a:pt x="377" y="64"/>
                  <a:pt x="380" y="64"/>
                  <a:pt x="384" y="64"/>
                </a:cubicBezTo>
                <a:cubicBezTo>
                  <a:pt x="412" y="64"/>
                  <a:pt x="423" y="100"/>
                  <a:pt x="455" y="100"/>
                </a:cubicBezTo>
                <a:cubicBezTo>
                  <a:pt x="459" y="100"/>
                  <a:pt x="464" y="95"/>
                  <a:pt x="464" y="93"/>
                </a:cubicBezTo>
                <a:cubicBezTo>
                  <a:pt x="464" y="90"/>
                  <a:pt x="464" y="87"/>
                  <a:pt x="464" y="84"/>
                </a:cubicBezTo>
                <a:cubicBezTo>
                  <a:pt x="464" y="70"/>
                  <a:pt x="475" y="70"/>
                  <a:pt x="488" y="66"/>
                </a:cubicBezTo>
                <a:lnTo>
                  <a:pt x="490" y="66"/>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grpSp>
    <xdr:clientData fLocksWithSheet="0"/>
  </xdr:twoCellAnchor>
  <xdr:twoCellAnchor editAs="absolute">
    <xdr:from>
      <xdr:col>10</xdr:col>
      <xdr:colOff>635571</xdr:colOff>
      <xdr:row>13</xdr:row>
      <xdr:rowOff>182880</xdr:rowOff>
    </xdr:from>
    <xdr:to>
      <xdr:col>12</xdr:col>
      <xdr:colOff>820421</xdr:colOff>
      <xdr:row>23</xdr:row>
      <xdr:rowOff>145357</xdr:rowOff>
    </xdr:to>
    <xdr:grpSp>
      <xdr:nvGrpSpPr>
        <xdr:cNvPr id="87" name="P_5" hidden="1">
          <a:extLst>
            <a:ext uri="{FF2B5EF4-FFF2-40B4-BE49-F238E27FC236}">
              <a16:creationId xmlns:a16="http://schemas.microsoft.com/office/drawing/2014/main" id="{00000000-0008-0000-0000-000057000000}"/>
            </a:ext>
          </a:extLst>
        </xdr:cNvPr>
        <xdr:cNvGrpSpPr/>
      </xdr:nvGrpSpPr>
      <xdr:grpSpPr>
        <a:xfrm>
          <a:off x="15324391" y="4296410"/>
          <a:ext cx="4316160" cy="3030797"/>
          <a:chOff x="4713288" y="1038225"/>
          <a:chExt cx="2847975" cy="2012950"/>
        </a:xfrm>
        <a:solidFill>
          <a:srgbClr val="FEDD00"/>
        </a:solidFill>
      </xdr:grpSpPr>
      <xdr:sp macro="" textlink="">
        <xdr:nvSpPr>
          <xdr:cNvPr id="88" name="Freeform 101" hidden="1">
            <a:extLst>
              <a:ext uri="{FF2B5EF4-FFF2-40B4-BE49-F238E27FC236}">
                <a16:creationId xmlns:a16="http://schemas.microsoft.com/office/drawing/2014/main" id="{00000000-0008-0000-0000-000058000000}"/>
              </a:ext>
            </a:extLst>
          </xdr:cNvPr>
          <xdr:cNvSpPr>
            <a:spLocks/>
          </xdr:cNvSpPr>
        </xdr:nvSpPr>
        <xdr:spPr bwMode="auto">
          <a:xfrm>
            <a:off x="4818063" y="2127250"/>
            <a:ext cx="622300" cy="538163"/>
          </a:xfrm>
          <a:custGeom>
            <a:avLst/>
            <a:gdLst/>
            <a:ahLst/>
            <a:cxnLst>
              <a:cxn ang="0">
                <a:pos x="102" y="154"/>
              </a:cxn>
              <a:cxn ang="0">
                <a:pos x="113" y="126"/>
              </a:cxn>
              <a:cxn ang="0">
                <a:pos x="122" y="86"/>
              </a:cxn>
              <a:cxn ang="0">
                <a:pos x="125" y="77"/>
              </a:cxn>
              <a:cxn ang="0">
                <a:pos x="108" y="77"/>
              </a:cxn>
              <a:cxn ang="0">
                <a:pos x="64" y="77"/>
              </a:cxn>
              <a:cxn ang="0">
                <a:pos x="27" y="79"/>
              </a:cxn>
              <a:cxn ang="0">
                <a:pos x="26" y="77"/>
              </a:cxn>
              <a:cxn ang="0">
                <a:pos x="0" y="55"/>
              </a:cxn>
              <a:cxn ang="0">
                <a:pos x="9" y="37"/>
              </a:cxn>
              <a:cxn ang="0">
                <a:pos x="41" y="20"/>
              </a:cxn>
              <a:cxn ang="0">
                <a:pos x="48" y="13"/>
              </a:cxn>
              <a:cxn ang="0">
                <a:pos x="80" y="4"/>
              </a:cxn>
              <a:cxn ang="0">
                <a:pos x="127" y="7"/>
              </a:cxn>
              <a:cxn ang="0">
                <a:pos x="174" y="15"/>
              </a:cxn>
              <a:cxn ang="0">
                <a:pos x="223" y="21"/>
              </a:cxn>
              <a:cxn ang="0">
                <a:pos x="256" y="44"/>
              </a:cxn>
              <a:cxn ang="0">
                <a:pos x="278" y="33"/>
              </a:cxn>
              <a:cxn ang="0">
                <a:pos x="281" y="43"/>
              </a:cxn>
              <a:cxn ang="0">
                <a:pos x="289" y="65"/>
              </a:cxn>
              <a:cxn ang="0">
                <a:pos x="309" y="76"/>
              </a:cxn>
              <a:cxn ang="0">
                <a:pos x="350" y="76"/>
              </a:cxn>
              <a:cxn ang="0">
                <a:pos x="359" y="63"/>
              </a:cxn>
              <a:cxn ang="0">
                <a:pos x="387" y="51"/>
              </a:cxn>
              <a:cxn ang="0">
                <a:pos x="439" y="74"/>
              </a:cxn>
              <a:cxn ang="0">
                <a:pos x="445" y="96"/>
              </a:cxn>
              <a:cxn ang="0">
                <a:pos x="435" y="119"/>
              </a:cxn>
              <a:cxn ang="0">
                <a:pos x="436" y="138"/>
              </a:cxn>
              <a:cxn ang="0">
                <a:pos x="449" y="156"/>
              </a:cxn>
              <a:cxn ang="0">
                <a:pos x="445" y="179"/>
              </a:cxn>
              <a:cxn ang="0">
                <a:pos x="448" y="232"/>
              </a:cxn>
              <a:cxn ang="0">
                <a:pos x="448" y="240"/>
              </a:cxn>
              <a:cxn ang="0">
                <a:pos x="393" y="231"/>
              </a:cxn>
              <a:cxn ang="0">
                <a:pos x="370" y="220"/>
              </a:cxn>
              <a:cxn ang="0">
                <a:pos x="333" y="207"/>
              </a:cxn>
              <a:cxn ang="0">
                <a:pos x="313" y="192"/>
              </a:cxn>
              <a:cxn ang="0">
                <a:pos x="278" y="183"/>
              </a:cxn>
              <a:cxn ang="0">
                <a:pos x="304" y="224"/>
              </a:cxn>
              <a:cxn ang="0">
                <a:pos x="315" y="227"/>
              </a:cxn>
              <a:cxn ang="0">
                <a:pos x="313" y="246"/>
              </a:cxn>
              <a:cxn ang="0">
                <a:pos x="379" y="225"/>
              </a:cxn>
              <a:cxn ang="0">
                <a:pos x="406" y="260"/>
              </a:cxn>
              <a:cxn ang="0">
                <a:pos x="414" y="270"/>
              </a:cxn>
              <a:cxn ang="0">
                <a:pos x="410" y="302"/>
              </a:cxn>
              <a:cxn ang="0">
                <a:pos x="390" y="321"/>
              </a:cxn>
              <a:cxn ang="0">
                <a:pos x="365" y="347"/>
              </a:cxn>
              <a:cxn ang="0">
                <a:pos x="328" y="368"/>
              </a:cxn>
              <a:cxn ang="0">
                <a:pos x="265" y="395"/>
              </a:cxn>
              <a:cxn ang="0">
                <a:pos x="234" y="404"/>
              </a:cxn>
              <a:cxn ang="0">
                <a:pos x="217" y="399"/>
              </a:cxn>
              <a:cxn ang="0">
                <a:pos x="209" y="372"/>
              </a:cxn>
              <a:cxn ang="0">
                <a:pos x="198" y="340"/>
              </a:cxn>
              <a:cxn ang="0">
                <a:pos x="162" y="280"/>
              </a:cxn>
              <a:cxn ang="0">
                <a:pos x="154" y="259"/>
              </a:cxn>
              <a:cxn ang="0">
                <a:pos x="140" y="251"/>
              </a:cxn>
              <a:cxn ang="0">
                <a:pos x="131" y="229"/>
              </a:cxn>
              <a:cxn ang="0">
                <a:pos x="109" y="196"/>
              </a:cxn>
              <a:cxn ang="0">
                <a:pos x="112" y="177"/>
              </a:cxn>
            </a:cxnLst>
            <a:rect l="0" t="0" r="r" b="b"/>
            <a:pathLst>
              <a:path w="467" h="405">
                <a:moveTo>
                  <a:pt x="112" y="177"/>
                </a:moveTo>
                <a:cubicBezTo>
                  <a:pt x="102" y="154"/>
                  <a:pt x="102" y="154"/>
                  <a:pt x="102" y="154"/>
                </a:cubicBezTo>
                <a:cubicBezTo>
                  <a:pt x="102" y="151"/>
                  <a:pt x="105" y="151"/>
                  <a:pt x="106" y="149"/>
                </a:cubicBezTo>
                <a:cubicBezTo>
                  <a:pt x="109" y="139"/>
                  <a:pt x="110" y="134"/>
                  <a:pt x="113" y="126"/>
                </a:cubicBezTo>
                <a:cubicBezTo>
                  <a:pt x="115" y="117"/>
                  <a:pt x="124" y="115"/>
                  <a:pt x="124" y="104"/>
                </a:cubicBezTo>
                <a:cubicBezTo>
                  <a:pt x="124" y="97"/>
                  <a:pt x="122" y="91"/>
                  <a:pt x="122" y="86"/>
                </a:cubicBezTo>
                <a:cubicBezTo>
                  <a:pt x="122" y="83"/>
                  <a:pt x="124" y="82"/>
                  <a:pt x="125" y="81"/>
                </a:cubicBezTo>
                <a:cubicBezTo>
                  <a:pt x="125" y="77"/>
                  <a:pt x="125" y="77"/>
                  <a:pt x="125" y="77"/>
                </a:cubicBezTo>
                <a:cubicBezTo>
                  <a:pt x="121" y="78"/>
                  <a:pt x="120" y="81"/>
                  <a:pt x="117" y="81"/>
                </a:cubicBezTo>
                <a:cubicBezTo>
                  <a:pt x="112" y="81"/>
                  <a:pt x="110" y="79"/>
                  <a:pt x="108" y="77"/>
                </a:cubicBezTo>
                <a:cubicBezTo>
                  <a:pt x="101" y="82"/>
                  <a:pt x="98" y="88"/>
                  <a:pt x="86" y="88"/>
                </a:cubicBezTo>
                <a:cubicBezTo>
                  <a:pt x="76" y="88"/>
                  <a:pt x="73" y="77"/>
                  <a:pt x="64" y="77"/>
                </a:cubicBezTo>
                <a:cubicBezTo>
                  <a:pt x="54" y="77"/>
                  <a:pt x="56" y="87"/>
                  <a:pt x="48" y="87"/>
                </a:cubicBezTo>
                <a:cubicBezTo>
                  <a:pt x="40" y="87"/>
                  <a:pt x="35" y="75"/>
                  <a:pt x="27" y="79"/>
                </a:cubicBezTo>
                <a:cubicBezTo>
                  <a:pt x="22" y="79"/>
                  <a:pt x="22" y="79"/>
                  <a:pt x="22" y="79"/>
                </a:cubicBezTo>
                <a:cubicBezTo>
                  <a:pt x="24" y="79"/>
                  <a:pt x="25" y="78"/>
                  <a:pt x="26" y="77"/>
                </a:cubicBezTo>
                <a:cubicBezTo>
                  <a:pt x="23" y="74"/>
                  <a:pt x="10" y="67"/>
                  <a:pt x="15" y="63"/>
                </a:cubicBezTo>
                <a:cubicBezTo>
                  <a:pt x="11" y="57"/>
                  <a:pt x="6" y="58"/>
                  <a:pt x="0" y="55"/>
                </a:cubicBezTo>
                <a:cubicBezTo>
                  <a:pt x="4" y="50"/>
                  <a:pt x="9" y="51"/>
                  <a:pt x="9" y="43"/>
                </a:cubicBezTo>
                <a:cubicBezTo>
                  <a:pt x="9" y="40"/>
                  <a:pt x="8" y="40"/>
                  <a:pt x="9" y="37"/>
                </a:cubicBezTo>
                <a:cubicBezTo>
                  <a:pt x="6" y="37"/>
                  <a:pt x="1" y="38"/>
                  <a:pt x="1" y="35"/>
                </a:cubicBezTo>
                <a:cubicBezTo>
                  <a:pt x="1" y="22"/>
                  <a:pt x="33" y="24"/>
                  <a:pt x="41" y="20"/>
                </a:cubicBezTo>
                <a:cubicBezTo>
                  <a:pt x="40" y="17"/>
                  <a:pt x="38" y="18"/>
                  <a:pt x="38" y="15"/>
                </a:cubicBezTo>
                <a:cubicBezTo>
                  <a:pt x="38" y="11"/>
                  <a:pt x="46" y="13"/>
                  <a:pt x="48" y="13"/>
                </a:cubicBezTo>
                <a:cubicBezTo>
                  <a:pt x="53" y="13"/>
                  <a:pt x="62" y="13"/>
                  <a:pt x="62" y="13"/>
                </a:cubicBezTo>
                <a:cubicBezTo>
                  <a:pt x="67" y="13"/>
                  <a:pt x="75" y="7"/>
                  <a:pt x="80" y="4"/>
                </a:cubicBezTo>
                <a:cubicBezTo>
                  <a:pt x="86" y="0"/>
                  <a:pt x="98" y="0"/>
                  <a:pt x="106" y="0"/>
                </a:cubicBezTo>
                <a:cubicBezTo>
                  <a:pt x="117" y="0"/>
                  <a:pt x="117" y="7"/>
                  <a:pt x="127" y="7"/>
                </a:cubicBezTo>
                <a:cubicBezTo>
                  <a:pt x="127" y="12"/>
                  <a:pt x="144" y="15"/>
                  <a:pt x="149" y="15"/>
                </a:cubicBezTo>
                <a:cubicBezTo>
                  <a:pt x="162" y="15"/>
                  <a:pt x="170" y="15"/>
                  <a:pt x="174" y="15"/>
                </a:cubicBezTo>
                <a:cubicBezTo>
                  <a:pt x="186" y="15"/>
                  <a:pt x="192" y="3"/>
                  <a:pt x="205" y="3"/>
                </a:cubicBezTo>
                <a:cubicBezTo>
                  <a:pt x="219" y="3"/>
                  <a:pt x="218" y="12"/>
                  <a:pt x="223" y="21"/>
                </a:cubicBezTo>
                <a:cubicBezTo>
                  <a:pt x="224" y="23"/>
                  <a:pt x="233" y="28"/>
                  <a:pt x="233" y="28"/>
                </a:cubicBezTo>
                <a:cubicBezTo>
                  <a:pt x="241" y="31"/>
                  <a:pt x="243" y="44"/>
                  <a:pt x="256" y="44"/>
                </a:cubicBezTo>
                <a:cubicBezTo>
                  <a:pt x="265" y="44"/>
                  <a:pt x="265" y="36"/>
                  <a:pt x="271" y="34"/>
                </a:cubicBezTo>
                <a:cubicBezTo>
                  <a:pt x="275" y="33"/>
                  <a:pt x="274" y="33"/>
                  <a:pt x="278" y="33"/>
                </a:cubicBezTo>
                <a:cubicBezTo>
                  <a:pt x="279" y="35"/>
                  <a:pt x="279" y="39"/>
                  <a:pt x="281" y="41"/>
                </a:cubicBezTo>
                <a:cubicBezTo>
                  <a:pt x="280" y="41"/>
                  <a:pt x="281" y="42"/>
                  <a:pt x="281" y="43"/>
                </a:cubicBezTo>
                <a:cubicBezTo>
                  <a:pt x="281" y="48"/>
                  <a:pt x="284" y="47"/>
                  <a:pt x="286" y="51"/>
                </a:cubicBezTo>
                <a:cubicBezTo>
                  <a:pt x="290" y="56"/>
                  <a:pt x="286" y="59"/>
                  <a:pt x="289" y="65"/>
                </a:cubicBezTo>
                <a:cubicBezTo>
                  <a:pt x="291" y="70"/>
                  <a:pt x="297" y="67"/>
                  <a:pt x="301" y="68"/>
                </a:cubicBezTo>
                <a:cubicBezTo>
                  <a:pt x="305" y="69"/>
                  <a:pt x="306" y="73"/>
                  <a:pt x="309" y="76"/>
                </a:cubicBezTo>
                <a:cubicBezTo>
                  <a:pt x="312" y="79"/>
                  <a:pt x="323" y="78"/>
                  <a:pt x="329" y="78"/>
                </a:cubicBezTo>
                <a:cubicBezTo>
                  <a:pt x="337" y="78"/>
                  <a:pt x="345" y="77"/>
                  <a:pt x="350" y="76"/>
                </a:cubicBezTo>
                <a:cubicBezTo>
                  <a:pt x="350" y="72"/>
                  <a:pt x="350" y="71"/>
                  <a:pt x="350" y="68"/>
                </a:cubicBezTo>
                <a:cubicBezTo>
                  <a:pt x="350" y="64"/>
                  <a:pt x="355" y="64"/>
                  <a:pt x="359" y="63"/>
                </a:cubicBezTo>
                <a:cubicBezTo>
                  <a:pt x="364" y="61"/>
                  <a:pt x="363" y="59"/>
                  <a:pt x="368" y="57"/>
                </a:cubicBezTo>
                <a:cubicBezTo>
                  <a:pt x="376" y="54"/>
                  <a:pt x="381" y="56"/>
                  <a:pt x="387" y="51"/>
                </a:cubicBezTo>
                <a:cubicBezTo>
                  <a:pt x="397" y="57"/>
                  <a:pt x="403" y="57"/>
                  <a:pt x="412" y="60"/>
                </a:cubicBezTo>
                <a:cubicBezTo>
                  <a:pt x="423" y="64"/>
                  <a:pt x="426" y="74"/>
                  <a:pt x="439" y="74"/>
                </a:cubicBezTo>
                <a:cubicBezTo>
                  <a:pt x="439" y="76"/>
                  <a:pt x="442" y="77"/>
                  <a:pt x="443" y="79"/>
                </a:cubicBezTo>
                <a:cubicBezTo>
                  <a:pt x="445" y="86"/>
                  <a:pt x="442" y="92"/>
                  <a:pt x="445" y="96"/>
                </a:cubicBezTo>
                <a:cubicBezTo>
                  <a:pt x="442" y="98"/>
                  <a:pt x="435" y="114"/>
                  <a:pt x="435" y="115"/>
                </a:cubicBezTo>
                <a:cubicBezTo>
                  <a:pt x="435" y="116"/>
                  <a:pt x="436" y="118"/>
                  <a:pt x="435" y="119"/>
                </a:cubicBezTo>
                <a:cubicBezTo>
                  <a:pt x="436" y="121"/>
                  <a:pt x="435" y="122"/>
                  <a:pt x="436" y="124"/>
                </a:cubicBezTo>
                <a:cubicBezTo>
                  <a:pt x="436" y="138"/>
                  <a:pt x="436" y="138"/>
                  <a:pt x="436" y="138"/>
                </a:cubicBezTo>
                <a:cubicBezTo>
                  <a:pt x="438" y="142"/>
                  <a:pt x="437" y="145"/>
                  <a:pt x="439" y="149"/>
                </a:cubicBezTo>
                <a:cubicBezTo>
                  <a:pt x="440" y="153"/>
                  <a:pt x="449" y="149"/>
                  <a:pt x="449" y="156"/>
                </a:cubicBezTo>
                <a:cubicBezTo>
                  <a:pt x="449" y="165"/>
                  <a:pt x="439" y="164"/>
                  <a:pt x="439" y="171"/>
                </a:cubicBezTo>
                <a:cubicBezTo>
                  <a:pt x="439" y="177"/>
                  <a:pt x="443" y="177"/>
                  <a:pt x="445" y="179"/>
                </a:cubicBezTo>
                <a:cubicBezTo>
                  <a:pt x="452" y="194"/>
                  <a:pt x="467" y="196"/>
                  <a:pt x="467" y="215"/>
                </a:cubicBezTo>
                <a:cubicBezTo>
                  <a:pt x="456" y="218"/>
                  <a:pt x="448" y="220"/>
                  <a:pt x="448" y="232"/>
                </a:cubicBezTo>
                <a:cubicBezTo>
                  <a:pt x="448" y="235"/>
                  <a:pt x="450" y="238"/>
                  <a:pt x="450" y="240"/>
                </a:cubicBezTo>
                <a:cubicBezTo>
                  <a:pt x="450" y="240"/>
                  <a:pt x="448" y="240"/>
                  <a:pt x="448" y="240"/>
                </a:cubicBezTo>
                <a:cubicBezTo>
                  <a:pt x="439" y="240"/>
                  <a:pt x="420" y="235"/>
                  <a:pt x="408" y="235"/>
                </a:cubicBezTo>
                <a:cubicBezTo>
                  <a:pt x="406" y="235"/>
                  <a:pt x="393" y="231"/>
                  <a:pt x="393" y="231"/>
                </a:cubicBezTo>
                <a:cubicBezTo>
                  <a:pt x="388" y="226"/>
                  <a:pt x="388" y="213"/>
                  <a:pt x="379" y="213"/>
                </a:cubicBezTo>
                <a:cubicBezTo>
                  <a:pt x="374" y="213"/>
                  <a:pt x="372" y="217"/>
                  <a:pt x="370" y="220"/>
                </a:cubicBezTo>
                <a:cubicBezTo>
                  <a:pt x="348" y="220"/>
                  <a:pt x="348" y="220"/>
                  <a:pt x="348" y="220"/>
                </a:cubicBezTo>
                <a:cubicBezTo>
                  <a:pt x="341" y="217"/>
                  <a:pt x="337" y="212"/>
                  <a:pt x="333" y="207"/>
                </a:cubicBezTo>
                <a:cubicBezTo>
                  <a:pt x="327" y="202"/>
                  <a:pt x="320" y="205"/>
                  <a:pt x="315" y="200"/>
                </a:cubicBezTo>
                <a:cubicBezTo>
                  <a:pt x="313" y="197"/>
                  <a:pt x="314" y="194"/>
                  <a:pt x="313" y="192"/>
                </a:cubicBezTo>
                <a:cubicBezTo>
                  <a:pt x="308" y="182"/>
                  <a:pt x="299" y="168"/>
                  <a:pt x="286" y="168"/>
                </a:cubicBezTo>
                <a:cubicBezTo>
                  <a:pt x="280" y="168"/>
                  <a:pt x="278" y="176"/>
                  <a:pt x="278" y="183"/>
                </a:cubicBezTo>
                <a:cubicBezTo>
                  <a:pt x="278" y="187"/>
                  <a:pt x="278" y="189"/>
                  <a:pt x="278" y="193"/>
                </a:cubicBezTo>
                <a:cubicBezTo>
                  <a:pt x="281" y="203"/>
                  <a:pt x="293" y="222"/>
                  <a:pt x="304" y="224"/>
                </a:cubicBezTo>
                <a:cubicBezTo>
                  <a:pt x="304" y="229"/>
                  <a:pt x="306" y="231"/>
                  <a:pt x="307" y="235"/>
                </a:cubicBezTo>
                <a:cubicBezTo>
                  <a:pt x="312" y="233"/>
                  <a:pt x="311" y="228"/>
                  <a:pt x="315" y="227"/>
                </a:cubicBezTo>
                <a:cubicBezTo>
                  <a:pt x="316" y="228"/>
                  <a:pt x="316" y="230"/>
                  <a:pt x="316" y="231"/>
                </a:cubicBezTo>
                <a:cubicBezTo>
                  <a:pt x="316" y="237"/>
                  <a:pt x="313" y="240"/>
                  <a:pt x="313" y="246"/>
                </a:cubicBezTo>
                <a:cubicBezTo>
                  <a:pt x="313" y="252"/>
                  <a:pt x="324" y="255"/>
                  <a:pt x="331" y="255"/>
                </a:cubicBezTo>
                <a:cubicBezTo>
                  <a:pt x="360" y="255"/>
                  <a:pt x="363" y="237"/>
                  <a:pt x="379" y="225"/>
                </a:cubicBezTo>
                <a:cubicBezTo>
                  <a:pt x="379" y="241"/>
                  <a:pt x="379" y="241"/>
                  <a:pt x="379" y="241"/>
                </a:cubicBezTo>
                <a:cubicBezTo>
                  <a:pt x="385" y="254"/>
                  <a:pt x="393" y="256"/>
                  <a:pt x="406" y="260"/>
                </a:cubicBezTo>
                <a:cubicBezTo>
                  <a:pt x="411" y="261"/>
                  <a:pt x="411" y="269"/>
                  <a:pt x="414" y="271"/>
                </a:cubicBezTo>
                <a:cubicBezTo>
                  <a:pt x="414" y="270"/>
                  <a:pt x="414" y="270"/>
                  <a:pt x="414" y="270"/>
                </a:cubicBezTo>
                <a:cubicBezTo>
                  <a:pt x="416" y="274"/>
                  <a:pt x="423" y="273"/>
                  <a:pt x="423" y="277"/>
                </a:cubicBezTo>
                <a:cubicBezTo>
                  <a:pt x="423" y="288"/>
                  <a:pt x="410" y="291"/>
                  <a:pt x="410" y="302"/>
                </a:cubicBezTo>
                <a:cubicBezTo>
                  <a:pt x="403" y="302"/>
                  <a:pt x="399" y="303"/>
                  <a:pt x="397" y="309"/>
                </a:cubicBezTo>
                <a:cubicBezTo>
                  <a:pt x="395" y="314"/>
                  <a:pt x="396" y="321"/>
                  <a:pt x="390" y="321"/>
                </a:cubicBezTo>
                <a:cubicBezTo>
                  <a:pt x="384" y="321"/>
                  <a:pt x="384" y="334"/>
                  <a:pt x="378" y="334"/>
                </a:cubicBezTo>
                <a:cubicBezTo>
                  <a:pt x="374" y="334"/>
                  <a:pt x="365" y="342"/>
                  <a:pt x="365" y="347"/>
                </a:cubicBezTo>
                <a:cubicBezTo>
                  <a:pt x="353" y="349"/>
                  <a:pt x="327" y="354"/>
                  <a:pt x="327" y="364"/>
                </a:cubicBezTo>
                <a:cubicBezTo>
                  <a:pt x="327" y="365"/>
                  <a:pt x="327" y="367"/>
                  <a:pt x="328" y="368"/>
                </a:cubicBezTo>
                <a:cubicBezTo>
                  <a:pt x="318" y="373"/>
                  <a:pt x="304" y="376"/>
                  <a:pt x="294" y="378"/>
                </a:cubicBezTo>
                <a:cubicBezTo>
                  <a:pt x="289" y="380"/>
                  <a:pt x="271" y="392"/>
                  <a:pt x="265" y="395"/>
                </a:cubicBezTo>
                <a:cubicBezTo>
                  <a:pt x="252" y="395"/>
                  <a:pt x="252" y="395"/>
                  <a:pt x="252" y="395"/>
                </a:cubicBezTo>
                <a:cubicBezTo>
                  <a:pt x="244" y="400"/>
                  <a:pt x="243" y="404"/>
                  <a:pt x="234" y="404"/>
                </a:cubicBezTo>
                <a:cubicBezTo>
                  <a:pt x="231" y="405"/>
                  <a:pt x="231" y="405"/>
                  <a:pt x="231" y="405"/>
                </a:cubicBezTo>
                <a:cubicBezTo>
                  <a:pt x="229" y="405"/>
                  <a:pt x="218" y="400"/>
                  <a:pt x="217" y="399"/>
                </a:cubicBezTo>
                <a:cubicBezTo>
                  <a:pt x="216" y="399"/>
                  <a:pt x="219" y="399"/>
                  <a:pt x="217" y="394"/>
                </a:cubicBezTo>
                <a:cubicBezTo>
                  <a:pt x="212" y="387"/>
                  <a:pt x="209" y="380"/>
                  <a:pt x="209" y="372"/>
                </a:cubicBezTo>
                <a:cubicBezTo>
                  <a:pt x="204" y="371"/>
                  <a:pt x="207" y="363"/>
                  <a:pt x="208" y="359"/>
                </a:cubicBezTo>
                <a:cubicBezTo>
                  <a:pt x="210" y="349"/>
                  <a:pt x="203" y="345"/>
                  <a:pt x="198" y="340"/>
                </a:cubicBezTo>
                <a:cubicBezTo>
                  <a:pt x="193" y="335"/>
                  <a:pt x="181" y="320"/>
                  <a:pt x="181" y="309"/>
                </a:cubicBezTo>
                <a:cubicBezTo>
                  <a:pt x="165" y="306"/>
                  <a:pt x="162" y="297"/>
                  <a:pt x="162" y="280"/>
                </a:cubicBezTo>
                <a:cubicBezTo>
                  <a:pt x="162" y="270"/>
                  <a:pt x="156" y="268"/>
                  <a:pt x="154" y="259"/>
                </a:cubicBezTo>
                <a:cubicBezTo>
                  <a:pt x="154" y="259"/>
                  <a:pt x="154" y="259"/>
                  <a:pt x="154" y="259"/>
                </a:cubicBezTo>
                <a:cubicBezTo>
                  <a:pt x="152" y="258"/>
                  <a:pt x="150" y="255"/>
                  <a:pt x="148" y="254"/>
                </a:cubicBezTo>
                <a:cubicBezTo>
                  <a:pt x="147" y="252"/>
                  <a:pt x="141" y="253"/>
                  <a:pt x="140" y="251"/>
                </a:cubicBezTo>
                <a:cubicBezTo>
                  <a:pt x="137" y="249"/>
                  <a:pt x="138" y="242"/>
                  <a:pt x="137" y="239"/>
                </a:cubicBezTo>
                <a:cubicBezTo>
                  <a:pt x="136" y="235"/>
                  <a:pt x="132" y="231"/>
                  <a:pt x="131" y="229"/>
                </a:cubicBezTo>
                <a:cubicBezTo>
                  <a:pt x="125" y="221"/>
                  <a:pt x="121" y="214"/>
                  <a:pt x="116" y="207"/>
                </a:cubicBezTo>
                <a:cubicBezTo>
                  <a:pt x="115" y="205"/>
                  <a:pt x="109" y="198"/>
                  <a:pt x="109" y="196"/>
                </a:cubicBezTo>
                <a:cubicBezTo>
                  <a:pt x="109" y="192"/>
                  <a:pt x="112" y="182"/>
                  <a:pt x="112" y="175"/>
                </a:cubicBezTo>
                <a:lnTo>
                  <a:pt x="112" y="177"/>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89" name="Freeform 102" hidden="1">
            <a:extLst>
              <a:ext uri="{FF2B5EF4-FFF2-40B4-BE49-F238E27FC236}">
                <a16:creationId xmlns:a16="http://schemas.microsoft.com/office/drawing/2014/main" id="{00000000-0008-0000-0000-000059000000}"/>
              </a:ext>
            </a:extLst>
          </xdr:cNvPr>
          <xdr:cNvSpPr>
            <a:spLocks/>
          </xdr:cNvSpPr>
        </xdr:nvSpPr>
        <xdr:spPr bwMode="auto">
          <a:xfrm>
            <a:off x="5713413" y="2714625"/>
            <a:ext cx="33338" cy="63500"/>
          </a:xfrm>
          <a:custGeom>
            <a:avLst/>
            <a:gdLst/>
            <a:ahLst/>
            <a:cxnLst>
              <a:cxn ang="0">
                <a:pos x="25" y="30"/>
              </a:cxn>
              <a:cxn ang="0">
                <a:pos x="11" y="48"/>
              </a:cxn>
              <a:cxn ang="0">
                <a:pos x="0" y="35"/>
              </a:cxn>
              <a:cxn ang="0">
                <a:pos x="6" y="0"/>
              </a:cxn>
              <a:cxn ang="0">
                <a:pos x="25" y="30"/>
              </a:cxn>
            </a:cxnLst>
            <a:rect l="0" t="0" r="r" b="b"/>
            <a:pathLst>
              <a:path w="25" h="48">
                <a:moveTo>
                  <a:pt x="25" y="30"/>
                </a:moveTo>
                <a:cubicBezTo>
                  <a:pt x="25" y="37"/>
                  <a:pt x="20" y="48"/>
                  <a:pt x="11" y="48"/>
                </a:cubicBezTo>
                <a:cubicBezTo>
                  <a:pt x="5" y="48"/>
                  <a:pt x="0" y="41"/>
                  <a:pt x="0" y="35"/>
                </a:cubicBezTo>
                <a:cubicBezTo>
                  <a:pt x="0" y="22"/>
                  <a:pt x="6" y="13"/>
                  <a:pt x="6" y="0"/>
                </a:cubicBezTo>
                <a:cubicBezTo>
                  <a:pt x="13" y="10"/>
                  <a:pt x="25" y="15"/>
                  <a:pt x="25" y="30"/>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90" name="Freeform 103" hidden="1">
            <a:extLst>
              <a:ext uri="{FF2B5EF4-FFF2-40B4-BE49-F238E27FC236}">
                <a16:creationId xmlns:a16="http://schemas.microsoft.com/office/drawing/2014/main" id="{00000000-0008-0000-0000-00005A000000}"/>
              </a:ext>
            </a:extLst>
          </xdr:cNvPr>
          <xdr:cNvSpPr>
            <a:spLocks/>
          </xdr:cNvSpPr>
        </xdr:nvSpPr>
        <xdr:spPr bwMode="auto">
          <a:xfrm>
            <a:off x="5397500" y="2195513"/>
            <a:ext cx="677863" cy="544513"/>
          </a:xfrm>
          <a:custGeom>
            <a:avLst/>
            <a:gdLst/>
            <a:ahLst/>
            <a:cxnLst>
              <a:cxn ang="0">
                <a:pos x="148" y="270"/>
              </a:cxn>
              <a:cxn ang="0">
                <a:pos x="174" y="340"/>
              </a:cxn>
              <a:cxn ang="0">
                <a:pos x="200" y="401"/>
              </a:cxn>
              <a:cxn ang="0">
                <a:pos x="216" y="401"/>
              </a:cxn>
              <a:cxn ang="0">
                <a:pos x="237" y="379"/>
              </a:cxn>
              <a:cxn ang="0">
                <a:pos x="243" y="341"/>
              </a:cxn>
              <a:cxn ang="0">
                <a:pos x="268" y="298"/>
              </a:cxn>
              <a:cxn ang="0">
                <a:pos x="326" y="240"/>
              </a:cxn>
              <a:cxn ang="0">
                <a:pos x="374" y="218"/>
              </a:cxn>
              <a:cxn ang="0">
                <a:pos x="409" y="259"/>
              </a:cxn>
              <a:cxn ang="0">
                <a:pos x="423" y="302"/>
              </a:cxn>
              <a:cxn ang="0">
                <a:pos x="457" y="300"/>
              </a:cxn>
              <a:cxn ang="0">
                <a:pos x="476" y="367"/>
              </a:cxn>
              <a:cxn ang="0">
                <a:pos x="489" y="358"/>
              </a:cxn>
              <a:cxn ang="0">
                <a:pos x="472" y="316"/>
              </a:cxn>
              <a:cxn ang="0">
                <a:pos x="473" y="288"/>
              </a:cxn>
              <a:cxn ang="0">
                <a:pos x="483" y="254"/>
              </a:cxn>
              <a:cxn ang="0">
                <a:pos x="487" y="213"/>
              </a:cxn>
              <a:cxn ang="0">
                <a:pos x="467" y="197"/>
              </a:cxn>
              <a:cxn ang="0">
                <a:pos x="445" y="125"/>
              </a:cxn>
              <a:cxn ang="0">
                <a:pos x="423" y="130"/>
              </a:cxn>
              <a:cxn ang="0">
                <a:pos x="373" y="144"/>
              </a:cxn>
              <a:cxn ang="0">
                <a:pos x="341" y="147"/>
              </a:cxn>
              <a:cxn ang="0">
                <a:pos x="295" y="136"/>
              </a:cxn>
              <a:cxn ang="0">
                <a:pos x="254" y="116"/>
              </a:cxn>
              <a:cxn ang="0">
                <a:pos x="226" y="89"/>
              </a:cxn>
              <a:cxn ang="0">
                <a:pos x="229" y="69"/>
              </a:cxn>
              <a:cxn ang="0">
                <a:pos x="213" y="43"/>
              </a:cxn>
              <a:cxn ang="0">
                <a:pos x="178" y="16"/>
              </a:cxn>
              <a:cxn ang="0">
                <a:pos x="131" y="0"/>
              </a:cxn>
              <a:cxn ang="0">
                <a:pos x="94" y="21"/>
              </a:cxn>
              <a:cxn ang="0">
                <a:pos x="65" y="13"/>
              </a:cxn>
              <a:cxn ang="0">
                <a:pos x="23" y="46"/>
              </a:cxn>
              <a:cxn ang="0">
                <a:pos x="0" y="64"/>
              </a:cxn>
              <a:cxn ang="0">
                <a:pos x="1" y="87"/>
              </a:cxn>
              <a:cxn ang="0">
                <a:pos x="4" y="120"/>
              </a:cxn>
              <a:cxn ang="0">
                <a:pos x="13" y="181"/>
              </a:cxn>
              <a:cxn ang="0">
                <a:pos x="34" y="185"/>
              </a:cxn>
              <a:cxn ang="0">
                <a:pos x="70" y="185"/>
              </a:cxn>
              <a:cxn ang="0">
                <a:pos x="118" y="219"/>
              </a:cxn>
              <a:cxn ang="0">
                <a:pos x="127" y="248"/>
              </a:cxn>
              <a:cxn ang="0">
                <a:pos x="145" y="233"/>
              </a:cxn>
              <a:cxn ang="0">
                <a:pos x="149" y="265"/>
              </a:cxn>
            </a:cxnLst>
            <a:rect l="0" t="0" r="r" b="b"/>
            <a:pathLst>
              <a:path w="509" h="410">
                <a:moveTo>
                  <a:pt x="149" y="265"/>
                </a:moveTo>
                <a:cubicBezTo>
                  <a:pt x="147" y="263"/>
                  <a:pt x="147" y="263"/>
                  <a:pt x="147" y="263"/>
                </a:cubicBezTo>
                <a:cubicBezTo>
                  <a:pt x="147" y="265"/>
                  <a:pt x="148" y="268"/>
                  <a:pt x="148" y="270"/>
                </a:cubicBezTo>
                <a:cubicBezTo>
                  <a:pt x="148" y="278"/>
                  <a:pt x="153" y="286"/>
                  <a:pt x="155" y="295"/>
                </a:cubicBezTo>
                <a:cubicBezTo>
                  <a:pt x="158" y="305"/>
                  <a:pt x="166" y="319"/>
                  <a:pt x="168" y="326"/>
                </a:cubicBezTo>
                <a:cubicBezTo>
                  <a:pt x="170" y="332"/>
                  <a:pt x="170" y="334"/>
                  <a:pt x="174" y="340"/>
                </a:cubicBezTo>
                <a:cubicBezTo>
                  <a:pt x="177" y="345"/>
                  <a:pt x="175" y="351"/>
                  <a:pt x="179" y="358"/>
                </a:cubicBezTo>
                <a:cubicBezTo>
                  <a:pt x="180" y="362"/>
                  <a:pt x="187" y="366"/>
                  <a:pt x="188" y="372"/>
                </a:cubicBezTo>
                <a:cubicBezTo>
                  <a:pt x="191" y="382"/>
                  <a:pt x="196" y="390"/>
                  <a:pt x="200" y="401"/>
                </a:cubicBezTo>
                <a:cubicBezTo>
                  <a:pt x="200" y="402"/>
                  <a:pt x="202" y="405"/>
                  <a:pt x="204" y="405"/>
                </a:cubicBezTo>
                <a:cubicBezTo>
                  <a:pt x="204" y="409"/>
                  <a:pt x="207" y="410"/>
                  <a:pt x="210" y="410"/>
                </a:cubicBezTo>
                <a:cubicBezTo>
                  <a:pt x="214" y="410"/>
                  <a:pt x="214" y="405"/>
                  <a:pt x="216" y="401"/>
                </a:cubicBezTo>
                <a:cubicBezTo>
                  <a:pt x="218" y="397"/>
                  <a:pt x="219" y="398"/>
                  <a:pt x="224" y="396"/>
                </a:cubicBezTo>
                <a:cubicBezTo>
                  <a:pt x="228" y="394"/>
                  <a:pt x="227" y="382"/>
                  <a:pt x="233" y="381"/>
                </a:cubicBezTo>
                <a:cubicBezTo>
                  <a:pt x="234" y="380"/>
                  <a:pt x="237" y="380"/>
                  <a:pt x="237" y="379"/>
                </a:cubicBezTo>
                <a:cubicBezTo>
                  <a:pt x="240" y="379"/>
                  <a:pt x="240" y="379"/>
                  <a:pt x="240" y="379"/>
                </a:cubicBezTo>
                <a:cubicBezTo>
                  <a:pt x="237" y="367"/>
                  <a:pt x="237" y="367"/>
                  <a:pt x="237" y="367"/>
                </a:cubicBezTo>
                <a:cubicBezTo>
                  <a:pt x="237" y="359"/>
                  <a:pt x="243" y="352"/>
                  <a:pt x="243" y="341"/>
                </a:cubicBezTo>
                <a:cubicBezTo>
                  <a:pt x="243" y="334"/>
                  <a:pt x="240" y="329"/>
                  <a:pt x="240" y="321"/>
                </a:cubicBezTo>
                <a:cubicBezTo>
                  <a:pt x="240" y="312"/>
                  <a:pt x="249" y="311"/>
                  <a:pt x="257" y="308"/>
                </a:cubicBezTo>
                <a:cubicBezTo>
                  <a:pt x="260" y="307"/>
                  <a:pt x="265" y="302"/>
                  <a:pt x="268" y="298"/>
                </a:cubicBezTo>
                <a:cubicBezTo>
                  <a:pt x="277" y="290"/>
                  <a:pt x="284" y="281"/>
                  <a:pt x="293" y="272"/>
                </a:cubicBezTo>
                <a:cubicBezTo>
                  <a:pt x="300" y="265"/>
                  <a:pt x="313" y="263"/>
                  <a:pt x="321" y="255"/>
                </a:cubicBezTo>
                <a:cubicBezTo>
                  <a:pt x="325" y="251"/>
                  <a:pt x="325" y="246"/>
                  <a:pt x="326" y="240"/>
                </a:cubicBezTo>
                <a:cubicBezTo>
                  <a:pt x="328" y="236"/>
                  <a:pt x="337" y="236"/>
                  <a:pt x="340" y="229"/>
                </a:cubicBezTo>
                <a:cubicBezTo>
                  <a:pt x="344" y="231"/>
                  <a:pt x="344" y="233"/>
                  <a:pt x="351" y="233"/>
                </a:cubicBezTo>
                <a:cubicBezTo>
                  <a:pt x="362" y="233"/>
                  <a:pt x="374" y="231"/>
                  <a:pt x="374" y="218"/>
                </a:cubicBezTo>
                <a:cubicBezTo>
                  <a:pt x="381" y="219"/>
                  <a:pt x="389" y="222"/>
                  <a:pt x="390" y="228"/>
                </a:cubicBezTo>
                <a:cubicBezTo>
                  <a:pt x="392" y="233"/>
                  <a:pt x="391" y="240"/>
                  <a:pt x="395" y="245"/>
                </a:cubicBezTo>
                <a:cubicBezTo>
                  <a:pt x="398" y="251"/>
                  <a:pt x="403" y="255"/>
                  <a:pt x="409" y="259"/>
                </a:cubicBezTo>
                <a:cubicBezTo>
                  <a:pt x="414" y="267"/>
                  <a:pt x="419" y="274"/>
                  <a:pt x="422" y="283"/>
                </a:cubicBezTo>
                <a:cubicBezTo>
                  <a:pt x="423" y="285"/>
                  <a:pt x="425" y="286"/>
                  <a:pt x="425" y="289"/>
                </a:cubicBezTo>
                <a:cubicBezTo>
                  <a:pt x="425" y="293"/>
                  <a:pt x="423" y="296"/>
                  <a:pt x="423" y="302"/>
                </a:cubicBezTo>
                <a:cubicBezTo>
                  <a:pt x="423" y="307"/>
                  <a:pt x="423" y="313"/>
                  <a:pt x="430" y="313"/>
                </a:cubicBezTo>
                <a:cubicBezTo>
                  <a:pt x="442" y="313"/>
                  <a:pt x="445" y="300"/>
                  <a:pt x="453" y="293"/>
                </a:cubicBezTo>
                <a:cubicBezTo>
                  <a:pt x="455" y="295"/>
                  <a:pt x="454" y="297"/>
                  <a:pt x="457" y="300"/>
                </a:cubicBezTo>
                <a:cubicBezTo>
                  <a:pt x="457" y="300"/>
                  <a:pt x="461" y="300"/>
                  <a:pt x="462" y="302"/>
                </a:cubicBezTo>
                <a:cubicBezTo>
                  <a:pt x="467" y="308"/>
                  <a:pt x="459" y="322"/>
                  <a:pt x="465" y="322"/>
                </a:cubicBezTo>
                <a:cubicBezTo>
                  <a:pt x="465" y="336"/>
                  <a:pt x="476" y="347"/>
                  <a:pt x="476" y="367"/>
                </a:cubicBezTo>
                <a:cubicBezTo>
                  <a:pt x="476" y="371"/>
                  <a:pt x="473" y="382"/>
                  <a:pt x="476" y="383"/>
                </a:cubicBezTo>
                <a:cubicBezTo>
                  <a:pt x="480" y="376"/>
                  <a:pt x="481" y="371"/>
                  <a:pt x="485" y="363"/>
                </a:cubicBezTo>
                <a:cubicBezTo>
                  <a:pt x="486" y="361"/>
                  <a:pt x="489" y="360"/>
                  <a:pt x="489" y="358"/>
                </a:cubicBezTo>
                <a:cubicBezTo>
                  <a:pt x="489" y="354"/>
                  <a:pt x="483" y="334"/>
                  <a:pt x="479" y="330"/>
                </a:cubicBezTo>
                <a:cubicBezTo>
                  <a:pt x="476" y="327"/>
                  <a:pt x="472" y="325"/>
                  <a:pt x="472" y="320"/>
                </a:cubicBezTo>
                <a:cubicBezTo>
                  <a:pt x="472" y="319"/>
                  <a:pt x="472" y="318"/>
                  <a:pt x="472" y="316"/>
                </a:cubicBezTo>
                <a:cubicBezTo>
                  <a:pt x="472" y="317"/>
                  <a:pt x="472" y="317"/>
                  <a:pt x="472" y="317"/>
                </a:cubicBezTo>
                <a:cubicBezTo>
                  <a:pt x="473" y="316"/>
                  <a:pt x="476" y="311"/>
                  <a:pt x="476" y="307"/>
                </a:cubicBezTo>
                <a:cubicBezTo>
                  <a:pt x="476" y="302"/>
                  <a:pt x="476" y="293"/>
                  <a:pt x="473" y="288"/>
                </a:cubicBezTo>
                <a:cubicBezTo>
                  <a:pt x="470" y="284"/>
                  <a:pt x="464" y="284"/>
                  <a:pt x="464" y="276"/>
                </a:cubicBezTo>
                <a:cubicBezTo>
                  <a:pt x="464" y="268"/>
                  <a:pt x="467" y="262"/>
                  <a:pt x="472" y="258"/>
                </a:cubicBezTo>
                <a:cubicBezTo>
                  <a:pt x="474" y="255"/>
                  <a:pt x="479" y="256"/>
                  <a:pt x="483" y="254"/>
                </a:cubicBezTo>
                <a:cubicBezTo>
                  <a:pt x="493" y="247"/>
                  <a:pt x="500" y="244"/>
                  <a:pt x="509" y="230"/>
                </a:cubicBezTo>
                <a:cubicBezTo>
                  <a:pt x="506" y="230"/>
                  <a:pt x="505" y="231"/>
                  <a:pt x="501" y="231"/>
                </a:cubicBezTo>
                <a:cubicBezTo>
                  <a:pt x="493" y="231"/>
                  <a:pt x="487" y="222"/>
                  <a:pt x="487" y="213"/>
                </a:cubicBezTo>
                <a:cubicBezTo>
                  <a:pt x="483" y="212"/>
                  <a:pt x="482" y="199"/>
                  <a:pt x="478" y="199"/>
                </a:cubicBezTo>
                <a:cubicBezTo>
                  <a:pt x="475" y="199"/>
                  <a:pt x="472" y="202"/>
                  <a:pt x="469" y="202"/>
                </a:cubicBezTo>
                <a:cubicBezTo>
                  <a:pt x="468" y="202"/>
                  <a:pt x="467" y="199"/>
                  <a:pt x="467" y="197"/>
                </a:cubicBezTo>
                <a:cubicBezTo>
                  <a:pt x="467" y="181"/>
                  <a:pt x="479" y="180"/>
                  <a:pt x="479" y="163"/>
                </a:cubicBezTo>
                <a:cubicBezTo>
                  <a:pt x="479" y="154"/>
                  <a:pt x="472" y="151"/>
                  <a:pt x="468" y="144"/>
                </a:cubicBezTo>
                <a:cubicBezTo>
                  <a:pt x="457" y="139"/>
                  <a:pt x="448" y="140"/>
                  <a:pt x="445" y="125"/>
                </a:cubicBezTo>
                <a:cubicBezTo>
                  <a:pt x="442" y="125"/>
                  <a:pt x="442" y="125"/>
                  <a:pt x="442" y="125"/>
                </a:cubicBezTo>
                <a:cubicBezTo>
                  <a:pt x="438" y="129"/>
                  <a:pt x="438" y="129"/>
                  <a:pt x="438" y="129"/>
                </a:cubicBezTo>
                <a:cubicBezTo>
                  <a:pt x="433" y="131"/>
                  <a:pt x="427" y="126"/>
                  <a:pt x="423" y="130"/>
                </a:cubicBezTo>
                <a:cubicBezTo>
                  <a:pt x="422" y="132"/>
                  <a:pt x="421" y="133"/>
                  <a:pt x="418" y="135"/>
                </a:cubicBezTo>
                <a:cubicBezTo>
                  <a:pt x="415" y="137"/>
                  <a:pt x="401" y="149"/>
                  <a:pt x="394" y="149"/>
                </a:cubicBezTo>
                <a:cubicBezTo>
                  <a:pt x="387" y="149"/>
                  <a:pt x="382" y="144"/>
                  <a:pt x="373" y="144"/>
                </a:cubicBezTo>
                <a:cubicBezTo>
                  <a:pt x="362" y="144"/>
                  <a:pt x="360" y="152"/>
                  <a:pt x="354" y="155"/>
                </a:cubicBezTo>
                <a:cubicBezTo>
                  <a:pt x="353" y="152"/>
                  <a:pt x="352" y="145"/>
                  <a:pt x="349" y="145"/>
                </a:cubicBezTo>
                <a:cubicBezTo>
                  <a:pt x="347" y="145"/>
                  <a:pt x="345" y="147"/>
                  <a:pt x="341" y="147"/>
                </a:cubicBezTo>
                <a:cubicBezTo>
                  <a:pt x="335" y="147"/>
                  <a:pt x="329" y="147"/>
                  <a:pt x="323" y="147"/>
                </a:cubicBezTo>
                <a:cubicBezTo>
                  <a:pt x="313" y="147"/>
                  <a:pt x="309" y="141"/>
                  <a:pt x="302" y="136"/>
                </a:cubicBezTo>
                <a:cubicBezTo>
                  <a:pt x="300" y="135"/>
                  <a:pt x="296" y="139"/>
                  <a:pt x="295" y="136"/>
                </a:cubicBezTo>
                <a:cubicBezTo>
                  <a:pt x="293" y="132"/>
                  <a:pt x="293" y="129"/>
                  <a:pt x="290" y="127"/>
                </a:cubicBezTo>
                <a:cubicBezTo>
                  <a:pt x="283" y="124"/>
                  <a:pt x="279" y="126"/>
                  <a:pt x="273" y="120"/>
                </a:cubicBezTo>
                <a:cubicBezTo>
                  <a:pt x="268" y="115"/>
                  <a:pt x="263" y="118"/>
                  <a:pt x="254" y="116"/>
                </a:cubicBezTo>
                <a:cubicBezTo>
                  <a:pt x="246" y="114"/>
                  <a:pt x="243" y="108"/>
                  <a:pt x="236" y="106"/>
                </a:cubicBezTo>
                <a:cubicBezTo>
                  <a:pt x="234" y="105"/>
                  <a:pt x="229" y="106"/>
                  <a:pt x="228" y="103"/>
                </a:cubicBezTo>
                <a:cubicBezTo>
                  <a:pt x="227" y="98"/>
                  <a:pt x="227" y="94"/>
                  <a:pt x="226" y="89"/>
                </a:cubicBezTo>
                <a:cubicBezTo>
                  <a:pt x="226" y="85"/>
                  <a:pt x="226" y="85"/>
                  <a:pt x="226" y="85"/>
                </a:cubicBezTo>
                <a:cubicBezTo>
                  <a:pt x="231" y="85"/>
                  <a:pt x="236" y="86"/>
                  <a:pt x="236" y="80"/>
                </a:cubicBezTo>
                <a:cubicBezTo>
                  <a:pt x="236" y="75"/>
                  <a:pt x="229" y="74"/>
                  <a:pt x="229" y="69"/>
                </a:cubicBezTo>
                <a:cubicBezTo>
                  <a:pt x="229" y="57"/>
                  <a:pt x="246" y="59"/>
                  <a:pt x="246" y="47"/>
                </a:cubicBezTo>
                <a:cubicBezTo>
                  <a:pt x="246" y="43"/>
                  <a:pt x="236" y="35"/>
                  <a:pt x="232" y="35"/>
                </a:cubicBezTo>
                <a:cubicBezTo>
                  <a:pt x="224" y="35"/>
                  <a:pt x="221" y="42"/>
                  <a:pt x="213" y="43"/>
                </a:cubicBezTo>
                <a:cubicBezTo>
                  <a:pt x="205" y="40"/>
                  <a:pt x="200" y="40"/>
                  <a:pt x="194" y="34"/>
                </a:cubicBezTo>
                <a:cubicBezTo>
                  <a:pt x="191" y="31"/>
                  <a:pt x="193" y="25"/>
                  <a:pt x="188" y="24"/>
                </a:cubicBezTo>
                <a:cubicBezTo>
                  <a:pt x="182" y="22"/>
                  <a:pt x="178" y="24"/>
                  <a:pt x="178" y="16"/>
                </a:cubicBezTo>
                <a:cubicBezTo>
                  <a:pt x="172" y="15"/>
                  <a:pt x="168" y="15"/>
                  <a:pt x="163" y="15"/>
                </a:cubicBezTo>
                <a:cubicBezTo>
                  <a:pt x="154" y="15"/>
                  <a:pt x="150" y="23"/>
                  <a:pt x="140" y="23"/>
                </a:cubicBezTo>
                <a:cubicBezTo>
                  <a:pt x="130" y="23"/>
                  <a:pt x="140" y="0"/>
                  <a:pt x="131" y="0"/>
                </a:cubicBezTo>
                <a:cubicBezTo>
                  <a:pt x="122" y="0"/>
                  <a:pt x="120" y="10"/>
                  <a:pt x="116" y="10"/>
                </a:cubicBezTo>
                <a:cubicBezTo>
                  <a:pt x="115" y="10"/>
                  <a:pt x="114" y="11"/>
                  <a:pt x="113" y="10"/>
                </a:cubicBezTo>
                <a:cubicBezTo>
                  <a:pt x="110" y="16"/>
                  <a:pt x="103" y="21"/>
                  <a:pt x="94" y="21"/>
                </a:cubicBezTo>
                <a:cubicBezTo>
                  <a:pt x="91" y="21"/>
                  <a:pt x="90" y="16"/>
                  <a:pt x="86" y="16"/>
                </a:cubicBezTo>
                <a:cubicBezTo>
                  <a:pt x="83" y="16"/>
                  <a:pt x="73" y="20"/>
                  <a:pt x="72" y="15"/>
                </a:cubicBezTo>
                <a:cubicBezTo>
                  <a:pt x="68" y="15"/>
                  <a:pt x="69" y="13"/>
                  <a:pt x="65" y="13"/>
                </a:cubicBezTo>
                <a:cubicBezTo>
                  <a:pt x="54" y="13"/>
                  <a:pt x="53" y="24"/>
                  <a:pt x="45" y="32"/>
                </a:cubicBezTo>
                <a:cubicBezTo>
                  <a:pt x="42" y="35"/>
                  <a:pt x="37" y="35"/>
                  <a:pt x="33" y="39"/>
                </a:cubicBezTo>
                <a:cubicBezTo>
                  <a:pt x="30" y="42"/>
                  <a:pt x="28" y="46"/>
                  <a:pt x="23" y="46"/>
                </a:cubicBezTo>
                <a:cubicBezTo>
                  <a:pt x="19" y="46"/>
                  <a:pt x="16" y="42"/>
                  <a:pt x="12" y="42"/>
                </a:cubicBezTo>
                <a:cubicBezTo>
                  <a:pt x="11" y="42"/>
                  <a:pt x="11" y="45"/>
                  <a:pt x="10" y="45"/>
                </a:cubicBezTo>
                <a:cubicBezTo>
                  <a:pt x="7" y="47"/>
                  <a:pt x="0" y="63"/>
                  <a:pt x="0" y="64"/>
                </a:cubicBezTo>
                <a:cubicBezTo>
                  <a:pt x="0" y="65"/>
                  <a:pt x="1" y="67"/>
                  <a:pt x="0" y="68"/>
                </a:cubicBezTo>
                <a:cubicBezTo>
                  <a:pt x="1" y="70"/>
                  <a:pt x="0" y="71"/>
                  <a:pt x="1" y="73"/>
                </a:cubicBezTo>
                <a:cubicBezTo>
                  <a:pt x="1" y="87"/>
                  <a:pt x="1" y="87"/>
                  <a:pt x="1" y="87"/>
                </a:cubicBezTo>
                <a:cubicBezTo>
                  <a:pt x="3" y="91"/>
                  <a:pt x="2" y="94"/>
                  <a:pt x="4" y="98"/>
                </a:cubicBezTo>
                <a:cubicBezTo>
                  <a:pt x="5" y="102"/>
                  <a:pt x="14" y="98"/>
                  <a:pt x="14" y="105"/>
                </a:cubicBezTo>
                <a:cubicBezTo>
                  <a:pt x="14" y="114"/>
                  <a:pt x="4" y="113"/>
                  <a:pt x="4" y="120"/>
                </a:cubicBezTo>
                <a:cubicBezTo>
                  <a:pt x="4" y="126"/>
                  <a:pt x="8" y="126"/>
                  <a:pt x="10" y="128"/>
                </a:cubicBezTo>
                <a:cubicBezTo>
                  <a:pt x="17" y="143"/>
                  <a:pt x="32" y="145"/>
                  <a:pt x="32" y="164"/>
                </a:cubicBezTo>
                <a:cubicBezTo>
                  <a:pt x="21" y="167"/>
                  <a:pt x="13" y="169"/>
                  <a:pt x="13" y="181"/>
                </a:cubicBezTo>
                <a:cubicBezTo>
                  <a:pt x="13" y="184"/>
                  <a:pt x="15" y="187"/>
                  <a:pt x="15" y="189"/>
                </a:cubicBezTo>
                <a:cubicBezTo>
                  <a:pt x="30" y="188"/>
                  <a:pt x="30" y="188"/>
                  <a:pt x="30" y="188"/>
                </a:cubicBezTo>
                <a:cubicBezTo>
                  <a:pt x="31" y="187"/>
                  <a:pt x="33" y="186"/>
                  <a:pt x="34" y="185"/>
                </a:cubicBezTo>
                <a:cubicBezTo>
                  <a:pt x="46" y="188"/>
                  <a:pt x="46" y="188"/>
                  <a:pt x="46" y="188"/>
                </a:cubicBezTo>
                <a:cubicBezTo>
                  <a:pt x="50" y="188"/>
                  <a:pt x="52" y="184"/>
                  <a:pt x="57" y="184"/>
                </a:cubicBezTo>
                <a:cubicBezTo>
                  <a:pt x="62" y="184"/>
                  <a:pt x="65" y="184"/>
                  <a:pt x="70" y="185"/>
                </a:cubicBezTo>
                <a:cubicBezTo>
                  <a:pt x="75" y="187"/>
                  <a:pt x="78" y="197"/>
                  <a:pt x="82" y="203"/>
                </a:cubicBezTo>
                <a:cubicBezTo>
                  <a:pt x="86" y="209"/>
                  <a:pt x="99" y="218"/>
                  <a:pt x="108" y="218"/>
                </a:cubicBezTo>
                <a:cubicBezTo>
                  <a:pt x="111" y="218"/>
                  <a:pt x="114" y="218"/>
                  <a:pt x="118" y="219"/>
                </a:cubicBezTo>
                <a:cubicBezTo>
                  <a:pt x="116" y="221"/>
                  <a:pt x="116" y="225"/>
                  <a:pt x="112" y="225"/>
                </a:cubicBezTo>
                <a:cubicBezTo>
                  <a:pt x="108" y="227"/>
                  <a:pt x="105" y="225"/>
                  <a:pt x="101" y="227"/>
                </a:cubicBezTo>
                <a:cubicBezTo>
                  <a:pt x="108" y="234"/>
                  <a:pt x="113" y="248"/>
                  <a:pt x="127" y="248"/>
                </a:cubicBezTo>
                <a:cubicBezTo>
                  <a:pt x="138" y="248"/>
                  <a:pt x="139" y="233"/>
                  <a:pt x="144" y="227"/>
                </a:cubicBezTo>
                <a:cubicBezTo>
                  <a:pt x="148" y="227"/>
                  <a:pt x="148" y="227"/>
                  <a:pt x="148" y="227"/>
                </a:cubicBezTo>
                <a:cubicBezTo>
                  <a:pt x="148" y="229"/>
                  <a:pt x="145" y="232"/>
                  <a:pt x="145" y="233"/>
                </a:cubicBezTo>
                <a:cubicBezTo>
                  <a:pt x="145" y="239"/>
                  <a:pt x="150" y="244"/>
                  <a:pt x="150" y="251"/>
                </a:cubicBezTo>
                <a:cubicBezTo>
                  <a:pt x="150" y="257"/>
                  <a:pt x="147" y="258"/>
                  <a:pt x="147" y="264"/>
                </a:cubicBezTo>
                <a:lnTo>
                  <a:pt x="149" y="265"/>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91" name="Freeform 104" hidden="1">
            <a:extLst>
              <a:ext uri="{FF2B5EF4-FFF2-40B4-BE49-F238E27FC236}">
                <a16:creationId xmlns:a16="http://schemas.microsoft.com/office/drawing/2014/main" id="{00000000-0008-0000-0000-00005B000000}"/>
              </a:ext>
            </a:extLst>
          </xdr:cNvPr>
          <xdr:cNvSpPr>
            <a:spLocks/>
          </xdr:cNvSpPr>
        </xdr:nvSpPr>
        <xdr:spPr bwMode="auto">
          <a:xfrm>
            <a:off x="5975350" y="2781300"/>
            <a:ext cx="177800" cy="192088"/>
          </a:xfrm>
          <a:custGeom>
            <a:avLst/>
            <a:gdLst/>
            <a:ahLst/>
            <a:cxnLst>
              <a:cxn ang="0">
                <a:pos x="59" y="74"/>
              </a:cxn>
              <a:cxn ang="0">
                <a:pos x="58" y="70"/>
              </a:cxn>
              <a:cxn ang="0">
                <a:pos x="51" y="68"/>
              </a:cxn>
              <a:cxn ang="0">
                <a:pos x="45" y="53"/>
              </a:cxn>
              <a:cxn ang="0">
                <a:pos x="28" y="38"/>
              </a:cxn>
              <a:cxn ang="0">
                <a:pos x="22" y="25"/>
              </a:cxn>
              <a:cxn ang="0">
                <a:pos x="11" y="21"/>
              </a:cxn>
              <a:cxn ang="0">
                <a:pos x="0" y="3"/>
              </a:cxn>
              <a:cxn ang="0">
                <a:pos x="0" y="0"/>
              </a:cxn>
              <a:cxn ang="0">
                <a:pos x="2" y="0"/>
              </a:cxn>
              <a:cxn ang="0">
                <a:pos x="11" y="4"/>
              </a:cxn>
              <a:cxn ang="0">
                <a:pos x="26" y="4"/>
              </a:cxn>
              <a:cxn ang="0">
                <a:pos x="42" y="20"/>
              </a:cxn>
              <a:cxn ang="0">
                <a:pos x="47" y="23"/>
              </a:cxn>
              <a:cxn ang="0">
                <a:pos x="61" y="35"/>
              </a:cxn>
              <a:cxn ang="0">
                <a:pos x="86" y="53"/>
              </a:cxn>
              <a:cxn ang="0">
                <a:pos x="101" y="64"/>
              </a:cxn>
              <a:cxn ang="0">
                <a:pos x="100" y="66"/>
              </a:cxn>
              <a:cxn ang="0">
                <a:pos x="103" y="66"/>
              </a:cxn>
              <a:cxn ang="0">
                <a:pos x="107" y="70"/>
              </a:cxn>
              <a:cxn ang="0">
                <a:pos x="105" y="74"/>
              </a:cxn>
              <a:cxn ang="0">
                <a:pos x="114" y="81"/>
              </a:cxn>
              <a:cxn ang="0">
                <a:pos x="124" y="98"/>
              </a:cxn>
              <a:cxn ang="0">
                <a:pos x="133" y="106"/>
              </a:cxn>
              <a:cxn ang="0">
                <a:pos x="133" y="125"/>
              </a:cxn>
              <a:cxn ang="0">
                <a:pos x="131" y="138"/>
              </a:cxn>
              <a:cxn ang="0">
                <a:pos x="119" y="144"/>
              </a:cxn>
              <a:cxn ang="0">
                <a:pos x="108" y="132"/>
              </a:cxn>
              <a:cxn ang="0">
                <a:pos x="84" y="112"/>
              </a:cxn>
              <a:cxn ang="0">
                <a:pos x="67" y="85"/>
              </a:cxn>
              <a:cxn ang="0">
                <a:pos x="59" y="74"/>
              </a:cxn>
            </a:cxnLst>
            <a:rect l="0" t="0" r="r" b="b"/>
            <a:pathLst>
              <a:path w="133" h="144">
                <a:moveTo>
                  <a:pt x="59" y="74"/>
                </a:moveTo>
                <a:cubicBezTo>
                  <a:pt x="58" y="74"/>
                  <a:pt x="59" y="72"/>
                  <a:pt x="58" y="70"/>
                </a:cubicBezTo>
                <a:cubicBezTo>
                  <a:pt x="57" y="69"/>
                  <a:pt x="52" y="69"/>
                  <a:pt x="51" y="68"/>
                </a:cubicBezTo>
                <a:cubicBezTo>
                  <a:pt x="49" y="67"/>
                  <a:pt x="45" y="56"/>
                  <a:pt x="45" y="53"/>
                </a:cubicBezTo>
                <a:cubicBezTo>
                  <a:pt x="41" y="43"/>
                  <a:pt x="31" y="44"/>
                  <a:pt x="28" y="38"/>
                </a:cubicBezTo>
                <a:cubicBezTo>
                  <a:pt x="26" y="33"/>
                  <a:pt x="24" y="30"/>
                  <a:pt x="22" y="25"/>
                </a:cubicBezTo>
                <a:cubicBezTo>
                  <a:pt x="20" y="21"/>
                  <a:pt x="15" y="22"/>
                  <a:pt x="11" y="21"/>
                </a:cubicBezTo>
                <a:cubicBezTo>
                  <a:pt x="8" y="20"/>
                  <a:pt x="1" y="8"/>
                  <a:pt x="0" y="3"/>
                </a:cubicBezTo>
                <a:cubicBezTo>
                  <a:pt x="0" y="0"/>
                  <a:pt x="0" y="0"/>
                  <a:pt x="0" y="0"/>
                </a:cubicBezTo>
                <a:cubicBezTo>
                  <a:pt x="0" y="0"/>
                  <a:pt x="1" y="0"/>
                  <a:pt x="2" y="0"/>
                </a:cubicBezTo>
                <a:cubicBezTo>
                  <a:pt x="7" y="0"/>
                  <a:pt x="8" y="2"/>
                  <a:pt x="11" y="4"/>
                </a:cubicBezTo>
                <a:cubicBezTo>
                  <a:pt x="26" y="4"/>
                  <a:pt x="26" y="4"/>
                  <a:pt x="26" y="4"/>
                </a:cubicBezTo>
                <a:cubicBezTo>
                  <a:pt x="35" y="7"/>
                  <a:pt x="38" y="13"/>
                  <a:pt x="42" y="20"/>
                </a:cubicBezTo>
                <a:cubicBezTo>
                  <a:pt x="43" y="23"/>
                  <a:pt x="45" y="22"/>
                  <a:pt x="47" y="23"/>
                </a:cubicBezTo>
                <a:cubicBezTo>
                  <a:pt x="53" y="25"/>
                  <a:pt x="56" y="30"/>
                  <a:pt x="61" y="35"/>
                </a:cubicBezTo>
                <a:cubicBezTo>
                  <a:pt x="69" y="43"/>
                  <a:pt x="74" y="49"/>
                  <a:pt x="86" y="53"/>
                </a:cubicBezTo>
                <a:cubicBezTo>
                  <a:pt x="93" y="55"/>
                  <a:pt x="101" y="57"/>
                  <a:pt x="101" y="64"/>
                </a:cubicBezTo>
                <a:cubicBezTo>
                  <a:pt x="101" y="64"/>
                  <a:pt x="100" y="65"/>
                  <a:pt x="100" y="66"/>
                </a:cubicBezTo>
                <a:cubicBezTo>
                  <a:pt x="101" y="66"/>
                  <a:pt x="102" y="66"/>
                  <a:pt x="103" y="66"/>
                </a:cubicBezTo>
                <a:cubicBezTo>
                  <a:pt x="105" y="66"/>
                  <a:pt x="106" y="68"/>
                  <a:pt x="107" y="70"/>
                </a:cubicBezTo>
                <a:cubicBezTo>
                  <a:pt x="105" y="74"/>
                  <a:pt x="105" y="74"/>
                  <a:pt x="105" y="74"/>
                </a:cubicBezTo>
                <a:cubicBezTo>
                  <a:pt x="105" y="80"/>
                  <a:pt x="109" y="81"/>
                  <a:pt x="114" y="81"/>
                </a:cubicBezTo>
                <a:cubicBezTo>
                  <a:pt x="114" y="91"/>
                  <a:pt x="119" y="93"/>
                  <a:pt x="124" y="98"/>
                </a:cubicBezTo>
                <a:cubicBezTo>
                  <a:pt x="127" y="101"/>
                  <a:pt x="133" y="102"/>
                  <a:pt x="133" y="106"/>
                </a:cubicBezTo>
                <a:cubicBezTo>
                  <a:pt x="133" y="112"/>
                  <a:pt x="133" y="116"/>
                  <a:pt x="133" y="125"/>
                </a:cubicBezTo>
                <a:cubicBezTo>
                  <a:pt x="128" y="127"/>
                  <a:pt x="131" y="133"/>
                  <a:pt x="131" y="138"/>
                </a:cubicBezTo>
                <a:cubicBezTo>
                  <a:pt x="131" y="143"/>
                  <a:pt x="122" y="144"/>
                  <a:pt x="119" y="144"/>
                </a:cubicBezTo>
                <a:cubicBezTo>
                  <a:pt x="116" y="144"/>
                  <a:pt x="109" y="132"/>
                  <a:pt x="108" y="132"/>
                </a:cubicBezTo>
                <a:cubicBezTo>
                  <a:pt x="100" y="124"/>
                  <a:pt x="92" y="120"/>
                  <a:pt x="84" y="112"/>
                </a:cubicBezTo>
                <a:cubicBezTo>
                  <a:pt x="75" y="103"/>
                  <a:pt x="71" y="95"/>
                  <a:pt x="67" y="85"/>
                </a:cubicBezTo>
                <a:cubicBezTo>
                  <a:pt x="66" y="83"/>
                  <a:pt x="60" y="74"/>
                  <a:pt x="59" y="74"/>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92" name="Freeform 105" hidden="1">
            <a:extLst>
              <a:ext uri="{FF2B5EF4-FFF2-40B4-BE49-F238E27FC236}">
                <a16:creationId xmlns:a16="http://schemas.microsoft.com/office/drawing/2014/main" id="{00000000-0008-0000-0000-00005C000000}"/>
              </a:ext>
            </a:extLst>
          </xdr:cNvPr>
          <xdr:cNvSpPr>
            <a:spLocks/>
          </xdr:cNvSpPr>
        </xdr:nvSpPr>
        <xdr:spPr bwMode="auto">
          <a:xfrm>
            <a:off x="6203950" y="2757488"/>
            <a:ext cx="169863" cy="188913"/>
          </a:xfrm>
          <a:custGeom>
            <a:avLst/>
            <a:gdLst/>
            <a:ahLst/>
            <a:cxnLst>
              <a:cxn ang="0">
                <a:pos x="37" y="130"/>
              </a:cxn>
              <a:cxn ang="0">
                <a:pos x="36" y="124"/>
              </a:cxn>
              <a:cxn ang="0">
                <a:pos x="27" y="126"/>
              </a:cxn>
              <a:cxn ang="0">
                <a:pos x="11" y="102"/>
              </a:cxn>
              <a:cxn ang="0">
                <a:pos x="12" y="99"/>
              </a:cxn>
              <a:cxn ang="0">
                <a:pos x="6" y="97"/>
              </a:cxn>
              <a:cxn ang="0">
                <a:pos x="0" y="78"/>
              </a:cxn>
              <a:cxn ang="0">
                <a:pos x="15" y="74"/>
              </a:cxn>
              <a:cxn ang="0">
                <a:pos x="33" y="54"/>
              </a:cxn>
              <a:cxn ang="0">
                <a:pos x="45" y="50"/>
              </a:cxn>
              <a:cxn ang="0">
                <a:pos x="56" y="41"/>
              </a:cxn>
              <a:cxn ang="0">
                <a:pos x="59" y="35"/>
              </a:cxn>
              <a:cxn ang="0">
                <a:pos x="63" y="32"/>
              </a:cxn>
              <a:cxn ang="0">
                <a:pos x="66" y="29"/>
              </a:cxn>
              <a:cxn ang="0">
                <a:pos x="82" y="23"/>
              </a:cxn>
              <a:cxn ang="0">
                <a:pos x="102" y="0"/>
              </a:cxn>
              <a:cxn ang="0">
                <a:pos x="109" y="11"/>
              </a:cxn>
              <a:cxn ang="0">
                <a:pos x="127" y="23"/>
              </a:cxn>
              <a:cxn ang="0">
                <a:pos x="117" y="29"/>
              </a:cxn>
              <a:cxn ang="0">
                <a:pos x="119" y="31"/>
              </a:cxn>
              <a:cxn ang="0">
                <a:pos x="106" y="37"/>
              </a:cxn>
              <a:cxn ang="0">
                <a:pos x="108" y="41"/>
              </a:cxn>
              <a:cxn ang="0">
                <a:pos x="105" y="44"/>
              </a:cxn>
              <a:cxn ang="0">
                <a:pos x="125" y="73"/>
              </a:cxn>
              <a:cxn ang="0">
                <a:pos x="115" y="77"/>
              </a:cxn>
              <a:cxn ang="0">
                <a:pos x="111" y="78"/>
              </a:cxn>
              <a:cxn ang="0">
                <a:pos x="109" y="83"/>
              </a:cxn>
              <a:cxn ang="0">
                <a:pos x="103" y="102"/>
              </a:cxn>
              <a:cxn ang="0">
                <a:pos x="93" y="113"/>
              </a:cxn>
              <a:cxn ang="0">
                <a:pos x="95" y="119"/>
              </a:cxn>
              <a:cxn ang="0">
                <a:pos x="90" y="134"/>
              </a:cxn>
              <a:cxn ang="0">
                <a:pos x="76" y="141"/>
              </a:cxn>
              <a:cxn ang="0">
                <a:pos x="71" y="135"/>
              </a:cxn>
              <a:cxn ang="0">
                <a:pos x="51" y="128"/>
              </a:cxn>
              <a:cxn ang="0">
                <a:pos x="40" y="132"/>
              </a:cxn>
              <a:cxn ang="0">
                <a:pos x="37" y="130"/>
              </a:cxn>
            </a:cxnLst>
            <a:rect l="0" t="0" r="r" b="b"/>
            <a:pathLst>
              <a:path w="127" h="141">
                <a:moveTo>
                  <a:pt x="37" y="130"/>
                </a:moveTo>
                <a:cubicBezTo>
                  <a:pt x="36" y="130"/>
                  <a:pt x="36" y="125"/>
                  <a:pt x="36" y="124"/>
                </a:cubicBezTo>
                <a:cubicBezTo>
                  <a:pt x="32" y="123"/>
                  <a:pt x="30" y="126"/>
                  <a:pt x="27" y="126"/>
                </a:cubicBezTo>
                <a:cubicBezTo>
                  <a:pt x="10" y="126"/>
                  <a:pt x="17" y="110"/>
                  <a:pt x="11" y="102"/>
                </a:cubicBezTo>
                <a:cubicBezTo>
                  <a:pt x="11" y="101"/>
                  <a:pt x="12" y="100"/>
                  <a:pt x="12" y="99"/>
                </a:cubicBezTo>
                <a:cubicBezTo>
                  <a:pt x="11" y="97"/>
                  <a:pt x="8" y="97"/>
                  <a:pt x="6" y="97"/>
                </a:cubicBezTo>
                <a:cubicBezTo>
                  <a:pt x="4" y="96"/>
                  <a:pt x="0" y="80"/>
                  <a:pt x="0" y="78"/>
                </a:cubicBezTo>
                <a:cubicBezTo>
                  <a:pt x="0" y="71"/>
                  <a:pt x="9" y="74"/>
                  <a:pt x="15" y="74"/>
                </a:cubicBezTo>
                <a:cubicBezTo>
                  <a:pt x="29" y="74"/>
                  <a:pt x="27" y="60"/>
                  <a:pt x="33" y="54"/>
                </a:cubicBezTo>
                <a:cubicBezTo>
                  <a:pt x="36" y="51"/>
                  <a:pt x="41" y="51"/>
                  <a:pt x="45" y="50"/>
                </a:cubicBezTo>
                <a:cubicBezTo>
                  <a:pt x="52" y="49"/>
                  <a:pt x="52" y="44"/>
                  <a:pt x="56" y="41"/>
                </a:cubicBezTo>
                <a:cubicBezTo>
                  <a:pt x="54" y="39"/>
                  <a:pt x="59" y="35"/>
                  <a:pt x="59" y="35"/>
                </a:cubicBezTo>
                <a:cubicBezTo>
                  <a:pt x="61" y="34"/>
                  <a:pt x="61" y="33"/>
                  <a:pt x="63" y="32"/>
                </a:cubicBezTo>
                <a:cubicBezTo>
                  <a:pt x="64" y="32"/>
                  <a:pt x="65" y="30"/>
                  <a:pt x="66" y="29"/>
                </a:cubicBezTo>
                <a:cubicBezTo>
                  <a:pt x="70" y="25"/>
                  <a:pt x="80" y="27"/>
                  <a:pt x="82" y="23"/>
                </a:cubicBezTo>
                <a:cubicBezTo>
                  <a:pt x="85" y="16"/>
                  <a:pt x="95" y="0"/>
                  <a:pt x="102" y="0"/>
                </a:cubicBezTo>
                <a:cubicBezTo>
                  <a:pt x="109" y="0"/>
                  <a:pt x="109" y="4"/>
                  <a:pt x="109" y="11"/>
                </a:cubicBezTo>
                <a:cubicBezTo>
                  <a:pt x="109" y="20"/>
                  <a:pt x="127" y="15"/>
                  <a:pt x="127" y="23"/>
                </a:cubicBezTo>
                <a:cubicBezTo>
                  <a:pt x="127" y="27"/>
                  <a:pt x="117" y="25"/>
                  <a:pt x="117" y="29"/>
                </a:cubicBezTo>
                <a:cubicBezTo>
                  <a:pt x="117" y="30"/>
                  <a:pt x="118" y="31"/>
                  <a:pt x="119" y="31"/>
                </a:cubicBezTo>
                <a:cubicBezTo>
                  <a:pt x="118" y="32"/>
                  <a:pt x="106" y="37"/>
                  <a:pt x="106" y="37"/>
                </a:cubicBezTo>
                <a:cubicBezTo>
                  <a:pt x="107" y="38"/>
                  <a:pt x="108" y="40"/>
                  <a:pt x="108" y="41"/>
                </a:cubicBezTo>
                <a:cubicBezTo>
                  <a:pt x="107" y="42"/>
                  <a:pt x="105" y="43"/>
                  <a:pt x="105" y="44"/>
                </a:cubicBezTo>
                <a:cubicBezTo>
                  <a:pt x="105" y="51"/>
                  <a:pt x="117" y="73"/>
                  <a:pt x="125" y="73"/>
                </a:cubicBezTo>
                <a:cubicBezTo>
                  <a:pt x="124" y="79"/>
                  <a:pt x="120" y="77"/>
                  <a:pt x="115" y="77"/>
                </a:cubicBezTo>
                <a:cubicBezTo>
                  <a:pt x="114" y="77"/>
                  <a:pt x="112" y="78"/>
                  <a:pt x="111" y="78"/>
                </a:cubicBezTo>
                <a:cubicBezTo>
                  <a:pt x="109" y="83"/>
                  <a:pt x="109" y="83"/>
                  <a:pt x="109" y="83"/>
                </a:cubicBezTo>
                <a:cubicBezTo>
                  <a:pt x="106" y="92"/>
                  <a:pt x="103" y="95"/>
                  <a:pt x="103" y="102"/>
                </a:cubicBezTo>
                <a:cubicBezTo>
                  <a:pt x="98" y="103"/>
                  <a:pt x="93" y="110"/>
                  <a:pt x="93" y="113"/>
                </a:cubicBezTo>
                <a:cubicBezTo>
                  <a:pt x="93" y="116"/>
                  <a:pt x="95" y="117"/>
                  <a:pt x="95" y="119"/>
                </a:cubicBezTo>
                <a:cubicBezTo>
                  <a:pt x="95" y="122"/>
                  <a:pt x="90" y="129"/>
                  <a:pt x="90" y="134"/>
                </a:cubicBezTo>
                <a:cubicBezTo>
                  <a:pt x="83" y="135"/>
                  <a:pt x="82" y="141"/>
                  <a:pt x="76" y="141"/>
                </a:cubicBezTo>
                <a:cubicBezTo>
                  <a:pt x="72" y="141"/>
                  <a:pt x="71" y="137"/>
                  <a:pt x="71" y="135"/>
                </a:cubicBezTo>
                <a:cubicBezTo>
                  <a:pt x="64" y="133"/>
                  <a:pt x="59" y="128"/>
                  <a:pt x="51" y="128"/>
                </a:cubicBezTo>
                <a:cubicBezTo>
                  <a:pt x="48" y="128"/>
                  <a:pt x="45" y="132"/>
                  <a:pt x="40" y="132"/>
                </a:cubicBezTo>
                <a:cubicBezTo>
                  <a:pt x="39" y="132"/>
                  <a:pt x="38" y="130"/>
                  <a:pt x="37" y="130"/>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93" name="Freeform 106" hidden="1">
            <a:extLst>
              <a:ext uri="{FF2B5EF4-FFF2-40B4-BE49-F238E27FC236}">
                <a16:creationId xmlns:a16="http://schemas.microsoft.com/office/drawing/2014/main" id="{00000000-0008-0000-0000-00005D000000}"/>
              </a:ext>
            </a:extLst>
          </xdr:cNvPr>
          <xdr:cNvSpPr>
            <a:spLocks/>
          </xdr:cNvSpPr>
        </xdr:nvSpPr>
        <xdr:spPr bwMode="auto">
          <a:xfrm>
            <a:off x="6367463" y="2847975"/>
            <a:ext cx="106363" cy="123825"/>
          </a:xfrm>
          <a:custGeom>
            <a:avLst/>
            <a:gdLst/>
            <a:ahLst/>
            <a:cxnLst>
              <a:cxn ang="0">
                <a:pos x="31" y="34"/>
              </a:cxn>
              <a:cxn ang="0">
                <a:pos x="27" y="38"/>
              </a:cxn>
              <a:cxn ang="0">
                <a:pos x="17" y="24"/>
              </a:cxn>
              <a:cxn ang="0">
                <a:pos x="32" y="16"/>
              </a:cxn>
              <a:cxn ang="0">
                <a:pos x="49" y="15"/>
              </a:cxn>
              <a:cxn ang="0">
                <a:pos x="64" y="18"/>
              </a:cxn>
              <a:cxn ang="0">
                <a:pos x="77" y="4"/>
              </a:cxn>
              <a:cxn ang="0">
                <a:pos x="79" y="0"/>
              </a:cxn>
              <a:cxn ang="0">
                <a:pos x="77" y="0"/>
              </a:cxn>
              <a:cxn ang="0">
                <a:pos x="63" y="10"/>
              </a:cxn>
              <a:cxn ang="0">
                <a:pos x="59" y="10"/>
              </a:cxn>
              <a:cxn ang="0">
                <a:pos x="28" y="5"/>
              </a:cxn>
              <a:cxn ang="0">
                <a:pos x="12" y="30"/>
              </a:cxn>
              <a:cxn ang="0">
                <a:pos x="8" y="37"/>
              </a:cxn>
              <a:cxn ang="0">
                <a:pos x="0" y="61"/>
              </a:cxn>
              <a:cxn ang="0">
                <a:pos x="8" y="66"/>
              </a:cxn>
              <a:cxn ang="0">
                <a:pos x="8" y="87"/>
              </a:cxn>
              <a:cxn ang="0">
                <a:pos x="16" y="93"/>
              </a:cxn>
              <a:cxn ang="0">
                <a:pos x="22" y="76"/>
              </a:cxn>
              <a:cxn ang="0">
                <a:pos x="18" y="61"/>
              </a:cxn>
              <a:cxn ang="0">
                <a:pos x="25" y="56"/>
              </a:cxn>
              <a:cxn ang="0">
                <a:pos x="28" y="56"/>
              </a:cxn>
              <a:cxn ang="0">
                <a:pos x="27" y="65"/>
              </a:cxn>
              <a:cxn ang="0">
                <a:pos x="34" y="79"/>
              </a:cxn>
              <a:cxn ang="0">
                <a:pos x="34" y="83"/>
              </a:cxn>
              <a:cxn ang="0">
                <a:pos x="39" y="83"/>
              </a:cxn>
              <a:cxn ang="0">
                <a:pos x="49" y="73"/>
              </a:cxn>
              <a:cxn ang="0">
                <a:pos x="43" y="65"/>
              </a:cxn>
              <a:cxn ang="0">
                <a:pos x="45" y="63"/>
              </a:cxn>
              <a:cxn ang="0">
                <a:pos x="34" y="44"/>
              </a:cxn>
              <a:cxn ang="0">
                <a:pos x="57" y="31"/>
              </a:cxn>
              <a:cxn ang="0">
                <a:pos x="57" y="28"/>
              </a:cxn>
              <a:cxn ang="0">
                <a:pos x="31" y="36"/>
              </a:cxn>
              <a:cxn ang="0">
                <a:pos x="31" y="34"/>
              </a:cxn>
            </a:cxnLst>
            <a:rect l="0" t="0" r="r" b="b"/>
            <a:pathLst>
              <a:path w="79" h="93">
                <a:moveTo>
                  <a:pt x="31" y="34"/>
                </a:moveTo>
                <a:cubicBezTo>
                  <a:pt x="30" y="36"/>
                  <a:pt x="29" y="38"/>
                  <a:pt x="27" y="38"/>
                </a:cubicBezTo>
                <a:cubicBezTo>
                  <a:pt x="20" y="38"/>
                  <a:pt x="17" y="30"/>
                  <a:pt x="17" y="24"/>
                </a:cubicBezTo>
                <a:cubicBezTo>
                  <a:pt x="17" y="15"/>
                  <a:pt x="24" y="16"/>
                  <a:pt x="32" y="16"/>
                </a:cubicBezTo>
                <a:cubicBezTo>
                  <a:pt x="39" y="16"/>
                  <a:pt x="42" y="15"/>
                  <a:pt x="49" y="15"/>
                </a:cubicBezTo>
                <a:cubicBezTo>
                  <a:pt x="54" y="15"/>
                  <a:pt x="58" y="18"/>
                  <a:pt x="64" y="18"/>
                </a:cubicBezTo>
                <a:cubicBezTo>
                  <a:pt x="73" y="18"/>
                  <a:pt x="76" y="10"/>
                  <a:pt x="77" y="4"/>
                </a:cubicBezTo>
                <a:cubicBezTo>
                  <a:pt x="79" y="4"/>
                  <a:pt x="79" y="1"/>
                  <a:pt x="79" y="0"/>
                </a:cubicBezTo>
                <a:cubicBezTo>
                  <a:pt x="77" y="0"/>
                  <a:pt x="77" y="0"/>
                  <a:pt x="77" y="0"/>
                </a:cubicBezTo>
                <a:cubicBezTo>
                  <a:pt x="72" y="4"/>
                  <a:pt x="65" y="8"/>
                  <a:pt x="63" y="10"/>
                </a:cubicBezTo>
                <a:cubicBezTo>
                  <a:pt x="59" y="10"/>
                  <a:pt x="59" y="10"/>
                  <a:pt x="59" y="10"/>
                </a:cubicBezTo>
                <a:cubicBezTo>
                  <a:pt x="28" y="5"/>
                  <a:pt x="28" y="5"/>
                  <a:pt x="28" y="5"/>
                </a:cubicBezTo>
                <a:cubicBezTo>
                  <a:pt x="17" y="5"/>
                  <a:pt x="12" y="20"/>
                  <a:pt x="12" y="30"/>
                </a:cubicBezTo>
                <a:cubicBezTo>
                  <a:pt x="12" y="33"/>
                  <a:pt x="8" y="35"/>
                  <a:pt x="8" y="37"/>
                </a:cubicBezTo>
                <a:cubicBezTo>
                  <a:pt x="4" y="47"/>
                  <a:pt x="0" y="51"/>
                  <a:pt x="0" y="61"/>
                </a:cubicBezTo>
                <a:cubicBezTo>
                  <a:pt x="0" y="66"/>
                  <a:pt x="6" y="66"/>
                  <a:pt x="8" y="66"/>
                </a:cubicBezTo>
                <a:cubicBezTo>
                  <a:pt x="8" y="73"/>
                  <a:pt x="8" y="83"/>
                  <a:pt x="8" y="87"/>
                </a:cubicBezTo>
                <a:cubicBezTo>
                  <a:pt x="8" y="90"/>
                  <a:pt x="12" y="93"/>
                  <a:pt x="16" y="93"/>
                </a:cubicBezTo>
                <a:cubicBezTo>
                  <a:pt x="20" y="93"/>
                  <a:pt x="22" y="78"/>
                  <a:pt x="22" y="76"/>
                </a:cubicBezTo>
                <a:cubicBezTo>
                  <a:pt x="22" y="70"/>
                  <a:pt x="18" y="67"/>
                  <a:pt x="18" y="61"/>
                </a:cubicBezTo>
                <a:cubicBezTo>
                  <a:pt x="18" y="58"/>
                  <a:pt x="22" y="56"/>
                  <a:pt x="25" y="56"/>
                </a:cubicBezTo>
                <a:cubicBezTo>
                  <a:pt x="26" y="56"/>
                  <a:pt x="27" y="56"/>
                  <a:pt x="28" y="56"/>
                </a:cubicBezTo>
                <a:cubicBezTo>
                  <a:pt x="27" y="65"/>
                  <a:pt x="27" y="65"/>
                  <a:pt x="27" y="65"/>
                </a:cubicBezTo>
                <a:cubicBezTo>
                  <a:pt x="27" y="71"/>
                  <a:pt x="34" y="73"/>
                  <a:pt x="34" y="79"/>
                </a:cubicBezTo>
                <a:cubicBezTo>
                  <a:pt x="34" y="80"/>
                  <a:pt x="34" y="81"/>
                  <a:pt x="34" y="83"/>
                </a:cubicBezTo>
                <a:cubicBezTo>
                  <a:pt x="39" y="83"/>
                  <a:pt x="39" y="83"/>
                  <a:pt x="39" y="83"/>
                </a:cubicBezTo>
                <a:cubicBezTo>
                  <a:pt x="39" y="78"/>
                  <a:pt x="49" y="78"/>
                  <a:pt x="49" y="73"/>
                </a:cubicBezTo>
                <a:cubicBezTo>
                  <a:pt x="47" y="73"/>
                  <a:pt x="43" y="68"/>
                  <a:pt x="43" y="65"/>
                </a:cubicBezTo>
                <a:cubicBezTo>
                  <a:pt x="43" y="65"/>
                  <a:pt x="44" y="64"/>
                  <a:pt x="45" y="63"/>
                </a:cubicBezTo>
                <a:cubicBezTo>
                  <a:pt x="42" y="61"/>
                  <a:pt x="34" y="46"/>
                  <a:pt x="34" y="44"/>
                </a:cubicBezTo>
                <a:cubicBezTo>
                  <a:pt x="46" y="44"/>
                  <a:pt x="47" y="35"/>
                  <a:pt x="57" y="31"/>
                </a:cubicBezTo>
                <a:cubicBezTo>
                  <a:pt x="57" y="28"/>
                  <a:pt x="57" y="28"/>
                  <a:pt x="57" y="28"/>
                </a:cubicBezTo>
                <a:cubicBezTo>
                  <a:pt x="54" y="27"/>
                  <a:pt x="31" y="35"/>
                  <a:pt x="31" y="36"/>
                </a:cubicBezTo>
                <a:lnTo>
                  <a:pt x="31" y="34"/>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94" name="Freeform 107" hidden="1">
            <a:extLst>
              <a:ext uri="{FF2B5EF4-FFF2-40B4-BE49-F238E27FC236}">
                <a16:creationId xmlns:a16="http://schemas.microsoft.com/office/drawing/2014/main" id="{00000000-0008-0000-0000-00005E000000}"/>
              </a:ext>
            </a:extLst>
          </xdr:cNvPr>
          <xdr:cNvSpPr>
            <a:spLocks/>
          </xdr:cNvSpPr>
        </xdr:nvSpPr>
        <xdr:spPr bwMode="auto">
          <a:xfrm>
            <a:off x="6145213" y="2973388"/>
            <a:ext cx="171450" cy="49213"/>
          </a:xfrm>
          <a:custGeom>
            <a:avLst/>
            <a:gdLst/>
            <a:ahLst/>
            <a:cxnLst>
              <a:cxn ang="0">
                <a:pos x="123" y="36"/>
              </a:cxn>
              <a:cxn ang="0">
                <a:pos x="114" y="33"/>
              </a:cxn>
              <a:cxn ang="0">
                <a:pos x="114" y="37"/>
              </a:cxn>
              <a:cxn ang="0">
                <a:pos x="67" y="31"/>
              </a:cxn>
              <a:cxn ang="0">
                <a:pos x="56" y="25"/>
              </a:cxn>
              <a:cxn ang="0">
                <a:pos x="32" y="22"/>
              </a:cxn>
              <a:cxn ang="0">
                <a:pos x="14" y="20"/>
              </a:cxn>
              <a:cxn ang="0">
                <a:pos x="0" y="10"/>
              </a:cxn>
              <a:cxn ang="0">
                <a:pos x="11" y="1"/>
              </a:cxn>
              <a:cxn ang="0">
                <a:pos x="14" y="3"/>
              </a:cxn>
              <a:cxn ang="0">
                <a:pos x="22" y="0"/>
              </a:cxn>
              <a:cxn ang="0">
                <a:pos x="55" y="14"/>
              </a:cxn>
              <a:cxn ang="0">
                <a:pos x="68" y="7"/>
              </a:cxn>
              <a:cxn ang="0">
                <a:pos x="88" y="15"/>
              </a:cxn>
              <a:cxn ang="0">
                <a:pos x="101" y="14"/>
              </a:cxn>
              <a:cxn ang="0">
                <a:pos x="105" y="14"/>
              </a:cxn>
              <a:cxn ang="0">
                <a:pos x="89" y="17"/>
              </a:cxn>
              <a:cxn ang="0">
                <a:pos x="107" y="22"/>
              </a:cxn>
              <a:cxn ang="0">
                <a:pos x="111" y="26"/>
              </a:cxn>
              <a:cxn ang="0">
                <a:pos x="121" y="27"/>
              </a:cxn>
              <a:cxn ang="0">
                <a:pos x="128" y="31"/>
              </a:cxn>
              <a:cxn ang="0">
                <a:pos x="123" y="36"/>
              </a:cxn>
            </a:cxnLst>
            <a:rect l="0" t="0" r="r" b="b"/>
            <a:pathLst>
              <a:path w="128" h="37">
                <a:moveTo>
                  <a:pt x="123" y="36"/>
                </a:moveTo>
                <a:cubicBezTo>
                  <a:pt x="119" y="36"/>
                  <a:pt x="119" y="33"/>
                  <a:pt x="114" y="33"/>
                </a:cubicBezTo>
                <a:cubicBezTo>
                  <a:pt x="113" y="33"/>
                  <a:pt x="114" y="36"/>
                  <a:pt x="114" y="37"/>
                </a:cubicBezTo>
                <a:cubicBezTo>
                  <a:pt x="100" y="32"/>
                  <a:pt x="85" y="31"/>
                  <a:pt x="67" y="31"/>
                </a:cubicBezTo>
                <a:cubicBezTo>
                  <a:pt x="62" y="31"/>
                  <a:pt x="61" y="25"/>
                  <a:pt x="56" y="25"/>
                </a:cubicBezTo>
                <a:cubicBezTo>
                  <a:pt x="48" y="25"/>
                  <a:pt x="41" y="25"/>
                  <a:pt x="32" y="22"/>
                </a:cubicBezTo>
                <a:cubicBezTo>
                  <a:pt x="25" y="20"/>
                  <a:pt x="19" y="24"/>
                  <a:pt x="14" y="20"/>
                </a:cubicBezTo>
                <a:cubicBezTo>
                  <a:pt x="10" y="15"/>
                  <a:pt x="7" y="10"/>
                  <a:pt x="0" y="10"/>
                </a:cubicBezTo>
                <a:cubicBezTo>
                  <a:pt x="0" y="9"/>
                  <a:pt x="8" y="1"/>
                  <a:pt x="11" y="1"/>
                </a:cubicBezTo>
                <a:cubicBezTo>
                  <a:pt x="12" y="1"/>
                  <a:pt x="13" y="3"/>
                  <a:pt x="14" y="3"/>
                </a:cubicBezTo>
                <a:cubicBezTo>
                  <a:pt x="17" y="3"/>
                  <a:pt x="19" y="0"/>
                  <a:pt x="22" y="0"/>
                </a:cubicBezTo>
                <a:cubicBezTo>
                  <a:pt x="35" y="0"/>
                  <a:pt x="41" y="14"/>
                  <a:pt x="55" y="14"/>
                </a:cubicBezTo>
                <a:cubicBezTo>
                  <a:pt x="62" y="14"/>
                  <a:pt x="63" y="7"/>
                  <a:pt x="68" y="7"/>
                </a:cubicBezTo>
                <a:cubicBezTo>
                  <a:pt x="77" y="7"/>
                  <a:pt x="80" y="15"/>
                  <a:pt x="88" y="15"/>
                </a:cubicBezTo>
                <a:cubicBezTo>
                  <a:pt x="101" y="14"/>
                  <a:pt x="101" y="14"/>
                  <a:pt x="101" y="14"/>
                </a:cubicBezTo>
                <a:cubicBezTo>
                  <a:pt x="105" y="14"/>
                  <a:pt x="105" y="14"/>
                  <a:pt x="105" y="14"/>
                </a:cubicBezTo>
                <a:cubicBezTo>
                  <a:pt x="104" y="16"/>
                  <a:pt x="89" y="17"/>
                  <a:pt x="89" y="17"/>
                </a:cubicBezTo>
                <a:cubicBezTo>
                  <a:pt x="93" y="22"/>
                  <a:pt x="99" y="22"/>
                  <a:pt x="107" y="22"/>
                </a:cubicBezTo>
                <a:cubicBezTo>
                  <a:pt x="110" y="22"/>
                  <a:pt x="110" y="26"/>
                  <a:pt x="111" y="26"/>
                </a:cubicBezTo>
                <a:cubicBezTo>
                  <a:pt x="114" y="30"/>
                  <a:pt x="117" y="26"/>
                  <a:pt x="121" y="27"/>
                </a:cubicBezTo>
                <a:cubicBezTo>
                  <a:pt x="125" y="29"/>
                  <a:pt x="125" y="30"/>
                  <a:pt x="128" y="31"/>
                </a:cubicBezTo>
                <a:cubicBezTo>
                  <a:pt x="127" y="33"/>
                  <a:pt x="124" y="36"/>
                  <a:pt x="123" y="36"/>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95" name="Freeform 108" hidden="1">
            <a:extLst>
              <a:ext uri="{FF2B5EF4-FFF2-40B4-BE49-F238E27FC236}">
                <a16:creationId xmlns:a16="http://schemas.microsoft.com/office/drawing/2014/main" id="{00000000-0008-0000-0000-00005F000000}"/>
              </a:ext>
            </a:extLst>
          </xdr:cNvPr>
          <xdr:cNvSpPr>
            <a:spLocks/>
          </xdr:cNvSpPr>
        </xdr:nvSpPr>
        <xdr:spPr bwMode="auto">
          <a:xfrm>
            <a:off x="6386513" y="3013075"/>
            <a:ext cx="52388" cy="12700"/>
          </a:xfrm>
          <a:custGeom>
            <a:avLst/>
            <a:gdLst/>
            <a:ahLst/>
            <a:cxnLst>
              <a:cxn ang="0">
                <a:pos x="26" y="9"/>
              </a:cxn>
              <a:cxn ang="0">
                <a:pos x="10" y="9"/>
              </a:cxn>
              <a:cxn ang="0">
                <a:pos x="0" y="4"/>
              </a:cxn>
              <a:cxn ang="0">
                <a:pos x="8" y="1"/>
              </a:cxn>
              <a:cxn ang="0">
                <a:pos x="26" y="4"/>
              </a:cxn>
              <a:cxn ang="0">
                <a:pos x="39" y="0"/>
              </a:cxn>
              <a:cxn ang="0">
                <a:pos x="26" y="9"/>
              </a:cxn>
            </a:cxnLst>
            <a:rect l="0" t="0" r="r" b="b"/>
            <a:pathLst>
              <a:path w="39" h="9">
                <a:moveTo>
                  <a:pt x="26" y="9"/>
                </a:moveTo>
                <a:cubicBezTo>
                  <a:pt x="20" y="9"/>
                  <a:pt x="13" y="9"/>
                  <a:pt x="10" y="9"/>
                </a:cubicBezTo>
                <a:cubicBezTo>
                  <a:pt x="7" y="9"/>
                  <a:pt x="0" y="9"/>
                  <a:pt x="0" y="4"/>
                </a:cubicBezTo>
                <a:cubicBezTo>
                  <a:pt x="0" y="1"/>
                  <a:pt x="5" y="1"/>
                  <a:pt x="8" y="1"/>
                </a:cubicBezTo>
                <a:cubicBezTo>
                  <a:pt x="16" y="1"/>
                  <a:pt x="19" y="4"/>
                  <a:pt x="26" y="4"/>
                </a:cubicBezTo>
                <a:cubicBezTo>
                  <a:pt x="32" y="4"/>
                  <a:pt x="35" y="2"/>
                  <a:pt x="39" y="0"/>
                </a:cubicBezTo>
                <a:cubicBezTo>
                  <a:pt x="35" y="6"/>
                  <a:pt x="32" y="7"/>
                  <a:pt x="26" y="9"/>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96" name="Freeform 109" hidden="1">
            <a:extLst>
              <a:ext uri="{FF2B5EF4-FFF2-40B4-BE49-F238E27FC236}">
                <a16:creationId xmlns:a16="http://schemas.microsoft.com/office/drawing/2014/main" id="{00000000-0008-0000-0000-000060000000}"/>
              </a:ext>
            </a:extLst>
          </xdr:cNvPr>
          <xdr:cNvSpPr>
            <a:spLocks/>
          </xdr:cNvSpPr>
        </xdr:nvSpPr>
        <xdr:spPr bwMode="auto">
          <a:xfrm>
            <a:off x="6335713" y="3016250"/>
            <a:ext cx="36513" cy="12700"/>
          </a:xfrm>
          <a:custGeom>
            <a:avLst/>
            <a:gdLst/>
            <a:ahLst/>
            <a:cxnLst>
              <a:cxn ang="0">
                <a:pos x="27" y="6"/>
              </a:cxn>
              <a:cxn ang="0">
                <a:pos x="23" y="6"/>
              </a:cxn>
              <a:cxn ang="0">
                <a:pos x="19" y="5"/>
              </a:cxn>
              <a:cxn ang="0">
                <a:pos x="9" y="9"/>
              </a:cxn>
              <a:cxn ang="0">
                <a:pos x="0" y="6"/>
              </a:cxn>
              <a:cxn ang="0">
                <a:pos x="7" y="1"/>
              </a:cxn>
              <a:cxn ang="0">
                <a:pos x="16" y="3"/>
              </a:cxn>
              <a:cxn ang="0">
                <a:pos x="16" y="0"/>
              </a:cxn>
              <a:cxn ang="0">
                <a:pos x="27" y="0"/>
              </a:cxn>
              <a:cxn ang="0">
                <a:pos x="27" y="6"/>
              </a:cxn>
            </a:cxnLst>
            <a:rect l="0" t="0" r="r" b="b"/>
            <a:pathLst>
              <a:path w="27" h="9">
                <a:moveTo>
                  <a:pt x="27" y="6"/>
                </a:moveTo>
                <a:cubicBezTo>
                  <a:pt x="23" y="6"/>
                  <a:pt x="23" y="6"/>
                  <a:pt x="23" y="6"/>
                </a:cubicBezTo>
                <a:cubicBezTo>
                  <a:pt x="19" y="5"/>
                  <a:pt x="19" y="5"/>
                  <a:pt x="19" y="5"/>
                </a:cubicBezTo>
                <a:cubicBezTo>
                  <a:pt x="15" y="6"/>
                  <a:pt x="13" y="9"/>
                  <a:pt x="9" y="9"/>
                </a:cubicBezTo>
                <a:cubicBezTo>
                  <a:pt x="5" y="9"/>
                  <a:pt x="0" y="8"/>
                  <a:pt x="0" y="6"/>
                </a:cubicBezTo>
                <a:cubicBezTo>
                  <a:pt x="0" y="1"/>
                  <a:pt x="3" y="1"/>
                  <a:pt x="7" y="1"/>
                </a:cubicBezTo>
                <a:cubicBezTo>
                  <a:pt x="11" y="1"/>
                  <a:pt x="13" y="2"/>
                  <a:pt x="16" y="3"/>
                </a:cubicBezTo>
                <a:cubicBezTo>
                  <a:pt x="16" y="2"/>
                  <a:pt x="16" y="1"/>
                  <a:pt x="16" y="0"/>
                </a:cubicBezTo>
                <a:cubicBezTo>
                  <a:pt x="27" y="0"/>
                  <a:pt x="27" y="0"/>
                  <a:pt x="27" y="0"/>
                </a:cubicBezTo>
                <a:cubicBezTo>
                  <a:pt x="27" y="3"/>
                  <a:pt x="26" y="5"/>
                  <a:pt x="27" y="6"/>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97" name="Freeform 110" hidden="1">
            <a:extLst>
              <a:ext uri="{FF2B5EF4-FFF2-40B4-BE49-F238E27FC236}">
                <a16:creationId xmlns:a16="http://schemas.microsoft.com/office/drawing/2014/main" id="{00000000-0008-0000-0000-000061000000}"/>
              </a:ext>
            </a:extLst>
          </xdr:cNvPr>
          <xdr:cNvSpPr>
            <a:spLocks/>
          </xdr:cNvSpPr>
        </xdr:nvSpPr>
        <xdr:spPr bwMode="auto">
          <a:xfrm>
            <a:off x="6373813" y="3030538"/>
            <a:ext cx="26988" cy="19050"/>
          </a:xfrm>
          <a:custGeom>
            <a:avLst/>
            <a:gdLst/>
            <a:ahLst/>
            <a:cxnLst>
              <a:cxn ang="0">
                <a:pos x="15" y="14"/>
              </a:cxn>
              <a:cxn ang="0">
                <a:pos x="12" y="9"/>
              </a:cxn>
              <a:cxn ang="0">
                <a:pos x="0" y="4"/>
              </a:cxn>
              <a:cxn ang="0">
                <a:pos x="9" y="1"/>
              </a:cxn>
              <a:cxn ang="0">
                <a:pos x="13" y="1"/>
              </a:cxn>
              <a:cxn ang="0">
                <a:pos x="20" y="11"/>
              </a:cxn>
              <a:cxn ang="0">
                <a:pos x="16" y="14"/>
              </a:cxn>
              <a:cxn ang="0">
                <a:pos x="15" y="14"/>
              </a:cxn>
            </a:cxnLst>
            <a:rect l="0" t="0" r="r" b="b"/>
            <a:pathLst>
              <a:path w="20" h="14">
                <a:moveTo>
                  <a:pt x="15" y="14"/>
                </a:moveTo>
                <a:cubicBezTo>
                  <a:pt x="12" y="14"/>
                  <a:pt x="12" y="10"/>
                  <a:pt x="12" y="9"/>
                </a:cubicBezTo>
                <a:cubicBezTo>
                  <a:pt x="8" y="9"/>
                  <a:pt x="0" y="8"/>
                  <a:pt x="0" y="4"/>
                </a:cubicBezTo>
                <a:cubicBezTo>
                  <a:pt x="0" y="0"/>
                  <a:pt x="6" y="1"/>
                  <a:pt x="9" y="1"/>
                </a:cubicBezTo>
                <a:cubicBezTo>
                  <a:pt x="10" y="1"/>
                  <a:pt x="12" y="1"/>
                  <a:pt x="13" y="1"/>
                </a:cubicBezTo>
                <a:cubicBezTo>
                  <a:pt x="13" y="7"/>
                  <a:pt x="20" y="6"/>
                  <a:pt x="20" y="11"/>
                </a:cubicBezTo>
                <a:cubicBezTo>
                  <a:pt x="20" y="13"/>
                  <a:pt x="18" y="14"/>
                  <a:pt x="16" y="14"/>
                </a:cubicBezTo>
                <a:cubicBezTo>
                  <a:pt x="16" y="14"/>
                  <a:pt x="15" y="14"/>
                  <a:pt x="15" y="14"/>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98" name="Freeform 111" hidden="1">
            <a:extLst>
              <a:ext uri="{FF2B5EF4-FFF2-40B4-BE49-F238E27FC236}">
                <a16:creationId xmlns:a16="http://schemas.microsoft.com/office/drawing/2014/main" id="{00000000-0008-0000-0000-000062000000}"/>
              </a:ext>
            </a:extLst>
          </xdr:cNvPr>
          <xdr:cNvSpPr>
            <a:spLocks/>
          </xdr:cNvSpPr>
        </xdr:nvSpPr>
        <xdr:spPr bwMode="auto">
          <a:xfrm>
            <a:off x="6323013" y="3014663"/>
            <a:ext cx="11113" cy="11113"/>
          </a:xfrm>
          <a:custGeom>
            <a:avLst/>
            <a:gdLst/>
            <a:ahLst/>
            <a:cxnLst>
              <a:cxn ang="0">
                <a:pos x="0" y="0"/>
              </a:cxn>
              <a:cxn ang="0">
                <a:pos x="4" y="0"/>
              </a:cxn>
              <a:cxn ang="0">
                <a:pos x="8" y="3"/>
              </a:cxn>
              <a:cxn ang="0">
                <a:pos x="3" y="8"/>
              </a:cxn>
              <a:cxn ang="0">
                <a:pos x="0" y="5"/>
              </a:cxn>
              <a:cxn ang="0">
                <a:pos x="0" y="0"/>
              </a:cxn>
            </a:cxnLst>
            <a:rect l="0" t="0" r="r" b="b"/>
            <a:pathLst>
              <a:path w="8" h="8">
                <a:moveTo>
                  <a:pt x="0" y="0"/>
                </a:moveTo>
                <a:cubicBezTo>
                  <a:pt x="1" y="0"/>
                  <a:pt x="2" y="0"/>
                  <a:pt x="4" y="0"/>
                </a:cubicBezTo>
                <a:cubicBezTo>
                  <a:pt x="6" y="0"/>
                  <a:pt x="6" y="2"/>
                  <a:pt x="8" y="3"/>
                </a:cubicBezTo>
                <a:cubicBezTo>
                  <a:pt x="7" y="6"/>
                  <a:pt x="5" y="8"/>
                  <a:pt x="3" y="8"/>
                </a:cubicBezTo>
                <a:cubicBezTo>
                  <a:pt x="2" y="8"/>
                  <a:pt x="0" y="6"/>
                  <a:pt x="0" y="5"/>
                </a:cubicBezTo>
                <a:cubicBezTo>
                  <a:pt x="0" y="3"/>
                  <a:pt x="0" y="2"/>
                  <a:pt x="0" y="0"/>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99" name="Freeform 112" hidden="1">
            <a:extLst>
              <a:ext uri="{FF2B5EF4-FFF2-40B4-BE49-F238E27FC236}">
                <a16:creationId xmlns:a16="http://schemas.microsoft.com/office/drawing/2014/main" id="{00000000-0008-0000-0000-000063000000}"/>
              </a:ext>
            </a:extLst>
          </xdr:cNvPr>
          <xdr:cNvSpPr>
            <a:spLocks/>
          </xdr:cNvSpPr>
        </xdr:nvSpPr>
        <xdr:spPr bwMode="auto">
          <a:xfrm>
            <a:off x="6448425" y="3016250"/>
            <a:ext cx="58738" cy="34925"/>
          </a:xfrm>
          <a:custGeom>
            <a:avLst/>
            <a:gdLst/>
            <a:ahLst/>
            <a:cxnLst>
              <a:cxn ang="0">
                <a:pos x="19" y="13"/>
              </a:cxn>
              <a:cxn ang="0">
                <a:pos x="17" y="19"/>
              </a:cxn>
              <a:cxn ang="0">
                <a:pos x="3" y="26"/>
              </a:cxn>
              <a:cxn ang="0">
                <a:pos x="0" y="22"/>
              </a:cxn>
              <a:cxn ang="0">
                <a:pos x="15" y="10"/>
              </a:cxn>
              <a:cxn ang="0">
                <a:pos x="17" y="6"/>
              </a:cxn>
              <a:cxn ang="0">
                <a:pos x="45" y="3"/>
              </a:cxn>
              <a:cxn ang="0">
                <a:pos x="19" y="13"/>
              </a:cxn>
            </a:cxnLst>
            <a:rect l="0" t="0" r="r" b="b"/>
            <a:pathLst>
              <a:path w="45" h="26">
                <a:moveTo>
                  <a:pt x="19" y="13"/>
                </a:moveTo>
                <a:cubicBezTo>
                  <a:pt x="16" y="13"/>
                  <a:pt x="19" y="17"/>
                  <a:pt x="17" y="19"/>
                </a:cubicBezTo>
                <a:cubicBezTo>
                  <a:pt x="15" y="21"/>
                  <a:pt x="8" y="26"/>
                  <a:pt x="3" y="26"/>
                </a:cubicBezTo>
                <a:cubicBezTo>
                  <a:pt x="1" y="26"/>
                  <a:pt x="0" y="24"/>
                  <a:pt x="0" y="22"/>
                </a:cubicBezTo>
                <a:cubicBezTo>
                  <a:pt x="0" y="12"/>
                  <a:pt x="8" y="12"/>
                  <a:pt x="15" y="10"/>
                </a:cubicBezTo>
                <a:cubicBezTo>
                  <a:pt x="16" y="10"/>
                  <a:pt x="16" y="7"/>
                  <a:pt x="17" y="6"/>
                </a:cubicBezTo>
                <a:cubicBezTo>
                  <a:pt x="21" y="2"/>
                  <a:pt x="41" y="0"/>
                  <a:pt x="45" y="3"/>
                </a:cubicBezTo>
                <a:cubicBezTo>
                  <a:pt x="40" y="9"/>
                  <a:pt x="26" y="13"/>
                  <a:pt x="19" y="13"/>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00" name="Freeform 113" hidden="1">
            <a:extLst>
              <a:ext uri="{FF2B5EF4-FFF2-40B4-BE49-F238E27FC236}">
                <a16:creationId xmlns:a16="http://schemas.microsoft.com/office/drawing/2014/main" id="{00000000-0008-0000-0000-000064000000}"/>
              </a:ext>
            </a:extLst>
          </xdr:cNvPr>
          <xdr:cNvSpPr>
            <a:spLocks/>
          </xdr:cNvSpPr>
        </xdr:nvSpPr>
        <xdr:spPr bwMode="auto">
          <a:xfrm>
            <a:off x="6489700" y="2922588"/>
            <a:ext cx="17463" cy="19050"/>
          </a:xfrm>
          <a:custGeom>
            <a:avLst/>
            <a:gdLst/>
            <a:ahLst/>
            <a:cxnLst>
              <a:cxn ang="0">
                <a:pos x="13" y="8"/>
              </a:cxn>
              <a:cxn ang="0">
                <a:pos x="8" y="14"/>
              </a:cxn>
              <a:cxn ang="0">
                <a:pos x="0" y="5"/>
              </a:cxn>
              <a:cxn ang="0">
                <a:pos x="13" y="8"/>
              </a:cxn>
            </a:cxnLst>
            <a:rect l="0" t="0" r="r" b="b"/>
            <a:pathLst>
              <a:path w="13" h="14">
                <a:moveTo>
                  <a:pt x="13" y="8"/>
                </a:moveTo>
                <a:cubicBezTo>
                  <a:pt x="13" y="9"/>
                  <a:pt x="10" y="14"/>
                  <a:pt x="8" y="14"/>
                </a:cubicBezTo>
                <a:cubicBezTo>
                  <a:pt x="6" y="14"/>
                  <a:pt x="0" y="9"/>
                  <a:pt x="0" y="5"/>
                </a:cubicBezTo>
                <a:cubicBezTo>
                  <a:pt x="0" y="0"/>
                  <a:pt x="13" y="4"/>
                  <a:pt x="13" y="8"/>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01" name="Freeform 114" hidden="1">
            <a:extLst>
              <a:ext uri="{FF2B5EF4-FFF2-40B4-BE49-F238E27FC236}">
                <a16:creationId xmlns:a16="http://schemas.microsoft.com/office/drawing/2014/main" id="{00000000-0008-0000-0000-000065000000}"/>
              </a:ext>
            </a:extLst>
          </xdr:cNvPr>
          <xdr:cNvSpPr>
            <a:spLocks/>
          </xdr:cNvSpPr>
        </xdr:nvSpPr>
        <xdr:spPr bwMode="auto">
          <a:xfrm>
            <a:off x="6519863" y="2924175"/>
            <a:ext cx="47625" cy="14288"/>
          </a:xfrm>
          <a:custGeom>
            <a:avLst/>
            <a:gdLst/>
            <a:ahLst/>
            <a:cxnLst>
              <a:cxn ang="0">
                <a:pos x="31" y="2"/>
              </a:cxn>
              <a:cxn ang="0">
                <a:pos x="36" y="10"/>
              </a:cxn>
              <a:cxn ang="0">
                <a:pos x="34" y="10"/>
              </a:cxn>
              <a:cxn ang="0">
                <a:pos x="18" y="6"/>
              </a:cxn>
              <a:cxn ang="0">
                <a:pos x="8" y="6"/>
              </a:cxn>
              <a:cxn ang="0">
                <a:pos x="0" y="4"/>
              </a:cxn>
              <a:cxn ang="0">
                <a:pos x="3" y="0"/>
              </a:cxn>
              <a:cxn ang="0">
                <a:pos x="23" y="0"/>
              </a:cxn>
              <a:cxn ang="0">
                <a:pos x="30" y="2"/>
              </a:cxn>
              <a:cxn ang="0">
                <a:pos x="31" y="2"/>
              </a:cxn>
            </a:cxnLst>
            <a:rect l="0" t="0" r="r" b="b"/>
            <a:pathLst>
              <a:path w="36" h="10">
                <a:moveTo>
                  <a:pt x="31" y="2"/>
                </a:moveTo>
                <a:cubicBezTo>
                  <a:pt x="32" y="5"/>
                  <a:pt x="36" y="6"/>
                  <a:pt x="36" y="10"/>
                </a:cubicBezTo>
                <a:cubicBezTo>
                  <a:pt x="36" y="10"/>
                  <a:pt x="35" y="10"/>
                  <a:pt x="34" y="10"/>
                </a:cubicBezTo>
                <a:cubicBezTo>
                  <a:pt x="28" y="10"/>
                  <a:pt x="25" y="6"/>
                  <a:pt x="18" y="6"/>
                </a:cubicBezTo>
                <a:cubicBezTo>
                  <a:pt x="14" y="6"/>
                  <a:pt x="12" y="6"/>
                  <a:pt x="8" y="6"/>
                </a:cubicBezTo>
                <a:cubicBezTo>
                  <a:pt x="6" y="6"/>
                  <a:pt x="0" y="4"/>
                  <a:pt x="0" y="4"/>
                </a:cubicBezTo>
                <a:cubicBezTo>
                  <a:pt x="0" y="2"/>
                  <a:pt x="3" y="1"/>
                  <a:pt x="3" y="0"/>
                </a:cubicBezTo>
                <a:cubicBezTo>
                  <a:pt x="23" y="0"/>
                  <a:pt x="23" y="0"/>
                  <a:pt x="23" y="0"/>
                </a:cubicBezTo>
                <a:cubicBezTo>
                  <a:pt x="24" y="3"/>
                  <a:pt x="27" y="2"/>
                  <a:pt x="30" y="2"/>
                </a:cubicBezTo>
                <a:lnTo>
                  <a:pt x="31" y="2"/>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02" name="Freeform 115" hidden="1">
            <a:extLst>
              <a:ext uri="{FF2B5EF4-FFF2-40B4-BE49-F238E27FC236}">
                <a16:creationId xmlns:a16="http://schemas.microsoft.com/office/drawing/2014/main" id="{00000000-0008-0000-0000-000066000000}"/>
              </a:ext>
            </a:extLst>
          </xdr:cNvPr>
          <xdr:cNvSpPr>
            <a:spLocks/>
          </xdr:cNvSpPr>
        </xdr:nvSpPr>
        <xdr:spPr bwMode="auto">
          <a:xfrm>
            <a:off x="6513513" y="2836863"/>
            <a:ext cx="19050" cy="46038"/>
          </a:xfrm>
          <a:custGeom>
            <a:avLst/>
            <a:gdLst/>
            <a:ahLst/>
            <a:cxnLst>
              <a:cxn ang="0">
                <a:pos x="4" y="28"/>
              </a:cxn>
              <a:cxn ang="0">
                <a:pos x="4" y="25"/>
              </a:cxn>
              <a:cxn ang="0">
                <a:pos x="14" y="24"/>
              </a:cxn>
              <a:cxn ang="0">
                <a:pos x="11" y="17"/>
              </a:cxn>
              <a:cxn ang="0">
                <a:pos x="15" y="12"/>
              </a:cxn>
              <a:cxn ang="0">
                <a:pos x="4" y="0"/>
              </a:cxn>
              <a:cxn ang="0">
                <a:pos x="0" y="9"/>
              </a:cxn>
              <a:cxn ang="0">
                <a:pos x="3" y="21"/>
              </a:cxn>
              <a:cxn ang="0">
                <a:pos x="3" y="27"/>
              </a:cxn>
              <a:cxn ang="0">
                <a:pos x="9" y="35"/>
              </a:cxn>
              <a:cxn ang="0">
                <a:pos x="4" y="28"/>
              </a:cxn>
            </a:cxnLst>
            <a:rect l="0" t="0" r="r" b="b"/>
            <a:pathLst>
              <a:path w="15" h="35">
                <a:moveTo>
                  <a:pt x="4" y="28"/>
                </a:moveTo>
                <a:cubicBezTo>
                  <a:pt x="4" y="25"/>
                  <a:pt x="4" y="25"/>
                  <a:pt x="4" y="25"/>
                </a:cubicBezTo>
                <a:cubicBezTo>
                  <a:pt x="8" y="25"/>
                  <a:pt x="12" y="24"/>
                  <a:pt x="14" y="24"/>
                </a:cubicBezTo>
                <a:cubicBezTo>
                  <a:pt x="14" y="20"/>
                  <a:pt x="11" y="20"/>
                  <a:pt x="11" y="17"/>
                </a:cubicBezTo>
                <a:cubicBezTo>
                  <a:pt x="11" y="15"/>
                  <a:pt x="15" y="14"/>
                  <a:pt x="15" y="12"/>
                </a:cubicBezTo>
                <a:cubicBezTo>
                  <a:pt x="8" y="10"/>
                  <a:pt x="4" y="6"/>
                  <a:pt x="4" y="0"/>
                </a:cubicBezTo>
                <a:cubicBezTo>
                  <a:pt x="0" y="2"/>
                  <a:pt x="0" y="5"/>
                  <a:pt x="0" y="9"/>
                </a:cubicBezTo>
                <a:cubicBezTo>
                  <a:pt x="0" y="15"/>
                  <a:pt x="3" y="16"/>
                  <a:pt x="3" y="21"/>
                </a:cubicBezTo>
                <a:cubicBezTo>
                  <a:pt x="3" y="26"/>
                  <a:pt x="3" y="24"/>
                  <a:pt x="3" y="27"/>
                </a:cubicBezTo>
                <a:cubicBezTo>
                  <a:pt x="3" y="30"/>
                  <a:pt x="4" y="35"/>
                  <a:pt x="9" y="35"/>
                </a:cubicBezTo>
                <a:cubicBezTo>
                  <a:pt x="7" y="32"/>
                  <a:pt x="6" y="31"/>
                  <a:pt x="4" y="28"/>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03" name="Freeform 119" hidden="1">
            <a:extLst>
              <a:ext uri="{FF2B5EF4-FFF2-40B4-BE49-F238E27FC236}">
                <a16:creationId xmlns:a16="http://schemas.microsoft.com/office/drawing/2014/main" id="{00000000-0008-0000-0000-000067000000}"/>
              </a:ext>
            </a:extLst>
          </xdr:cNvPr>
          <xdr:cNvSpPr>
            <a:spLocks/>
          </xdr:cNvSpPr>
        </xdr:nvSpPr>
        <xdr:spPr bwMode="auto">
          <a:xfrm>
            <a:off x="6424613" y="2709863"/>
            <a:ext cx="76200" cy="71438"/>
          </a:xfrm>
          <a:custGeom>
            <a:avLst/>
            <a:gdLst/>
            <a:ahLst/>
            <a:cxnLst>
              <a:cxn ang="0">
                <a:pos x="48" y="38"/>
              </a:cxn>
              <a:cxn ang="0">
                <a:pos x="46" y="35"/>
              </a:cxn>
              <a:cxn ang="0">
                <a:pos x="42" y="40"/>
              </a:cxn>
              <a:cxn ang="0">
                <a:pos x="47" y="48"/>
              </a:cxn>
              <a:cxn ang="0">
                <a:pos x="42" y="53"/>
              </a:cxn>
              <a:cxn ang="0">
                <a:pos x="40" y="50"/>
              </a:cxn>
              <a:cxn ang="0">
                <a:pos x="36" y="51"/>
              </a:cxn>
              <a:cxn ang="0">
                <a:pos x="26" y="37"/>
              </a:cxn>
              <a:cxn ang="0">
                <a:pos x="28" y="32"/>
              </a:cxn>
              <a:cxn ang="0">
                <a:pos x="27" y="29"/>
              </a:cxn>
              <a:cxn ang="0">
                <a:pos x="21" y="28"/>
              </a:cxn>
              <a:cxn ang="0">
                <a:pos x="21" y="32"/>
              </a:cxn>
              <a:cxn ang="0">
                <a:pos x="17" y="30"/>
              </a:cxn>
              <a:cxn ang="0">
                <a:pos x="16" y="32"/>
              </a:cxn>
              <a:cxn ang="0">
                <a:pos x="12" y="28"/>
              </a:cxn>
              <a:cxn ang="0">
                <a:pos x="4" y="45"/>
              </a:cxn>
              <a:cxn ang="0">
                <a:pos x="4" y="36"/>
              </a:cxn>
              <a:cxn ang="0">
                <a:pos x="2" y="32"/>
              </a:cxn>
              <a:cxn ang="0">
                <a:pos x="5" y="22"/>
              </a:cxn>
              <a:cxn ang="0">
                <a:pos x="19" y="14"/>
              </a:cxn>
              <a:cxn ang="0">
                <a:pos x="26" y="20"/>
              </a:cxn>
              <a:cxn ang="0">
                <a:pos x="28" y="20"/>
              </a:cxn>
              <a:cxn ang="0">
                <a:pos x="32" y="15"/>
              </a:cxn>
              <a:cxn ang="0">
                <a:pos x="41" y="9"/>
              </a:cxn>
              <a:cxn ang="0">
                <a:pos x="42" y="0"/>
              </a:cxn>
              <a:cxn ang="0">
                <a:pos x="48" y="4"/>
              </a:cxn>
              <a:cxn ang="0">
                <a:pos x="58" y="33"/>
              </a:cxn>
              <a:cxn ang="0">
                <a:pos x="53" y="46"/>
              </a:cxn>
              <a:cxn ang="0">
                <a:pos x="48" y="36"/>
              </a:cxn>
              <a:cxn ang="0">
                <a:pos x="48" y="38"/>
              </a:cxn>
            </a:cxnLst>
            <a:rect l="0" t="0" r="r" b="b"/>
            <a:pathLst>
              <a:path w="58" h="53">
                <a:moveTo>
                  <a:pt x="48" y="38"/>
                </a:moveTo>
                <a:cubicBezTo>
                  <a:pt x="48" y="37"/>
                  <a:pt x="47" y="36"/>
                  <a:pt x="46" y="35"/>
                </a:cubicBezTo>
                <a:cubicBezTo>
                  <a:pt x="44" y="37"/>
                  <a:pt x="42" y="38"/>
                  <a:pt x="42" y="40"/>
                </a:cubicBezTo>
                <a:cubicBezTo>
                  <a:pt x="42" y="43"/>
                  <a:pt x="47" y="44"/>
                  <a:pt x="47" y="48"/>
                </a:cubicBezTo>
                <a:cubicBezTo>
                  <a:pt x="47" y="51"/>
                  <a:pt x="45" y="53"/>
                  <a:pt x="42" y="53"/>
                </a:cubicBezTo>
                <a:cubicBezTo>
                  <a:pt x="41" y="53"/>
                  <a:pt x="40" y="51"/>
                  <a:pt x="40" y="50"/>
                </a:cubicBezTo>
                <a:cubicBezTo>
                  <a:pt x="39" y="51"/>
                  <a:pt x="37" y="51"/>
                  <a:pt x="36" y="51"/>
                </a:cubicBezTo>
                <a:cubicBezTo>
                  <a:pt x="31" y="51"/>
                  <a:pt x="26" y="44"/>
                  <a:pt x="26" y="37"/>
                </a:cubicBezTo>
                <a:cubicBezTo>
                  <a:pt x="26" y="34"/>
                  <a:pt x="27" y="33"/>
                  <a:pt x="28" y="32"/>
                </a:cubicBezTo>
                <a:cubicBezTo>
                  <a:pt x="28" y="31"/>
                  <a:pt x="27" y="30"/>
                  <a:pt x="27" y="29"/>
                </a:cubicBezTo>
                <a:cubicBezTo>
                  <a:pt x="21" y="28"/>
                  <a:pt x="21" y="28"/>
                  <a:pt x="21" y="28"/>
                </a:cubicBezTo>
                <a:cubicBezTo>
                  <a:pt x="21" y="30"/>
                  <a:pt x="20" y="31"/>
                  <a:pt x="21" y="32"/>
                </a:cubicBezTo>
                <a:cubicBezTo>
                  <a:pt x="18" y="32"/>
                  <a:pt x="18" y="31"/>
                  <a:pt x="17" y="30"/>
                </a:cubicBezTo>
                <a:cubicBezTo>
                  <a:pt x="17" y="30"/>
                  <a:pt x="16" y="31"/>
                  <a:pt x="16" y="32"/>
                </a:cubicBezTo>
                <a:cubicBezTo>
                  <a:pt x="14" y="31"/>
                  <a:pt x="12" y="28"/>
                  <a:pt x="12" y="28"/>
                </a:cubicBezTo>
                <a:cubicBezTo>
                  <a:pt x="8" y="32"/>
                  <a:pt x="8" y="45"/>
                  <a:pt x="4" y="45"/>
                </a:cubicBezTo>
                <a:cubicBezTo>
                  <a:pt x="0" y="45"/>
                  <a:pt x="4" y="37"/>
                  <a:pt x="4" y="36"/>
                </a:cubicBezTo>
                <a:cubicBezTo>
                  <a:pt x="4" y="35"/>
                  <a:pt x="2" y="33"/>
                  <a:pt x="2" y="32"/>
                </a:cubicBezTo>
                <a:cubicBezTo>
                  <a:pt x="2" y="28"/>
                  <a:pt x="4" y="26"/>
                  <a:pt x="5" y="22"/>
                </a:cubicBezTo>
                <a:cubicBezTo>
                  <a:pt x="13" y="22"/>
                  <a:pt x="11" y="14"/>
                  <a:pt x="19" y="14"/>
                </a:cubicBezTo>
                <a:cubicBezTo>
                  <a:pt x="24" y="14"/>
                  <a:pt x="23" y="20"/>
                  <a:pt x="26" y="20"/>
                </a:cubicBezTo>
                <a:cubicBezTo>
                  <a:pt x="27" y="20"/>
                  <a:pt x="27" y="20"/>
                  <a:pt x="28" y="20"/>
                </a:cubicBezTo>
                <a:cubicBezTo>
                  <a:pt x="28" y="18"/>
                  <a:pt x="30" y="16"/>
                  <a:pt x="32" y="15"/>
                </a:cubicBezTo>
                <a:cubicBezTo>
                  <a:pt x="32" y="10"/>
                  <a:pt x="39" y="12"/>
                  <a:pt x="41" y="9"/>
                </a:cubicBezTo>
                <a:cubicBezTo>
                  <a:pt x="42" y="7"/>
                  <a:pt x="42" y="1"/>
                  <a:pt x="42" y="0"/>
                </a:cubicBezTo>
                <a:cubicBezTo>
                  <a:pt x="45" y="0"/>
                  <a:pt x="47" y="2"/>
                  <a:pt x="48" y="4"/>
                </a:cubicBezTo>
                <a:cubicBezTo>
                  <a:pt x="51" y="7"/>
                  <a:pt x="58" y="30"/>
                  <a:pt x="58" y="33"/>
                </a:cubicBezTo>
                <a:cubicBezTo>
                  <a:pt x="58" y="37"/>
                  <a:pt x="53" y="39"/>
                  <a:pt x="53" y="46"/>
                </a:cubicBezTo>
                <a:cubicBezTo>
                  <a:pt x="51" y="46"/>
                  <a:pt x="48" y="37"/>
                  <a:pt x="48" y="36"/>
                </a:cubicBezTo>
                <a:lnTo>
                  <a:pt x="48" y="38"/>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04" name="Freeform 120" hidden="1">
            <a:extLst>
              <a:ext uri="{FF2B5EF4-FFF2-40B4-BE49-F238E27FC236}">
                <a16:creationId xmlns:a16="http://schemas.microsoft.com/office/drawing/2014/main" id="{00000000-0008-0000-0000-000068000000}"/>
              </a:ext>
            </a:extLst>
          </xdr:cNvPr>
          <xdr:cNvSpPr>
            <a:spLocks/>
          </xdr:cNvSpPr>
        </xdr:nvSpPr>
        <xdr:spPr bwMode="auto">
          <a:xfrm>
            <a:off x="6354763" y="2690813"/>
            <a:ext cx="36513" cy="39688"/>
          </a:xfrm>
          <a:custGeom>
            <a:avLst/>
            <a:gdLst/>
            <a:ahLst/>
            <a:cxnLst>
              <a:cxn ang="0">
                <a:pos x="3" y="29"/>
              </a:cxn>
              <a:cxn ang="0">
                <a:pos x="0" y="29"/>
              </a:cxn>
              <a:cxn ang="0">
                <a:pos x="22" y="5"/>
              </a:cxn>
              <a:cxn ang="0">
                <a:pos x="25" y="0"/>
              </a:cxn>
              <a:cxn ang="0">
                <a:pos x="28" y="6"/>
              </a:cxn>
              <a:cxn ang="0">
                <a:pos x="24" y="9"/>
              </a:cxn>
              <a:cxn ang="0">
                <a:pos x="17" y="13"/>
              </a:cxn>
              <a:cxn ang="0">
                <a:pos x="3" y="29"/>
              </a:cxn>
            </a:cxnLst>
            <a:rect l="0" t="0" r="r" b="b"/>
            <a:pathLst>
              <a:path w="28" h="29">
                <a:moveTo>
                  <a:pt x="3" y="29"/>
                </a:moveTo>
                <a:cubicBezTo>
                  <a:pt x="0" y="29"/>
                  <a:pt x="0" y="29"/>
                  <a:pt x="0" y="29"/>
                </a:cubicBezTo>
                <a:cubicBezTo>
                  <a:pt x="4" y="18"/>
                  <a:pt x="18" y="13"/>
                  <a:pt x="22" y="5"/>
                </a:cubicBezTo>
                <a:cubicBezTo>
                  <a:pt x="23" y="3"/>
                  <a:pt x="23" y="1"/>
                  <a:pt x="25" y="0"/>
                </a:cubicBezTo>
                <a:cubicBezTo>
                  <a:pt x="24" y="4"/>
                  <a:pt x="26" y="5"/>
                  <a:pt x="28" y="6"/>
                </a:cubicBezTo>
                <a:cubicBezTo>
                  <a:pt x="26" y="8"/>
                  <a:pt x="26" y="9"/>
                  <a:pt x="24" y="9"/>
                </a:cubicBezTo>
                <a:cubicBezTo>
                  <a:pt x="23" y="12"/>
                  <a:pt x="20" y="13"/>
                  <a:pt x="17" y="13"/>
                </a:cubicBezTo>
                <a:cubicBezTo>
                  <a:pt x="15" y="22"/>
                  <a:pt x="8" y="26"/>
                  <a:pt x="3" y="29"/>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05" name="Freeform 121" hidden="1">
            <a:extLst>
              <a:ext uri="{FF2B5EF4-FFF2-40B4-BE49-F238E27FC236}">
                <a16:creationId xmlns:a16="http://schemas.microsoft.com/office/drawing/2014/main" id="{00000000-0008-0000-0000-000069000000}"/>
              </a:ext>
            </a:extLst>
          </xdr:cNvPr>
          <xdr:cNvSpPr>
            <a:spLocks/>
          </xdr:cNvSpPr>
        </xdr:nvSpPr>
        <xdr:spPr bwMode="auto">
          <a:xfrm>
            <a:off x="6383338" y="2563813"/>
            <a:ext cx="71438" cy="101600"/>
          </a:xfrm>
          <a:custGeom>
            <a:avLst/>
            <a:gdLst/>
            <a:ahLst/>
            <a:cxnLst>
              <a:cxn ang="0">
                <a:pos x="4" y="31"/>
              </a:cxn>
              <a:cxn ang="0">
                <a:pos x="6" y="20"/>
              </a:cxn>
              <a:cxn ang="0">
                <a:pos x="5" y="7"/>
              </a:cxn>
              <a:cxn ang="0">
                <a:pos x="9" y="0"/>
              </a:cxn>
              <a:cxn ang="0">
                <a:pos x="16" y="7"/>
              </a:cxn>
              <a:cxn ang="0">
                <a:pos x="21" y="3"/>
              </a:cxn>
              <a:cxn ang="0">
                <a:pos x="22" y="5"/>
              </a:cxn>
              <a:cxn ang="0">
                <a:pos x="23" y="8"/>
              </a:cxn>
              <a:cxn ang="0">
                <a:pos x="28" y="25"/>
              </a:cxn>
              <a:cxn ang="0">
                <a:pos x="20" y="42"/>
              </a:cxn>
              <a:cxn ang="0">
                <a:pos x="30" y="59"/>
              </a:cxn>
              <a:cxn ang="0">
                <a:pos x="30" y="58"/>
              </a:cxn>
              <a:cxn ang="0">
                <a:pos x="34" y="55"/>
              </a:cxn>
              <a:cxn ang="0">
                <a:pos x="43" y="64"/>
              </a:cxn>
              <a:cxn ang="0">
                <a:pos x="46" y="61"/>
              </a:cxn>
              <a:cxn ang="0">
                <a:pos x="49" y="62"/>
              </a:cxn>
              <a:cxn ang="0">
                <a:pos x="46" y="66"/>
              </a:cxn>
              <a:cxn ang="0">
                <a:pos x="49" y="66"/>
              </a:cxn>
              <a:cxn ang="0">
                <a:pos x="54" y="71"/>
              </a:cxn>
              <a:cxn ang="0">
                <a:pos x="54" y="74"/>
              </a:cxn>
              <a:cxn ang="0">
                <a:pos x="53" y="76"/>
              </a:cxn>
              <a:cxn ang="0">
                <a:pos x="51" y="73"/>
              </a:cxn>
              <a:cxn ang="0">
                <a:pos x="36" y="61"/>
              </a:cxn>
              <a:cxn ang="0">
                <a:pos x="37" y="69"/>
              </a:cxn>
              <a:cxn ang="0">
                <a:pos x="25" y="60"/>
              </a:cxn>
              <a:cxn ang="0">
                <a:pos x="19" y="62"/>
              </a:cxn>
              <a:cxn ang="0">
                <a:pos x="13" y="57"/>
              </a:cxn>
              <a:cxn ang="0">
                <a:pos x="15" y="53"/>
              </a:cxn>
              <a:cxn ang="0">
                <a:pos x="15" y="49"/>
              </a:cxn>
              <a:cxn ang="0">
                <a:pos x="13" y="49"/>
              </a:cxn>
              <a:cxn ang="0">
                <a:pos x="10" y="51"/>
              </a:cxn>
              <a:cxn ang="0">
                <a:pos x="1" y="44"/>
              </a:cxn>
              <a:cxn ang="0">
                <a:pos x="4" y="31"/>
              </a:cxn>
            </a:cxnLst>
            <a:rect l="0" t="0" r="r" b="b"/>
            <a:pathLst>
              <a:path w="54" h="76">
                <a:moveTo>
                  <a:pt x="4" y="31"/>
                </a:moveTo>
                <a:cubicBezTo>
                  <a:pt x="6" y="28"/>
                  <a:pt x="6" y="23"/>
                  <a:pt x="6" y="20"/>
                </a:cubicBezTo>
                <a:cubicBezTo>
                  <a:pt x="7" y="15"/>
                  <a:pt x="5" y="12"/>
                  <a:pt x="5" y="7"/>
                </a:cubicBezTo>
                <a:cubicBezTo>
                  <a:pt x="5" y="3"/>
                  <a:pt x="6" y="0"/>
                  <a:pt x="9" y="0"/>
                </a:cubicBezTo>
                <a:cubicBezTo>
                  <a:pt x="13" y="0"/>
                  <a:pt x="12" y="7"/>
                  <a:pt x="16" y="7"/>
                </a:cubicBezTo>
                <a:cubicBezTo>
                  <a:pt x="18" y="7"/>
                  <a:pt x="20" y="4"/>
                  <a:pt x="21" y="3"/>
                </a:cubicBezTo>
                <a:cubicBezTo>
                  <a:pt x="21" y="3"/>
                  <a:pt x="22" y="4"/>
                  <a:pt x="22" y="5"/>
                </a:cubicBezTo>
                <a:cubicBezTo>
                  <a:pt x="22" y="6"/>
                  <a:pt x="23" y="7"/>
                  <a:pt x="23" y="8"/>
                </a:cubicBezTo>
                <a:cubicBezTo>
                  <a:pt x="23" y="13"/>
                  <a:pt x="28" y="18"/>
                  <a:pt x="28" y="25"/>
                </a:cubicBezTo>
                <a:cubicBezTo>
                  <a:pt x="28" y="33"/>
                  <a:pt x="20" y="34"/>
                  <a:pt x="20" y="42"/>
                </a:cubicBezTo>
                <a:cubicBezTo>
                  <a:pt x="20" y="48"/>
                  <a:pt x="26" y="57"/>
                  <a:pt x="30" y="59"/>
                </a:cubicBezTo>
                <a:cubicBezTo>
                  <a:pt x="30" y="59"/>
                  <a:pt x="30" y="58"/>
                  <a:pt x="30" y="58"/>
                </a:cubicBezTo>
                <a:cubicBezTo>
                  <a:pt x="30" y="56"/>
                  <a:pt x="32" y="54"/>
                  <a:pt x="34" y="55"/>
                </a:cubicBezTo>
                <a:cubicBezTo>
                  <a:pt x="39" y="55"/>
                  <a:pt x="40" y="63"/>
                  <a:pt x="43" y="64"/>
                </a:cubicBezTo>
                <a:cubicBezTo>
                  <a:pt x="44" y="64"/>
                  <a:pt x="45" y="61"/>
                  <a:pt x="46" y="61"/>
                </a:cubicBezTo>
                <a:cubicBezTo>
                  <a:pt x="47" y="61"/>
                  <a:pt x="48" y="62"/>
                  <a:pt x="49" y="62"/>
                </a:cubicBezTo>
                <a:cubicBezTo>
                  <a:pt x="48" y="64"/>
                  <a:pt x="46" y="64"/>
                  <a:pt x="46" y="66"/>
                </a:cubicBezTo>
                <a:cubicBezTo>
                  <a:pt x="46" y="67"/>
                  <a:pt x="48" y="67"/>
                  <a:pt x="49" y="66"/>
                </a:cubicBezTo>
                <a:cubicBezTo>
                  <a:pt x="49" y="69"/>
                  <a:pt x="51" y="71"/>
                  <a:pt x="54" y="71"/>
                </a:cubicBezTo>
                <a:cubicBezTo>
                  <a:pt x="54" y="72"/>
                  <a:pt x="54" y="73"/>
                  <a:pt x="54" y="74"/>
                </a:cubicBezTo>
                <a:cubicBezTo>
                  <a:pt x="54" y="75"/>
                  <a:pt x="53" y="76"/>
                  <a:pt x="53" y="76"/>
                </a:cubicBezTo>
                <a:cubicBezTo>
                  <a:pt x="51" y="76"/>
                  <a:pt x="51" y="74"/>
                  <a:pt x="51" y="73"/>
                </a:cubicBezTo>
                <a:cubicBezTo>
                  <a:pt x="48" y="69"/>
                  <a:pt x="39" y="65"/>
                  <a:pt x="36" y="61"/>
                </a:cubicBezTo>
                <a:cubicBezTo>
                  <a:pt x="34" y="64"/>
                  <a:pt x="35" y="66"/>
                  <a:pt x="37" y="69"/>
                </a:cubicBezTo>
                <a:cubicBezTo>
                  <a:pt x="31" y="69"/>
                  <a:pt x="31" y="60"/>
                  <a:pt x="25" y="60"/>
                </a:cubicBezTo>
                <a:cubicBezTo>
                  <a:pt x="23" y="60"/>
                  <a:pt x="21" y="62"/>
                  <a:pt x="19" y="62"/>
                </a:cubicBezTo>
                <a:cubicBezTo>
                  <a:pt x="16" y="62"/>
                  <a:pt x="13" y="59"/>
                  <a:pt x="13" y="57"/>
                </a:cubicBezTo>
                <a:cubicBezTo>
                  <a:pt x="13" y="55"/>
                  <a:pt x="14" y="53"/>
                  <a:pt x="15" y="53"/>
                </a:cubicBezTo>
                <a:cubicBezTo>
                  <a:pt x="15" y="49"/>
                  <a:pt x="15" y="49"/>
                  <a:pt x="15" y="49"/>
                </a:cubicBezTo>
                <a:cubicBezTo>
                  <a:pt x="13" y="49"/>
                  <a:pt x="13" y="49"/>
                  <a:pt x="13" y="49"/>
                </a:cubicBezTo>
                <a:cubicBezTo>
                  <a:pt x="12" y="50"/>
                  <a:pt x="11" y="51"/>
                  <a:pt x="10" y="51"/>
                </a:cubicBezTo>
                <a:cubicBezTo>
                  <a:pt x="8" y="51"/>
                  <a:pt x="1" y="47"/>
                  <a:pt x="1" y="44"/>
                </a:cubicBezTo>
                <a:cubicBezTo>
                  <a:pt x="1" y="38"/>
                  <a:pt x="0" y="30"/>
                  <a:pt x="4" y="31"/>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06" name="Freeform 122" hidden="1">
            <a:extLst>
              <a:ext uri="{FF2B5EF4-FFF2-40B4-BE49-F238E27FC236}">
                <a16:creationId xmlns:a16="http://schemas.microsoft.com/office/drawing/2014/main" id="{00000000-0008-0000-0000-00006A000000}"/>
              </a:ext>
            </a:extLst>
          </xdr:cNvPr>
          <xdr:cNvSpPr>
            <a:spLocks/>
          </xdr:cNvSpPr>
        </xdr:nvSpPr>
        <xdr:spPr bwMode="auto">
          <a:xfrm>
            <a:off x="6457950" y="2665413"/>
            <a:ext cx="23813" cy="41275"/>
          </a:xfrm>
          <a:custGeom>
            <a:avLst/>
            <a:gdLst/>
            <a:ahLst/>
            <a:cxnLst>
              <a:cxn ang="0">
                <a:pos x="16" y="20"/>
              </a:cxn>
              <a:cxn ang="0">
                <a:pos x="10" y="20"/>
              </a:cxn>
              <a:cxn ang="0">
                <a:pos x="14" y="28"/>
              </a:cxn>
              <a:cxn ang="0">
                <a:pos x="14" y="30"/>
              </a:cxn>
              <a:cxn ang="0">
                <a:pos x="10" y="30"/>
              </a:cxn>
              <a:cxn ang="0">
                <a:pos x="8" y="25"/>
              </a:cxn>
              <a:cxn ang="0">
                <a:pos x="8" y="23"/>
              </a:cxn>
              <a:cxn ang="0">
                <a:pos x="2" y="17"/>
              </a:cxn>
              <a:cxn ang="0">
                <a:pos x="2" y="15"/>
              </a:cxn>
              <a:cxn ang="0">
                <a:pos x="8" y="15"/>
              </a:cxn>
              <a:cxn ang="0">
                <a:pos x="10" y="13"/>
              </a:cxn>
              <a:cxn ang="0">
                <a:pos x="0" y="2"/>
              </a:cxn>
              <a:cxn ang="0">
                <a:pos x="4" y="0"/>
              </a:cxn>
              <a:cxn ang="0">
                <a:pos x="13" y="2"/>
              </a:cxn>
              <a:cxn ang="0">
                <a:pos x="13" y="6"/>
              </a:cxn>
              <a:cxn ang="0">
                <a:pos x="15" y="6"/>
              </a:cxn>
              <a:cxn ang="0">
                <a:pos x="15" y="12"/>
              </a:cxn>
              <a:cxn ang="0">
                <a:pos x="18" y="15"/>
              </a:cxn>
              <a:cxn ang="0">
                <a:pos x="16" y="20"/>
              </a:cxn>
            </a:cxnLst>
            <a:rect l="0" t="0" r="r" b="b"/>
            <a:pathLst>
              <a:path w="18" h="30">
                <a:moveTo>
                  <a:pt x="16" y="20"/>
                </a:moveTo>
                <a:cubicBezTo>
                  <a:pt x="10" y="20"/>
                  <a:pt x="10" y="20"/>
                  <a:pt x="10" y="20"/>
                </a:cubicBezTo>
                <a:cubicBezTo>
                  <a:pt x="11" y="23"/>
                  <a:pt x="12" y="27"/>
                  <a:pt x="14" y="28"/>
                </a:cubicBezTo>
                <a:cubicBezTo>
                  <a:pt x="14" y="30"/>
                  <a:pt x="14" y="30"/>
                  <a:pt x="14" y="30"/>
                </a:cubicBezTo>
                <a:cubicBezTo>
                  <a:pt x="13" y="30"/>
                  <a:pt x="11" y="30"/>
                  <a:pt x="10" y="30"/>
                </a:cubicBezTo>
                <a:cubicBezTo>
                  <a:pt x="7" y="30"/>
                  <a:pt x="7" y="27"/>
                  <a:pt x="8" y="25"/>
                </a:cubicBezTo>
                <a:cubicBezTo>
                  <a:pt x="8" y="23"/>
                  <a:pt x="8" y="23"/>
                  <a:pt x="8" y="23"/>
                </a:cubicBezTo>
                <a:cubicBezTo>
                  <a:pt x="5" y="23"/>
                  <a:pt x="3" y="19"/>
                  <a:pt x="2" y="17"/>
                </a:cubicBezTo>
                <a:cubicBezTo>
                  <a:pt x="2" y="15"/>
                  <a:pt x="2" y="15"/>
                  <a:pt x="2" y="15"/>
                </a:cubicBezTo>
                <a:cubicBezTo>
                  <a:pt x="4" y="15"/>
                  <a:pt x="7" y="15"/>
                  <a:pt x="8" y="15"/>
                </a:cubicBezTo>
                <a:cubicBezTo>
                  <a:pt x="8" y="15"/>
                  <a:pt x="10" y="14"/>
                  <a:pt x="10" y="13"/>
                </a:cubicBezTo>
                <a:cubicBezTo>
                  <a:pt x="10" y="8"/>
                  <a:pt x="1" y="5"/>
                  <a:pt x="0" y="2"/>
                </a:cubicBezTo>
                <a:cubicBezTo>
                  <a:pt x="1" y="1"/>
                  <a:pt x="3" y="0"/>
                  <a:pt x="4" y="0"/>
                </a:cubicBezTo>
                <a:cubicBezTo>
                  <a:pt x="7" y="0"/>
                  <a:pt x="9" y="2"/>
                  <a:pt x="13" y="2"/>
                </a:cubicBezTo>
                <a:cubicBezTo>
                  <a:pt x="13" y="3"/>
                  <a:pt x="13" y="5"/>
                  <a:pt x="13" y="6"/>
                </a:cubicBezTo>
                <a:cubicBezTo>
                  <a:pt x="13" y="6"/>
                  <a:pt x="14" y="6"/>
                  <a:pt x="15" y="6"/>
                </a:cubicBezTo>
                <a:cubicBezTo>
                  <a:pt x="15" y="8"/>
                  <a:pt x="15" y="12"/>
                  <a:pt x="15" y="12"/>
                </a:cubicBezTo>
                <a:cubicBezTo>
                  <a:pt x="15" y="12"/>
                  <a:pt x="18" y="15"/>
                  <a:pt x="18" y="15"/>
                </a:cubicBezTo>
                <a:cubicBezTo>
                  <a:pt x="18" y="18"/>
                  <a:pt x="17" y="19"/>
                  <a:pt x="16" y="20"/>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07" name="Freeform 123" hidden="1">
            <a:extLst>
              <a:ext uri="{FF2B5EF4-FFF2-40B4-BE49-F238E27FC236}">
                <a16:creationId xmlns:a16="http://schemas.microsoft.com/office/drawing/2014/main" id="{00000000-0008-0000-0000-00006B000000}"/>
              </a:ext>
            </a:extLst>
          </xdr:cNvPr>
          <xdr:cNvSpPr>
            <a:spLocks/>
          </xdr:cNvSpPr>
        </xdr:nvSpPr>
        <xdr:spPr bwMode="auto">
          <a:xfrm>
            <a:off x="6423025" y="2676525"/>
            <a:ext cx="19050" cy="25400"/>
          </a:xfrm>
          <a:custGeom>
            <a:avLst/>
            <a:gdLst/>
            <a:ahLst/>
            <a:cxnLst>
              <a:cxn ang="0">
                <a:pos x="3" y="1"/>
              </a:cxn>
              <a:cxn ang="0">
                <a:pos x="14" y="7"/>
              </a:cxn>
              <a:cxn ang="0">
                <a:pos x="1" y="19"/>
              </a:cxn>
              <a:cxn ang="0">
                <a:pos x="0" y="2"/>
              </a:cxn>
              <a:cxn ang="0">
                <a:pos x="2" y="0"/>
              </a:cxn>
              <a:cxn ang="0">
                <a:pos x="5" y="2"/>
              </a:cxn>
              <a:cxn ang="0">
                <a:pos x="3" y="1"/>
              </a:cxn>
            </a:cxnLst>
            <a:rect l="0" t="0" r="r" b="b"/>
            <a:pathLst>
              <a:path w="14" h="19">
                <a:moveTo>
                  <a:pt x="3" y="1"/>
                </a:moveTo>
                <a:cubicBezTo>
                  <a:pt x="4" y="3"/>
                  <a:pt x="14" y="4"/>
                  <a:pt x="14" y="7"/>
                </a:cubicBezTo>
                <a:cubicBezTo>
                  <a:pt x="14" y="14"/>
                  <a:pt x="5" y="17"/>
                  <a:pt x="1" y="19"/>
                </a:cubicBezTo>
                <a:cubicBezTo>
                  <a:pt x="1" y="13"/>
                  <a:pt x="0" y="6"/>
                  <a:pt x="0" y="2"/>
                </a:cubicBezTo>
                <a:cubicBezTo>
                  <a:pt x="0" y="1"/>
                  <a:pt x="2" y="0"/>
                  <a:pt x="2" y="0"/>
                </a:cubicBezTo>
                <a:cubicBezTo>
                  <a:pt x="3" y="0"/>
                  <a:pt x="4" y="2"/>
                  <a:pt x="5" y="2"/>
                </a:cubicBezTo>
                <a:lnTo>
                  <a:pt x="3" y="1"/>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08" name="Freeform 124" hidden="1">
            <a:extLst>
              <a:ext uri="{FF2B5EF4-FFF2-40B4-BE49-F238E27FC236}">
                <a16:creationId xmlns:a16="http://schemas.microsoft.com/office/drawing/2014/main" id="{00000000-0008-0000-0000-00006C000000}"/>
              </a:ext>
            </a:extLst>
          </xdr:cNvPr>
          <xdr:cNvSpPr>
            <a:spLocks/>
          </xdr:cNvSpPr>
        </xdr:nvSpPr>
        <xdr:spPr bwMode="auto">
          <a:xfrm>
            <a:off x="6432550" y="2692400"/>
            <a:ext cx="19050" cy="31750"/>
          </a:xfrm>
          <a:custGeom>
            <a:avLst/>
            <a:gdLst/>
            <a:ahLst/>
            <a:cxnLst>
              <a:cxn ang="0">
                <a:pos x="14" y="5"/>
              </a:cxn>
              <a:cxn ang="0">
                <a:pos x="9" y="17"/>
              </a:cxn>
              <a:cxn ang="0">
                <a:pos x="11" y="22"/>
              </a:cxn>
              <a:cxn ang="0">
                <a:pos x="9" y="24"/>
              </a:cxn>
              <a:cxn ang="0">
                <a:pos x="0" y="14"/>
              </a:cxn>
              <a:cxn ang="0">
                <a:pos x="4" y="12"/>
              </a:cxn>
              <a:cxn ang="0">
                <a:pos x="8" y="1"/>
              </a:cxn>
              <a:cxn ang="0">
                <a:pos x="14" y="5"/>
              </a:cxn>
            </a:cxnLst>
            <a:rect l="0" t="0" r="r" b="b"/>
            <a:pathLst>
              <a:path w="14" h="24">
                <a:moveTo>
                  <a:pt x="14" y="5"/>
                </a:moveTo>
                <a:cubicBezTo>
                  <a:pt x="14" y="10"/>
                  <a:pt x="10" y="13"/>
                  <a:pt x="9" y="17"/>
                </a:cubicBezTo>
                <a:cubicBezTo>
                  <a:pt x="9" y="21"/>
                  <a:pt x="11" y="20"/>
                  <a:pt x="11" y="22"/>
                </a:cubicBezTo>
                <a:cubicBezTo>
                  <a:pt x="11" y="23"/>
                  <a:pt x="10" y="24"/>
                  <a:pt x="9" y="24"/>
                </a:cubicBezTo>
                <a:cubicBezTo>
                  <a:pt x="7" y="24"/>
                  <a:pt x="0" y="17"/>
                  <a:pt x="0" y="14"/>
                </a:cubicBezTo>
                <a:cubicBezTo>
                  <a:pt x="0" y="13"/>
                  <a:pt x="3" y="12"/>
                  <a:pt x="4" y="12"/>
                </a:cubicBezTo>
                <a:cubicBezTo>
                  <a:pt x="4" y="11"/>
                  <a:pt x="6" y="1"/>
                  <a:pt x="8" y="1"/>
                </a:cubicBezTo>
                <a:cubicBezTo>
                  <a:pt x="12" y="0"/>
                  <a:pt x="14" y="3"/>
                  <a:pt x="14" y="5"/>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09" name="Freeform 125" hidden="1">
            <a:extLst>
              <a:ext uri="{FF2B5EF4-FFF2-40B4-BE49-F238E27FC236}">
                <a16:creationId xmlns:a16="http://schemas.microsoft.com/office/drawing/2014/main" id="{00000000-0008-0000-0000-00006D000000}"/>
              </a:ext>
            </a:extLst>
          </xdr:cNvPr>
          <xdr:cNvSpPr>
            <a:spLocks/>
          </xdr:cNvSpPr>
        </xdr:nvSpPr>
        <xdr:spPr bwMode="auto">
          <a:xfrm>
            <a:off x="6450013" y="2693988"/>
            <a:ext cx="7938" cy="20638"/>
          </a:xfrm>
          <a:custGeom>
            <a:avLst/>
            <a:gdLst/>
            <a:ahLst/>
            <a:cxnLst>
              <a:cxn ang="0">
                <a:pos x="7" y="0"/>
              </a:cxn>
              <a:cxn ang="0">
                <a:pos x="2" y="15"/>
              </a:cxn>
              <a:cxn ang="0">
                <a:pos x="0" y="15"/>
              </a:cxn>
              <a:cxn ang="0">
                <a:pos x="4" y="0"/>
              </a:cxn>
              <a:cxn ang="0">
                <a:pos x="7" y="0"/>
              </a:cxn>
            </a:cxnLst>
            <a:rect l="0" t="0" r="r" b="b"/>
            <a:pathLst>
              <a:path w="7" h="15">
                <a:moveTo>
                  <a:pt x="7" y="0"/>
                </a:moveTo>
                <a:cubicBezTo>
                  <a:pt x="7" y="7"/>
                  <a:pt x="2" y="9"/>
                  <a:pt x="2" y="15"/>
                </a:cubicBezTo>
                <a:cubicBezTo>
                  <a:pt x="2" y="15"/>
                  <a:pt x="0" y="15"/>
                  <a:pt x="0" y="15"/>
                </a:cubicBezTo>
                <a:cubicBezTo>
                  <a:pt x="1" y="10"/>
                  <a:pt x="4" y="7"/>
                  <a:pt x="4" y="0"/>
                </a:cubicBezTo>
                <a:cubicBezTo>
                  <a:pt x="5" y="0"/>
                  <a:pt x="6" y="0"/>
                  <a:pt x="7" y="0"/>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10" name="Freeform 126" hidden="1">
            <a:extLst>
              <a:ext uri="{FF2B5EF4-FFF2-40B4-BE49-F238E27FC236}">
                <a16:creationId xmlns:a16="http://schemas.microsoft.com/office/drawing/2014/main" id="{00000000-0008-0000-0000-00006E000000}"/>
              </a:ext>
            </a:extLst>
          </xdr:cNvPr>
          <xdr:cNvSpPr>
            <a:spLocks/>
          </xdr:cNvSpPr>
        </xdr:nvSpPr>
        <xdr:spPr bwMode="auto">
          <a:xfrm>
            <a:off x="6454775" y="2706688"/>
            <a:ext cx="11113" cy="11113"/>
          </a:xfrm>
          <a:custGeom>
            <a:avLst/>
            <a:gdLst/>
            <a:ahLst/>
            <a:cxnLst>
              <a:cxn ang="0">
                <a:pos x="8" y="0"/>
              </a:cxn>
              <a:cxn ang="0">
                <a:pos x="2" y="8"/>
              </a:cxn>
              <a:cxn ang="0">
                <a:pos x="0" y="6"/>
              </a:cxn>
              <a:cxn ang="0">
                <a:pos x="3" y="0"/>
              </a:cxn>
              <a:cxn ang="0">
                <a:pos x="8" y="0"/>
              </a:cxn>
            </a:cxnLst>
            <a:rect l="0" t="0" r="r" b="b"/>
            <a:pathLst>
              <a:path w="8" h="8">
                <a:moveTo>
                  <a:pt x="8" y="0"/>
                </a:moveTo>
                <a:cubicBezTo>
                  <a:pt x="8" y="4"/>
                  <a:pt x="6" y="8"/>
                  <a:pt x="2" y="8"/>
                </a:cubicBezTo>
                <a:cubicBezTo>
                  <a:pt x="1" y="8"/>
                  <a:pt x="0" y="6"/>
                  <a:pt x="0" y="6"/>
                </a:cubicBezTo>
                <a:cubicBezTo>
                  <a:pt x="0" y="3"/>
                  <a:pt x="2" y="2"/>
                  <a:pt x="3" y="0"/>
                </a:cubicBezTo>
                <a:cubicBezTo>
                  <a:pt x="5" y="1"/>
                  <a:pt x="7" y="1"/>
                  <a:pt x="8" y="0"/>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11" name="Freeform 127" hidden="1">
            <a:extLst>
              <a:ext uri="{FF2B5EF4-FFF2-40B4-BE49-F238E27FC236}">
                <a16:creationId xmlns:a16="http://schemas.microsoft.com/office/drawing/2014/main" id="{00000000-0008-0000-0000-00006F000000}"/>
              </a:ext>
            </a:extLst>
          </xdr:cNvPr>
          <xdr:cNvSpPr>
            <a:spLocks/>
          </xdr:cNvSpPr>
        </xdr:nvSpPr>
        <xdr:spPr bwMode="auto">
          <a:xfrm>
            <a:off x="6442075" y="2665413"/>
            <a:ext cx="12700" cy="17463"/>
          </a:xfrm>
          <a:custGeom>
            <a:avLst/>
            <a:gdLst/>
            <a:ahLst/>
            <a:cxnLst>
              <a:cxn ang="0">
                <a:pos x="0" y="6"/>
              </a:cxn>
              <a:cxn ang="0">
                <a:pos x="0" y="0"/>
              </a:cxn>
              <a:cxn ang="0">
                <a:pos x="4" y="0"/>
              </a:cxn>
              <a:cxn ang="0">
                <a:pos x="10" y="10"/>
              </a:cxn>
              <a:cxn ang="0">
                <a:pos x="6" y="6"/>
              </a:cxn>
              <a:cxn ang="0">
                <a:pos x="0" y="6"/>
              </a:cxn>
            </a:cxnLst>
            <a:rect l="0" t="0" r="r" b="b"/>
            <a:pathLst>
              <a:path w="10" h="12">
                <a:moveTo>
                  <a:pt x="0" y="6"/>
                </a:moveTo>
                <a:cubicBezTo>
                  <a:pt x="0" y="3"/>
                  <a:pt x="0" y="2"/>
                  <a:pt x="0" y="0"/>
                </a:cubicBezTo>
                <a:cubicBezTo>
                  <a:pt x="4" y="0"/>
                  <a:pt x="4" y="0"/>
                  <a:pt x="4" y="0"/>
                </a:cubicBezTo>
                <a:cubicBezTo>
                  <a:pt x="5" y="4"/>
                  <a:pt x="10" y="5"/>
                  <a:pt x="10" y="10"/>
                </a:cubicBezTo>
                <a:cubicBezTo>
                  <a:pt x="10" y="12"/>
                  <a:pt x="6" y="8"/>
                  <a:pt x="6" y="6"/>
                </a:cubicBezTo>
                <a:cubicBezTo>
                  <a:pt x="4" y="5"/>
                  <a:pt x="2" y="6"/>
                  <a:pt x="0" y="6"/>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12" name="Freeform 128" hidden="1">
            <a:extLst>
              <a:ext uri="{FF2B5EF4-FFF2-40B4-BE49-F238E27FC236}">
                <a16:creationId xmlns:a16="http://schemas.microsoft.com/office/drawing/2014/main" id="{00000000-0008-0000-0000-000070000000}"/>
              </a:ext>
            </a:extLst>
          </xdr:cNvPr>
          <xdr:cNvSpPr>
            <a:spLocks/>
          </xdr:cNvSpPr>
        </xdr:nvSpPr>
        <xdr:spPr bwMode="auto">
          <a:xfrm>
            <a:off x="6397625" y="2649538"/>
            <a:ext cx="19050" cy="20638"/>
          </a:xfrm>
          <a:custGeom>
            <a:avLst/>
            <a:gdLst/>
            <a:ahLst/>
            <a:cxnLst>
              <a:cxn ang="0">
                <a:pos x="11" y="15"/>
              </a:cxn>
              <a:cxn ang="0">
                <a:pos x="0" y="0"/>
              </a:cxn>
              <a:cxn ang="0">
                <a:pos x="4" y="0"/>
              </a:cxn>
              <a:cxn ang="0">
                <a:pos x="14" y="7"/>
              </a:cxn>
              <a:cxn ang="0">
                <a:pos x="11" y="15"/>
              </a:cxn>
            </a:cxnLst>
            <a:rect l="0" t="0" r="r" b="b"/>
            <a:pathLst>
              <a:path w="15" h="15">
                <a:moveTo>
                  <a:pt x="11" y="15"/>
                </a:moveTo>
                <a:cubicBezTo>
                  <a:pt x="9" y="15"/>
                  <a:pt x="0" y="0"/>
                  <a:pt x="0" y="0"/>
                </a:cubicBezTo>
                <a:cubicBezTo>
                  <a:pt x="4" y="0"/>
                  <a:pt x="4" y="0"/>
                  <a:pt x="4" y="0"/>
                </a:cubicBezTo>
                <a:cubicBezTo>
                  <a:pt x="8" y="3"/>
                  <a:pt x="13" y="2"/>
                  <a:pt x="14" y="7"/>
                </a:cubicBezTo>
                <a:cubicBezTo>
                  <a:pt x="15" y="10"/>
                  <a:pt x="13" y="15"/>
                  <a:pt x="11" y="15"/>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13" name="Freeform 129" hidden="1">
            <a:extLst>
              <a:ext uri="{FF2B5EF4-FFF2-40B4-BE49-F238E27FC236}">
                <a16:creationId xmlns:a16="http://schemas.microsoft.com/office/drawing/2014/main" id="{00000000-0008-0000-0000-000071000000}"/>
              </a:ext>
            </a:extLst>
          </xdr:cNvPr>
          <xdr:cNvSpPr>
            <a:spLocks/>
          </xdr:cNvSpPr>
        </xdr:nvSpPr>
        <xdr:spPr bwMode="auto">
          <a:xfrm>
            <a:off x="6416675" y="2652713"/>
            <a:ext cx="6350" cy="1588"/>
          </a:xfrm>
          <a:custGeom>
            <a:avLst/>
            <a:gdLst/>
            <a:ahLst/>
            <a:cxnLst>
              <a:cxn ang="0">
                <a:pos x="0" y="0"/>
              </a:cxn>
              <a:cxn ang="0">
                <a:pos x="4" y="1"/>
              </a:cxn>
              <a:cxn ang="0">
                <a:pos x="0" y="0"/>
              </a:cxn>
            </a:cxnLst>
            <a:rect l="0" t="0" r="r" b="b"/>
            <a:pathLst>
              <a:path w="4" h="1">
                <a:moveTo>
                  <a:pt x="0" y="0"/>
                </a:moveTo>
                <a:cubicBezTo>
                  <a:pt x="1" y="1"/>
                  <a:pt x="3" y="1"/>
                  <a:pt x="4" y="1"/>
                </a:cubicBezTo>
                <a:cubicBezTo>
                  <a:pt x="3" y="0"/>
                  <a:pt x="1" y="0"/>
                  <a:pt x="0" y="0"/>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14" name="Freeform 130" hidden="1">
            <a:extLst>
              <a:ext uri="{FF2B5EF4-FFF2-40B4-BE49-F238E27FC236}">
                <a16:creationId xmlns:a16="http://schemas.microsoft.com/office/drawing/2014/main" id="{00000000-0008-0000-0000-000072000000}"/>
              </a:ext>
            </a:extLst>
          </xdr:cNvPr>
          <xdr:cNvSpPr>
            <a:spLocks/>
          </xdr:cNvSpPr>
        </xdr:nvSpPr>
        <xdr:spPr bwMode="auto">
          <a:xfrm>
            <a:off x="6388100" y="2441575"/>
            <a:ext cx="36513" cy="50800"/>
          </a:xfrm>
          <a:custGeom>
            <a:avLst/>
            <a:gdLst/>
            <a:ahLst/>
            <a:cxnLst>
              <a:cxn ang="0">
                <a:pos x="8" y="39"/>
              </a:cxn>
              <a:cxn ang="0">
                <a:pos x="1" y="26"/>
              </a:cxn>
              <a:cxn ang="0">
                <a:pos x="16" y="0"/>
              </a:cxn>
              <a:cxn ang="0">
                <a:pos x="8" y="39"/>
              </a:cxn>
            </a:cxnLst>
            <a:rect l="0" t="0" r="r" b="b"/>
            <a:pathLst>
              <a:path w="27" h="39">
                <a:moveTo>
                  <a:pt x="8" y="39"/>
                </a:moveTo>
                <a:cubicBezTo>
                  <a:pt x="0" y="39"/>
                  <a:pt x="1" y="33"/>
                  <a:pt x="1" y="26"/>
                </a:cubicBezTo>
                <a:cubicBezTo>
                  <a:pt x="1" y="17"/>
                  <a:pt x="10" y="0"/>
                  <a:pt x="16" y="0"/>
                </a:cubicBezTo>
                <a:cubicBezTo>
                  <a:pt x="27" y="0"/>
                  <a:pt x="18" y="39"/>
                  <a:pt x="8" y="39"/>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15" name="Freeform 131" hidden="1">
            <a:extLst>
              <a:ext uri="{FF2B5EF4-FFF2-40B4-BE49-F238E27FC236}">
                <a16:creationId xmlns:a16="http://schemas.microsoft.com/office/drawing/2014/main" id="{00000000-0008-0000-0000-000073000000}"/>
              </a:ext>
            </a:extLst>
          </xdr:cNvPr>
          <xdr:cNvSpPr>
            <a:spLocks/>
          </xdr:cNvSpPr>
        </xdr:nvSpPr>
        <xdr:spPr bwMode="auto">
          <a:xfrm>
            <a:off x="6194425" y="2532063"/>
            <a:ext cx="41275" cy="34925"/>
          </a:xfrm>
          <a:custGeom>
            <a:avLst/>
            <a:gdLst/>
            <a:ahLst/>
            <a:cxnLst>
              <a:cxn ang="0">
                <a:pos x="2" y="11"/>
              </a:cxn>
              <a:cxn ang="0">
                <a:pos x="26" y="0"/>
              </a:cxn>
              <a:cxn ang="0">
                <a:pos x="31" y="7"/>
              </a:cxn>
              <a:cxn ang="0">
                <a:pos x="11" y="27"/>
              </a:cxn>
              <a:cxn ang="0">
                <a:pos x="2" y="18"/>
              </a:cxn>
              <a:cxn ang="0">
                <a:pos x="2" y="11"/>
              </a:cxn>
            </a:cxnLst>
            <a:rect l="0" t="0" r="r" b="b"/>
            <a:pathLst>
              <a:path w="31" h="27">
                <a:moveTo>
                  <a:pt x="2" y="11"/>
                </a:moveTo>
                <a:cubicBezTo>
                  <a:pt x="5" y="11"/>
                  <a:pt x="20" y="0"/>
                  <a:pt x="26" y="0"/>
                </a:cubicBezTo>
                <a:cubicBezTo>
                  <a:pt x="28" y="0"/>
                  <a:pt x="31" y="4"/>
                  <a:pt x="31" y="7"/>
                </a:cubicBezTo>
                <a:cubicBezTo>
                  <a:pt x="31" y="13"/>
                  <a:pt x="18" y="27"/>
                  <a:pt x="11" y="27"/>
                </a:cubicBezTo>
                <a:cubicBezTo>
                  <a:pt x="5" y="27"/>
                  <a:pt x="2" y="24"/>
                  <a:pt x="2" y="18"/>
                </a:cubicBezTo>
                <a:cubicBezTo>
                  <a:pt x="2" y="15"/>
                  <a:pt x="0" y="11"/>
                  <a:pt x="2" y="11"/>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16" name="Freeform 132" hidden="1">
            <a:extLst>
              <a:ext uri="{FF2B5EF4-FFF2-40B4-BE49-F238E27FC236}">
                <a16:creationId xmlns:a16="http://schemas.microsoft.com/office/drawing/2014/main" id="{00000000-0008-0000-0000-000074000000}"/>
              </a:ext>
            </a:extLst>
          </xdr:cNvPr>
          <xdr:cNvSpPr>
            <a:spLocks/>
          </xdr:cNvSpPr>
        </xdr:nvSpPr>
        <xdr:spPr bwMode="auto">
          <a:xfrm>
            <a:off x="6015038" y="2476500"/>
            <a:ext cx="195263" cy="374650"/>
          </a:xfrm>
          <a:custGeom>
            <a:avLst/>
            <a:gdLst/>
            <a:ahLst/>
            <a:cxnLst>
              <a:cxn ang="0">
                <a:pos x="12" y="172"/>
              </a:cxn>
              <a:cxn ang="0">
                <a:pos x="21" y="152"/>
              </a:cxn>
              <a:cxn ang="0">
                <a:pos x="25" y="147"/>
              </a:cxn>
              <a:cxn ang="0">
                <a:pos x="15" y="119"/>
              </a:cxn>
              <a:cxn ang="0">
                <a:pos x="8" y="109"/>
              </a:cxn>
              <a:cxn ang="0">
                <a:pos x="8" y="105"/>
              </a:cxn>
              <a:cxn ang="0">
                <a:pos x="8" y="106"/>
              </a:cxn>
              <a:cxn ang="0">
                <a:pos x="12" y="96"/>
              </a:cxn>
              <a:cxn ang="0">
                <a:pos x="9" y="77"/>
              </a:cxn>
              <a:cxn ang="0">
                <a:pos x="0" y="65"/>
              </a:cxn>
              <a:cxn ang="0">
                <a:pos x="8" y="47"/>
              </a:cxn>
              <a:cxn ang="0">
                <a:pos x="19" y="43"/>
              </a:cxn>
              <a:cxn ang="0">
                <a:pos x="45" y="19"/>
              </a:cxn>
              <a:cxn ang="0">
                <a:pos x="47" y="19"/>
              </a:cxn>
              <a:cxn ang="0">
                <a:pos x="50" y="24"/>
              </a:cxn>
              <a:cxn ang="0">
                <a:pos x="52" y="20"/>
              </a:cxn>
              <a:cxn ang="0">
                <a:pos x="52" y="9"/>
              </a:cxn>
              <a:cxn ang="0">
                <a:pos x="64" y="6"/>
              </a:cxn>
              <a:cxn ang="0">
                <a:pos x="78" y="6"/>
              </a:cxn>
              <a:cxn ang="0">
                <a:pos x="96" y="0"/>
              </a:cxn>
              <a:cxn ang="0">
                <a:pos x="115" y="5"/>
              </a:cxn>
              <a:cxn ang="0">
                <a:pos x="130" y="22"/>
              </a:cxn>
              <a:cxn ang="0">
                <a:pos x="100" y="58"/>
              </a:cxn>
              <a:cxn ang="0">
                <a:pos x="104" y="64"/>
              </a:cxn>
              <a:cxn ang="0">
                <a:pos x="129" y="93"/>
              </a:cxn>
              <a:cxn ang="0">
                <a:pos x="147" y="134"/>
              </a:cxn>
              <a:cxn ang="0">
                <a:pos x="142" y="156"/>
              </a:cxn>
              <a:cxn ang="0">
                <a:pos x="115" y="170"/>
              </a:cxn>
              <a:cxn ang="0">
                <a:pos x="105" y="180"/>
              </a:cxn>
              <a:cxn ang="0">
                <a:pos x="104" y="176"/>
              </a:cxn>
              <a:cxn ang="0">
                <a:pos x="104" y="181"/>
              </a:cxn>
              <a:cxn ang="0">
                <a:pos x="93" y="192"/>
              </a:cxn>
              <a:cxn ang="0">
                <a:pos x="90" y="183"/>
              </a:cxn>
              <a:cxn ang="0">
                <a:pos x="91" y="177"/>
              </a:cxn>
              <a:cxn ang="0">
                <a:pos x="88" y="170"/>
              </a:cxn>
              <a:cxn ang="0">
                <a:pos x="73" y="161"/>
              </a:cxn>
              <a:cxn ang="0">
                <a:pos x="63" y="149"/>
              </a:cxn>
              <a:cxn ang="0">
                <a:pos x="43" y="141"/>
              </a:cxn>
              <a:cxn ang="0">
                <a:pos x="41" y="135"/>
              </a:cxn>
              <a:cxn ang="0">
                <a:pos x="30" y="129"/>
              </a:cxn>
              <a:cxn ang="0">
                <a:pos x="27" y="134"/>
              </a:cxn>
              <a:cxn ang="0">
                <a:pos x="29" y="142"/>
              </a:cxn>
              <a:cxn ang="0">
                <a:pos x="16" y="171"/>
              </a:cxn>
              <a:cxn ang="0">
                <a:pos x="31" y="192"/>
              </a:cxn>
              <a:cxn ang="0">
                <a:pos x="30" y="192"/>
              </a:cxn>
              <a:cxn ang="0">
                <a:pos x="35" y="206"/>
              </a:cxn>
              <a:cxn ang="0">
                <a:pos x="73" y="243"/>
              </a:cxn>
              <a:cxn ang="0">
                <a:pos x="71" y="251"/>
              </a:cxn>
              <a:cxn ang="0">
                <a:pos x="80" y="267"/>
              </a:cxn>
              <a:cxn ang="0">
                <a:pos x="84" y="280"/>
              </a:cxn>
              <a:cxn ang="0">
                <a:pos x="78" y="280"/>
              </a:cxn>
              <a:cxn ang="0">
                <a:pos x="75" y="282"/>
              </a:cxn>
              <a:cxn ang="0">
                <a:pos x="68" y="278"/>
              </a:cxn>
              <a:cxn ang="0">
                <a:pos x="37" y="246"/>
              </a:cxn>
              <a:cxn ang="0">
                <a:pos x="27" y="214"/>
              </a:cxn>
              <a:cxn ang="0">
                <a:pos x="14" y="192"/>
              </a:cxn>
              <a:cxn ang="0">
                <a:pos x="8" y="192"/>
              </a:cxn>
              <a:cxn ang="0">
                <a:pos x="8" y="189"/>
              </a:cxn>
              <a:cxn ang="0">
                <a:pos x="10" y="172"/>
              </a:cxn>
              <a:cxn ang="0">
                <a:pos x="11" y="172"/>
              </a:cxn>
              <a:cxn ang="0">
                <a:pos x="12" y="172"/>
              </a:cxn>
            </a:cxnLst>
            <a:rect l="0" t="0" r="r" b="b"/>
            <a:pathLst>
              <a:path w="147" h="282">
                <a:moveTo>
                  <a:pt x="12" y="172"/>
                </a:moveTo>
                <a:cubicBezTo>
                  <a:pt x="16" y="165"/>
                  <a:pt x="17" y="160"/>
                  <a:pt x="21" y="152"/>
                </a:cubicBezTo>
                <a:cubicBezTo>
                  <a:pt x="22" y="150"/>
                  <a:pt x="25" y="149"/>
                  <a:pt x="25" y="147"/>
                </a:cubicBezTo>
                <a:cubicBezTo>
                  <a:pt x="25" y="143"/>
                  <a:pt x="19" y="123"/>
                  <a:pt x="15" y="119"/>
                </a:cubicBezTo>
                <a:cubicBezTo>
                  <a:pt x="12" y="116"/>
                  <a:pt x="8" y="114"/>
                  <a:pt x="8" y="109"/>
                </a:cubicBezTo>
                <a:cubicBezTo>
                  <a:pt x="8" y="108"/>
                  <a:pt x="8" y="107"/>
                  <a:pt x="8" y="105"/>
                </a:cubicBezTo>
                <a:cubicBezTo>
                  <a:pt x="8" y="106"/>
                  <a:pt x="8" y="106"/>
                  <a:pt x="8" y="106"/>
                </a:cubicBezTo>
                <a:cubicBezTo>
                  <a:pt x="9" y="105"/>
                  <a:pt x="12" y="100"/>
                  <a:pt x="12" y="96"/>
                </a:cubicBezTo>
                <a:cubicBezTo>
                  <a:pt x="12" y="91"/>
                  <a:pt x="12" y="82"/>
                  <a:pt x="9" y="77"/>
                </a:cubicBezTo>
                <a:cubicBezTo>
                  <a:pt x="6" y="73"/>
                  <a:pt x="0" y="73"/>
                  <a:pt x="0" y="65"/>
                </a:cubicBezTo>
                <a:cubicBezTo>
                  <a:pt x="0" y="57"/>
                  <a:pt x="3" y="51"/>
                  <a:pt x="8" y="47"/>
                </a:cubicBezTo>
                <a:cubicBezTo>
                  <a:pt x="10" y="44"/>
                  <a:pt x="15" y="45"/>
                  <a:pt x="19" y="43"/>
                </a:cubicBezTo>
                <a:cubicBezTo>
                  <a:pt x="29" y="36"/>
                  <a:pt x="36" y="33"/>
                  <a:pt x="45" y="19"/>
                </a:cubicBezTo>
                <a:cubicBezTo>
                  <a:pt x="47" y="19"/>
                  <a:pt x="47" y="19"/>
                  <a:pt x="47" y="19"/>
                </a:cubicBezTo>
                <a:cubicBezTo>
                  <a:pt x="47" y="23"/>
                  <a:pt x="49" y="24"/>
                  <a:pt x="50" y="24"/>
                </a:cubicBezTo>
                <a:cubicBezTo>
                  <a:pt x="51" y="24"/>
                  <a:pt x="52" y="22"/>
                  <a:pt x="52" y="20"/>
                </a:cubicBezTo>
                <a:cubicBezTo>
                  <a:pt x="52" y="16"/>
                  <a:pt x="52" y="13"/>
                  <a:pt x="52" y="9"/>
                </a:cubicBezTo>
                <a:cubicBezTo>
                  <a:pt x="52" y="9"/>
                  <a:pt x="62" y="6"/>
                  <a:pt x="64" y="6"/>
                </a:cubicBezTo>
                <a:cubicBezTo>
                  <a:pt x="78" y="6"/>
                  <a:pt x="78" y="6"/>
                  <a:pt x="78" y="6"/>
                </a:cubicBezTo>
                <a:cubicBezTo>
                  <a:pt x="84" y="9"/>
                  <a:pt x="89" y="0"/>
                  <a:pt x="96" y="0"/>
                </a:cubicBezTo>
                <a:cubicBezTo>
                  <a:pt x="103" y="0"/>
                  <a:pt x="107" y="5"/>
                  <a:pt x="115" y="5"/>
                </a:cubicBezTo>
                <a:cubicBezTo>
                  <a:pt x="115" y="16"/>
                  <a:pt x="123" y="20"/>
                  <a:pt x="130" y="22"/>
                </a:cubicBezTo>
                <a:cubicBezTo>
                  <a:pt x="121" y="36"/>
                  <a:pt x="100" y="39"/>
                  <a:pt x="100" y="58"/>
                </a:cubicBezTo>
                <a:cubicBezTo>
                  <a:pt x="100" y="62"/>
                  <a:pt x="102" y="63"/>
                  <a:pt x="104" y="64"/>
                </a:cubicBezTo>
                <a:cubicBezTo>
                  <a:pt x="114" y="74"/>
                  <a:pt x="118" y="86"/>
                  <a:pt x="129" y="93"/>
                </a:cubicBezTo>
                <a:cubicBezTo>
                  <a:pt x="140" y="100"/>
                  <a:pt x="147" y="119"/>
                  <a:pt x="147" y="134"/>
                </a:cubicBezTo>
                <a:cubicBezTo>
                  <a:pt x="147" y="144"/>
                  <a:pt x="142" y="148"/>
                  <a:pt x="142" y="156"/>
                </a:cubicBezTo>
                <a:cubicBezTo>
                  <a:pt x="127" y="160"/>
                  <a:pt x="126" y="164"/>
                  <a:pt x="115" y="170"/>
                </a:cubicBezTo>
                <a:cubicBezTo>
                  <a:pt x="109" y="173"/>
                  <a:pt x="110" y="180"/>
                  <a:pt x="105" y="180"/>
                </a:cubicBezTo>
                <a:cubicBezTo>
                  <a:pt x="104" y="180"/>
                  <a:pt x="104" y="177"/>
                  <a:pt x="104" y="176"/>
                </a:cubicBezTo>
                <a:cubicBezTo>
                  <a:pt x="104" y="179"/>
                  <a:pt x="104" y="180"/>
                  <a:pt x="104" y="181"/>
                </a:cubicBezTo>
                <a:cubicBezTo>
                  <a:pt x="104" y="185"/>
                  <a:pt x="95" y="192"/>
                  <a:pt x="93" y="192"/>
                </a:cubicBezTo>
                <a:cubicBezTo>
                  <a:pt x="91" y="192"/>
                  <a:pt x="90" y="186"/>
                  <a:pt x="90" y="183"/>
                </a:cubicBezTo>
                <a:cubicBezTo>
                  <a:pt x="90" y="179"/>
                  <a:pt x="90" y="178"/>
                  <a:pt x="91" y="177"/>
                </a:cubicBezTo>
                <a:cubicBezTo>
                  <a:pt x="90" y="176"/>
                  <a:pt x="89" y="172"/>
                  <a:pt x="88" y="170"/>
                </a:cubicBezTo>
                <a:cubicBezTo>
                  <a:pt x="82" y="170"/>
                  <a:pt x="73" y="168"/>
                  <a:pt x="73" y="161"/>
                </a:cubicBezTo>
                <a:cubicBezTo>
                  <a:pt x="63" y="161"/>
                  <a:pt x="68" y="155"/>
                  <a:pt x="63" y="149"/>
                </a:cubicBezTo>
                <a:cubicBezTo>
                  <a:pt x="56" y="143"/>
                  <a:pt x="50" y="143"/>
                  <a:pt x="43" y="141"/>
                </a:cubicBezTo>
                <a:cubicBezTo>
                  <a:pt x="42" y="141"/>
                  <a:pt x="41" y="135"/>
                  <a:pt x="41" y="135"/>
                </a:cubicBezTo>
                <a:cubicBezTo>
                  <a:pt x="40" y="130"/>
                  <a:pt x="34" y="129"/>
                  <a:pt x="30" y="129"/>
                </a:cubicBezTo>
                <a:cubicBezTo>
                  <a:pt x="26" y="129"/>
                  <a:pt x="27" y="132"/>
                  <a:pt x="27" y="134"/>
                </a:cubicBezTo>
                <a:cubicBezTo>
                  <a:pt x="27" y="138"/>
                  <a:pt x="29" y="139"/>
                  <a:pt x="29" y="142"/>
                </a:cubicBezTo>
                <a:cubicBezTo>
                  <a:pt x="29" y="156"/>
                  <a:pt x="16" y="159"/>
                  <a:pt x="16" y="171"/>
                </a:cubicBezTo>
                <a:cubicBezTo>
                  <a:pt x="16" y="185"/>
                  <a:pt x="31" y="179"/>
                  <a:pt x="31" y="192"/>
                </a:cubicBezTo>
                <a:cubicBezTo>
                  <a:pt x="30" y="192"/>
                  <a:pt x="30" y="192"/>
                  <a:pt x="30" y="192"/>
                </a:cubicBezTo>
                <a:cubicBezTo>
                  <a:pt x="32" y="195"/>
                  <a:pt x="32" y="203"/>
                  <a:pt x="35" y="206"/>
                </a:cubicBezTo>
                <a:cubicBezTo>
                  <a:pt x="47" y="218"/>
                  <a:pt x="73" y="221"/>
                  <a:pt x="73" y="243"/>
                </a:cubicBezTo>
                <a:cubicBezTo>
                  <a:pt x="73" y="247"/>
                  <a:pt x="71" y="247"/>
                  <a:pt x="71" y="251"/>
                </a:cubicBezTo>
                <a:cubicBezTo>
                  <a:pt x="71" y="259"/>
                  <a:pt x="78" y="262"/>
                  <a:pt x="80" y="267"/>
                </a:cubicBezTo>
                <a:cubicBezTo>
                  <a:pt x="82" y="273"/>
                  <a:pt x="82" y="275"/>
                  <a:pt x="84" y="280"/>
                </a:cubicBezTo>
                <a:cubicBezTo>
                  <a:pt x="80" y="280"/>
                  <a:pt x="80" y="280"/>
                  <a:pt x="78" y="280"/>
                </a:cubicBezTo>
                <a:cubicBezTo>
                  <a:pt x="77" y="280"/>
                  <a:pt x="76" y="282"/>
                  <a:pt x="75" y="282"/>
                </a:cubicBezTo>
                <a:cubicBezTo>
                  <a:pt x="71" y="282"/>
                  <a:pt x="70" y="279"/>
                  <a:pt x="68" y="278"/>
                </a:cubicBezTo>
                <a:cubicBezTo>
                  <a:pt x="54" y="274"/>
                  <a:pt x="41" y="261"/>
                  <a:pt x="37" y="246"/>
                </a:cubicBezTo>
                <a:cubicBezTo>
                  <a:pt x="33" y="233"/>
                  <a:pt x="32" y="224"/>
                  <a:pt x="27" y="214"/>
                </a:cubicBezTo>
                <a:cubicBezTo>
                  <a:pt x="24" y="208"/>
                  <a:pt x="21" y="192"/>
                  <a:pt x="14" y="192"/>
                </a:cubicBezTo>
                <a:cubicBezTo>
                  <a:pt x="9" y="192"/>
                  <a:pt x="12" y="194"/>
                  <a:pt x="8" y="192"/>
                </a:cubicBezTo>
                <a:cubicBezTo>
                  <a:pt x="7" y="192"/>
                  <a:pt x="8" y="190"/>
                  <a:pt x="8" y="189"/>
                </a:cubicBezTo>
                <a:cubicBezTo>
                  <a:pt x="8" y="183"/>
                  <a:pt x="9" y="179"/>
                  <a:pt x="10" y="172"/>
                </a:cubicBezTo>
                <a:cubicBezTo>
                  <a:pt x="11" y="172"/>
                  <a:pt x="11" y="172"/>
                  <a:pt x="11" y="172"/>
                </a:cubicBezTo>
                <a:lnTo>
                  <a:pt x="12" y="172"/>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17" name="Freeform 133" hidden="1">
            <a:extLst>
              <a:ext uri="{FF2B5EF4-FFF2-40B4-BE49-F238E27FC236}">
                <a16:creationId xmlns:a16="http://schemas.microsoft.com/office/drawing/2014/main" id="{00000000-0008-0000-0000-000075000000}"/>
              </a:ext>
            </a:extLst>
          </xdr:cNvPr>
          <xdr:cNvSpPr>
            <a:spLocks/>
          </xdr:cNvSpPr>
        </xdr:nvSpPr>
        <xdr:spPr bwMode="auto">
          <a:xfrm>
            <a:off x="6142038" y="2898775"/>
            <a:ext cx="26988" cy="25400"/>
          </a:xfrm>
          <a:custGeom>
            <a:avLst/>
            <a:gdLst/>
            <a:ahLst/>
            <a:cxnLst>
              <a:cxn ang="0">
                <a:pos x="12" y="17"/>
              </a:cxn>
              <a:cxn ang="0">
                <a:pos x="9" y="11"/>
              </a:cxn>
              <a:cxn ang="0">
                <a:pos x="0" y="6"/>
              </a:cxn>
              <a:cxn ang="0">
                <a:pos x="9" y="0"/>
              </a:cxn>
              <a:cxn ang="0">
                <a:pos x="20" y="15"/>
              </a:cxn>
              <a:cxn ang="0">
                <a:pos x="21" y="19"/>
              </a:cxn>
              <a:cxn ang="0">
                <a:pos x="17" y="19"/>
              </a:cxn>
              <a:cxn ang="0">
                <a:pos x="12" y="17"/>
              </a:cxn>
            </a:cxnLst>
            <a:rect l="0" t="0" r="r" b="b"/>
            <a:pathLst>
              <a:path w="21" h="19">
                <a:moveTo>
                  <a:pt x="12" y="17"/>
                </a:moveTo>
                <a:cubicBezTo>
                  <a:pt x="11" y="17"/>
                  <a:pt x="9" y="12"/>
                  <a:pt x="9" y="11"/>
                </a:cubicBezTo>
                <a:cubicBezTo>
                  <a:pt x="7" y="7"/>
                  <a:pt x="0" y="9"/>
                  <a:pt x="0" y="6"/>
                </a:cubicBezTo>
                <a:cubicBezTo>
                  <a:pt x="0" y="3"/>
                  <a:pt x="6" y="0"/>
                  <a:pt x="9" y="0"/>
                </a:cubicBezTo>
                <a:cubicBezTo>
                  <a:pt x="11" y="7"/>
                  <a:pt x="14" y="15"/>
                  <a:pt x="20" y="15"/>
                </a:cubicBezTo>
                <a:cubicBezTo>
                  <a:pt x="20" y="16"/>
                  <a:pt x="20" y="18"/>
                  <a:pt x="21" y="19"/>
                </a:cubicBezTo>
                <a:cubicBezTo>
                  <a:pt x="20" y="19"/>
                  <a:pt x="18" y="19"/>
                  <a:pt x="17" y="19"/>
                </a:cubicBezTo>
                <a:cubicBezTo>
                  <a:pt x="15" y="19"/>
                  <a:pt x="14" y="17"/>
                  <a:pt x="12" y="17"/>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18" name="Freeform 134" hidden="1">
            <a:extLst>
              <a:ext uri="{FF2B5EF4-FFF2-40B4-BE49-F238E27FC236}">
                <a16:creationId xmlns:a16="http://schemas.microsoft.com/office/drawing/2014/main" id="{00000000-0008-0000-0000-000076000000}"/>
              </a:ext>
            </a:extLst>
          </xdr:cNvPr>
          <xdr:cNvSpPr>
            <a:spLocks/>
          </xdr:cNvSpPr>
        </xdr:nvSpPr>
        <xdr:spPr bwMode="auto">
          <a:xfrm>
            <a:off x="6183313" y="2917825"/>
            <a:ext cx="11113" cy="11113"/>
          </a:xfrm>
          <a:custGeom>
            <a:avLst/>
            <a:gdLst/>
            <a:ahLst/>
            <a:cxnLst>
              <a:cxn ang="0">
                <a:pos x="1" y="0"/>
              </a:cxn>
              <a:cxn ang="0">
                <a:pos x="5" y="0"/>
              </a:cxn>
              <a:cxn ang="0">
                <a:pos x="9" y="3"/>
              </a:cxn>
              <a:cxn ang="0">
                <a:pos x="4" y="8"/>
              </a:cxn>
              <a:cxn ang="0">
                <a:pos x="1" y="3"/>
              </a:cxn>
              <a:cxn ang="0">
                <a:pos x="1" y="0"/>
              </a:cxn>
            </a:cxnLst>
            <a:rect l="0" t="0" r="r" b="b"/>
            <a:pathLst>
              <a:path w="9" h="8">
                <a:moveTo>
                  <a:pt x="1" y="0"/>
                </a:moveTo>
                <a:cubicBezTo>
                  <a:pt x="2" y="0"/>
                  <a:pt x="4" y="0"/>
                  <a:pt x="5" y="0"/>
                </a:cubicBezTo>
                <a:cubicBezTo>
                  <a:pt x="6" y="0"/>
                  <a:pt x="8" y="2"/>
                  <a:pt x="9" y="3"/>
                </a:cubicBezTo>
                <a:cubicBezTo>
                  <a:pt x="9" y="5"/>
                  <a:pt x="7" y="8"/>
                  <a:pt x="4" y="8"/>
                </a:cubicBezTo>
                <a:cubicBezTo>
                  <a:pt x="1" y="8"/>
                  <a:pt x="1" y="5"/>
                  <a:pt x="1" y="3"/>
                </a:cubicBezTo>
                <a:cubicBezTo>
                  <a:pt x="1" y="2"/>
                  <a:pt x="0" y="0"/>
                  <a:pt x="1" y="0"/>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19" name="Freeform 135" hidden="1">
            <a:extLst>
              <a:ext uri="{FF2B5EF4-FFF2-40B4-BE49-F238E27FC236}">
                <a16:creationId xmlns:a16="http://schemas.microsoft.com/office/drawing/2014/main" id="{00000000-0008-0000-0000-000077000000}"/>
              </a:ext>
            </a:extLst>
          </xdr:cNvPr>
          <xdr:cNvSpPr>
            <a:spLocks/>
          </xdr:cNvSpPr>
        </xdr:nvSpPr>
        <xdr:spPr bwMode="auto">
          <a:xfrm>
            <a:off x="6035675" y="2892425"/>
            <a:ext cx="9525" cy="15875"/>
          </a:xfrm>
          <a:custGeom>
            <a:avLst/>
            <a:gdLst/>
            <a:ahLst/>
            <a:cxnLst>
              <a:cxn ang="0">
                <a:pos x="1" y="0"/>
              </a:cxn>
              <a:cxn ang="0">
                <a:pos x="8" y="12"/>
              </a:cxn>
              <a:cxn ang="0">
                <a:pos x="0" y="2"/>
              </a:cxn>
              <a:cxn ang="0">
                <a:pos x="0" y="0"/>
              </a:cxn>
              <a:cxn ang="0">
                <a:pos x="3" y="0"/>
              </a:cxn>
              <a:cxn ang="0">
                <a:pos x="3" y="2"/>
              </a:cxn>
              <a:cxn ang="0">
                <a:pos x="1" y="0"/>
              </a:cxn>
            </a:cxnLst>
            <a:rect l="0" t="0" r="r" b="b"/>
            <a:pathLst>
              <a:path w="8" h="12">
                <a:moveTo>
                  <a:pt x="1" y="0"/>
                </a:moveTo>
                <a:cubicBezTo>
                  <a:pt x="5" y="4"/>
                  <a:pt x="8" y="7"/>
                  <a:pt x="8" y="12"/>
                </a:cubicBezTo>
                <a:cubicBezTo>
                  <a:pt x="5" y="12"/>
                  <a:pt x="0" y="5"/>
                  <a:pt x="0" y="2"/>
                </a:cubicBezTo>
                <a:cubicBezTo>
                  <a:pt x="0" y="1"/>
                  <a:pt x="0" y="1"/>
                  <a:pt x="0" y="0"/>
                </a:cubicBezTo>
                <a:cubicBezTo>
                  <a:pt x="3" y="0"/>
                  <a:pt x="3" y="0"/>
                  <a:pt x="3" y="0"/>
                </a:cubicBezTo>
                <a:cubicBezTo>
                  <a:pt x="3" y="1"/>
                  <a:pt x="3" y="2"/>
                  <a:pt x="3" y="2"/>
                </a:cubicBezTo>
                <a:lnTo>
                  <a:pt x="1" y="0"/>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20" name="Freeform 136" hidden="1">
            <a:extLst>
              <a:ext uri="{FF2B5EF4-FFF2-40B4-BE49-F238E27FC236}">
                <a16:creationId xmlns:a16="http://schemas.microsoft.com/office/drawing/2014/main" id="{00000000-0008-0000-0000-000078000000}"/>
              </a:ext>
            </a:extLst>
          </xdr:cNvPr>
          <xdr:cNvSpPr>
            <a:spLocks/>
          </xdr:cNvSpPr>
        </xdr:nvSpPr>
        <xdr:spPr bwMode="auto">
          <a:xfrm>
            <a:off x="6013450" y="2855913"/>
            <a:ext cx="15875" cy="15875"/>
          </a:xfrm>
          <a:custGeom>
            <a:avLst/>
            <a:gdLst/>
            <a:ahLst/>
            <a:cxnLst>
              <a:cxn ang="0">
                <a:pos x="2" y="0"/>
              </a:cxn>
              <a:cxn ang="0">
                <a:pos x="8" y="11"/>
              </a:cxn>
              <a:cxn ang="0">
                <a:pos x="0" y="1"/>
              </a:cxn>
              <a:cxn ang="0">
                <a:pos x="0" y="1"/>
              </a:cxn>
              <a:cxn ang="0">
                <a:pos x="2" y="0"/>
              </a:cxn>
            </a:cxnLst>
            <a:rect l="0" t="0" r="r" b="b"/>
            <a:pathLst>
              <a:path w="12" h="11">
                <a:moveTo>
                  <a:pt x="2" y="0"/>
                </a:moveTo>
                <a:cubicBezTo>
                  <a:pt x="5" y="2"/>
                  <a:pt x="12" y="11"/>
                  <a:pt x="8" y="11"/>
                </a:cubicBezTo>
                <a:cubicBezTo>
                  <a:pt x="6" y="11"/>
                  <a:pt x="1" y="4"/>
                  <a:pt x="0" y="1"/>
                </a:cubicBezTo>
                <a:cubicBezTo>
                  <a:pt x="0" y="1"/>
                  <a:pt x="0" y="1"/>
                  <a:pt x="0" y="1"/>
                </a:cubicBezTo>
                <a:lnTo>
                  <a:pt x="2" y="0"/>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21" name="Freeform 137" hidden="1">
            <a:extLst>
              <a:ext uri="{FF2B5EF4-FFF2-40B4-BE49-F238E27FC236}">
                <a16:creationId xmlns:a16="http://schemas.microsoft.com/office/drawing/2014/main" id="{00000000-0008-0000-0000-000079000000}"/>
              </a:ext>
            </a:extLst>
          </xdr:cNvPr>
          <xdr:cNvSpPr>
            <a:spLocks/>
          </xdr:cNvSpPr>
        </xdr:nvSpPr>
        <xdr:spPr bwMode="auto">
          <a:xfrm>
            <a:off x="6548438" y="2284413"/>
            <a:ext cx="41275" cy="49213"/>
          </a:xfrm>
          <a:custGeom>
            <a:avLst/>
            <a:gdLst/>
            <a:ahLst/>
            <a:cxnLst>
              <a:cxn ang="0">
                <a:pos x="12" y="22"/>
              </a:cxn>
              <a:cxn ang="0">
                <a:pos x="14" y="16"/>
              </a:cxn>
              <a:cxn ang="0">
                <a:pos x="10" y="10"/>
              </a:cxn>
              <a:cxn ang="0">
                <a:pos x="10" y="14"/>
              </a:cxn>
              <a:cxn ang="0">
                <a:pos x="5" y="16"/>
              </a:cxn>
              <a:cxn ang="0">
                <a:pos x="0" y="11"/>
              </a:cxn>
              <a:cxn ang="0">
                <a:pos x="14" y="0"/>
              </a:cxn>
              <a:cxn ang="0">
                <a:pos x="26" y="3"/>
              </a:cxn>
              <a:cxn ang="0">
                <a:pos x="26" y="8"/>
              </a:cxn>
              <a:cxn ang="0">
                <a:pos x="30" y="11"/>
              </a:cxn>
              <a:cxn ang="0">
                <a:pos x="30" y="16"/>
              </a:cxn>
              <a:cxn ang="0">
                <a:pos x="26" y="16"/>
              </a:cxn>
              <a:cxn ang="0">
                <a:pos x="15" y="37"/>
              </a:cxn>
              <a:cxn ang="0">
                <a:pos x="14" y="33"/>
              </a:cxn>
              <a:cxn ang="0">
                <a:pos x="14" y="36"/>
              </a:cxn>
              <a:cxn ang="0">
                <a:pos x="7" y="29"/>
              </a:cxn>
              <a:cxn ang="0">
                <a:pos x="12" y="22"/>
              </a:cxn>
            </a:cxnLst>
            <a:rect l="0" t="0" r="r" b="b"/>
            <a:pathLst>
              <a:path w="30" h="37">
                <a:moveTo>
                  <a:pt x="12" y="22"/>
                </a:moveTo>
                <a:cubicBezTo>
                  <a:pt x="14" y="16"/>
                  <a:pt x="14" y="16"/>
                  <a:pt x="14" y="16"/>
                </a:cubicBezTo>
                <a:cubicBezTo>
                  <a:pt x="11" y="15"/>
                  <a:pt x="11" y="12"/>
                  <a:pt x="10" y="10"/>
                </a:cubicBezTo>
                <a:cubicBezTo>
                  <a:pt x="10" y="11"/>
                  <a:pt x="9" y="13"/>
                  <a:pt x="10" y="14"/>
                </a:cubicBezTo>
                <a:cubicBezTo>
                  <a:pt x="8" y="14"/>
                  <a:pt x="6" y="16"/>
                  <a:pt x="5" y="16"/>
                </a:cubicBezTo>
                <a:cubicBezTo>
                  <a:pt x="3" y="16"/>
                  <a:pt x="0" y="13"/>
                  <a:pt x="0" y="11"/>
                </a:cubicBezTo>
                <a:cubicBezTo>
                  <a:pt x="0" y="8"/>
                  <a:pt x="13" y="0"/>
                  <a:pt x="14" y="0"/>
                </a:cubicBezTo>
                <a:cubicBezTo>
                  <a:pt x="18" y="0"/>
                  <a:pt x="20" y="3"/>
                  <a:pt x="26" y="3"/>
                </a:cubicBezTo>
                <a:cubicBezTo>
                  <a:pt x="26" y="5"/>
                  <a:pt x="25" y="8"/>
                  <a:pt x="26" y="8"/>
                </a:cubicBezTo>
                <a:cubicBezTo>
                  <a:pt x="30" y="11"/>
                  <a:pt x="30" y="11"/>
                  <a:pt x="30" y="11"/>
                </a:cubicBezTo>
                <a:cubicBezTo>
                  <a:pt x="30" y="13"/>
                  <a:pt x="29" y="14"/>
                  <a:pt x="30" y="16"/>
                </a:cubicBezTo>
                <a:cubicBezTo>
                  <a:pt x="29" y="16"/>
                  <a:pt x="27" y="16"/>
                  <a:pt x="26" y="16"/>
                </a:cubicBezTo>
                <a:cubicBezTo>
                  <a:pt x="25" y="24"/>
                  <a:pt x="21" y="37"/>
                  <a:pt x="15" y="37"/>
                </a:cubicBezTo>
                <a:cubicBezTo>
                  <a:pt x="14" y="37"/>
                  <a:pt x="14" y="35"/>
                  <a:pt x="14" y="33"/>
                </a:cubicBezTo>
                <a:cubicBezTo>
                  <a:pt x="14" y="36"/>
                  <a:pt x="14" y="36"/>
                  <a:pt x="14" y="36"/>
                </a:cubicBezTo>
                <a:cubicBezTo>
                  <a:pt x="10" y="36"/>
                  <a:pt x="7" y="31"/>
                  <a:pt x="7" y="29"/>
                </a:cubicBezTo>
                <a:cubicBezTo>
                  <a:pt x="7" y="28"/>
                  <a:pt x="12" y="22"/>
                  <a:pt x="12" y="22"/>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22" name="Freeform 138" hidden="1">
            <a:extLst>
              <a:ext uri="{FF2B5EF4-FFF2-40B4-BE49-F238E27FC236}">
                <a16:creationId xmlns:a16="http://schemas.microsoft.com/office/drawing/2014/main" id="{00000000-0008-0000-0000-00007A000000}"/>
              </a:ext>
            </a:extLst>
          </xdr:cNvPr>
          <xdr:cNvSpPr>
            <a:spLocks/>
          </xdr:cNvSpPr>
        </xdr:nvSpPr>
        <xdr:spPr bwMode="auto">
          <a:xfrm>
            <a:off x="6596063" y="2271713"/>
            <a:ext cx="42863" cy="30163"/>
          </a:xfrm>
          <a:custGeom>
            <a:avLst/>
            <a:gdLst/>
            <a:ahLst/>
            <a:cxnLst>
              <a:cxn ang="0">
                <a:pos x="23" y="15"/>
              </a:cxn>
              <a:cxn ang="0">
                <a:pos x="17" y="12"/>
              </a:cxn>
              <a:cxn ang="0">
                <a:pos x="6" y="23"/>
              </a:cxn>
              <a:cxn ang="0">
                <a:pos x="3" y="17"/>
              </a:cxn>
              <a:cxn ang="0">
                <a:pos x="0" y="12"/>
              </a:cxn>
              <a:cxn ang="0">
                <a:pos x="8" y="5"/>
              </a:cxn>
              <a:cxn ang="0">
                <a:pos x="23" y="0"/>
              </a:cxn>
              <a:cxn ang="0">
                <a:pos x="23" y="15"/>
              </a:cxn>
            </a:cxnLst>
            <a:rect l="0" t="0" r="r" b="b"/>
            <a:pathLst>
              <a:path w="33" h="23">
                <a:moveTo>
                  <a:pt x="23" y="15"/>
                </a:moveTo>
                <a:cubicBezTo>
                  <a:pt x="20" y="15"/>
                  <a:pt x="18" y="13"/>
                  <a:pt x="17" y="12"/>
                </a:cubicBezTo>
                <a:cubicBezTo>
                  <a:pt x="13" y="16"/>
                  <a:pt x="12" y="23"/>
                  <a:pt x="6" y="23"/>
                </a:cubicBezTo>
                <a:cubicBezTo>
                  <a:pt x="4" y="23"/>
                  <a:pt x="3" y="19"/>
                  <a:pt x="3" y="17"/>
                </a:cubicBezTo>
                <a:cubicBezTo>
                  <a:pt x="1" y="15"/>
                  <a:pt x="0" y="14"/>
                  <a:pt x="0" y="12"/>
                </a:cubicBezTo>
                <a:cubicBezTo>
                  <a:pt x="0" y="12"/>
                  <a:pt x="8" y="6"/>
                  <a:pt x="8" y="5"/>
                </a:cubicBezTo>
                <a:cubicBezTo>
                  <a:pt x="16" y="7"/>
                  <a:pt x="17" y="0"/>
                  <a:pt x="23" y="0"/>
                </a:cubicBezTo>
                <a:cubicBezTo>
                  <a:pt x="33" y="0"/>
                  <a:pt x="28" y="15"/>
                  <a:pt x="23" y="15"/>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23" name="Freeform 139" hidden="1">
            <a:extLst>
              <a:ext uri="{FF2B5EF4-FFF2-40B4-BE49-F238E27FC236}">
                <a16:creationId xmlns:a16="http://schemas.microsoft.com/office/drawing/2014/main" id="{00000000-0008-0000-0000-00007B000000}"/>
              </a:ext>
            </a:extLst>
          </xdr:cNvPr>
          <xdr:cNvSpPr>
            <a:spLocks/>
          </xdr:cNvSpPr>
        </xdr:nvSpPr>
        <xdr:spPr bwMode="auto">
          <a:xfrm>
            <a:off x="6572250" y="2136775"/>
            <a:ext cx="185738" cy="153988"/>
          </a:xfrm>
          <a:custGeom>
            <a:avLst/>
            <a:gdLst/>
            <a:ahLst/>
            <a:cxnLst>
              <a:cxn ang="0">
                <a:pos x="55" y="110"/>
              </a:cxn>
              <a:cxn ang="0">
                <a:pos x="55" y="107"/>
              </a:cxn>
              <a:cxn ang="0">
                <a:pos x="56" y="99"/>
              </a:cxn>
              <a:cxn ang="0">
                <a:pos x="43" y="95"/>
              </a:cxn>
              <a:cxn ang="0">
                <a:pos x="39" y="99"/>
              </a:cxn>
              <a:cxn ang="0">
                <a:pos x="29" y="100"/>
              </a:cxn>
              <a:cxn ang="0">
                <a:pos x="6" y="106"/>
              </a:cxn>
              <a:cxn ang="0">
                <a:pos x="0" y="104"/>
              </a:cxn>
              <a:cxn ang="0">
                <a:pos x="5" y="101"/>
              </a:cxn>
              <a:cxn ang="0">
                <a:pos x="30" y="84"/>
              </a:cxn>
              <a:cxn ang="0">
                <a:pos x="57" y="84"/>
              </a:cxn>
              <a:cxn ang="0">
                <a:pos x="72" y="70"/>
              </a:cxn>
              <a:cxn ang="0">
                <a:pos x="79" y="59"/>
              </a:cxn>
              <a:cxn ang="0">
                <a:pos x="77" y="64"/>
              </a:cxn>
              <a:cxn ang="0">
                <a:pos x="79" y="66"/>
              </a:cxn>
              <a:cxn ang="0">
                <a:pos x="92" y="60"/>
              </a:cxn>
              <a:cxn ang="0">
                <a:pos x="116" y="25"/>
              </a:cxn>
              <a:cxn ang="0">
                <a:pos x="114" y="19"/>
              </a:cxn>
              <a:cxn ang="0">
                <a:pos x="125" y="3"/>
              </a:cxn>
              <a:cxn ang="0">
                <a:pos x="130" y="4"/>
              </a:cxn>
              <a:cxn ang="0">
                <a:pos x="129" y="4"/>
              </a:cxn>
              <a:cxn ang="0">
                <a:pos x="128" y="0"/>
              </a:cxn>
              <a:cxn ang="0">
                <a:pos x="133" y="2"/>
              </a:cxn>
              <a:cxn ang="0">
                <a:pos x="134" y="11"/>
              </a:cxn>
              <a:cxn ang="0">
                <a:pos x="140" y="26"/>
              </a:cxn>
              <a:cxn ang="0">
                <a:pos x="134" y="40"/>
              </a:cxn>
              <a:cxn ang="0">
                <a:pos x="134" y="43"/>
              </a:cxn>
              <a:cxn ang="0">
                <a:pos x="130" y="44"/>
              </a:cxn>
              <a:cxn ang="0">
                <a:pos x="127" y="63"/>
              </a:cxn>
              <a:cxn ang="0">
                <a:pos x="122" y="76"/>
              </a:cxn>
              <a:cxn ang="0">
                <a:pos x="125" y="84"/>
              </a:cxn>
              <a:cxn ang="0">
                <a:pos x="114" y="93"/>
              </a:cxn>
              <a:cxn ang="0">
                <a:pos x="114" y="86"/>
              </a:cxn>
              <a:cxn ang="0">
                <a:pos x="102" y="96"/>
              </a:cxn>
              <a:cxn ang="0">
                <a:pos x="100" y="94"/>
              </a:cxn>
              <a:cxn ang="0">
                <a:pos x="96" y="94"/>
              </a:cxn>
              <a:cxn ang="0">
                <a:pos x="87" y="100"/>
              </a:cxn>
              <a:cxn ang="0">
                <a:pos x="74" y="92"/>
              </a:cxn>
              <a:cxn ang="0">
                <a:pos x="72" y="96"/>
              </a:cxn>
              <a:cxn ang="0">
                <a:pos x="76" y="103"/>
              </a:cxn>
              <a:cxn ang="0">
                <a:pos x="72" y="103"/>
              </a:cxn>
              <a:cxn ang="0">
                <a:pos x="61" y="115"/>
              </a:cxn>
              <a:cxn ang="0">
                <a:pos x="55" y="110"/>
              </a:cxn>
            </a:cxnLst>
            <a:rect l="0" t="0" r="r" b="b"/>
            <a:pathLst>
              <a:path w="140" h="115">
                <a:moveTo>
                  <a:pt x="55" y="110"/>
                </a:moveTo>
                <a:cubicBezTo>
                  <a:pt x="53" y="110"/>
                  <a:pt x="55" y="108"/>
                  <a:pt x="55" y="107"/>
                </a:cubicBezTo>
                <a:cubicBezTo>
                  <a:pt x="55" y="104"/>
                  <a:pt x="56" y="101"/>
                  <a:pt x="56" y="99"/>
                </a:cubicBezTo>
                <a:cubicBezTo>
                  <a:pt x="51" y="98"/>
                  <a:pt x="48" y="95"/>
                  <a:pt x="43" y="95"/>
                </a:cubicBezTo>
                <a:cubicBezTo>
                  <a:pt x="40" y="95"/>
                  <a:pt x="40" y="98"/>
                  <a:pt x="39" y="99"/>
                </a:cubicBezTo>
                <a:cubicBezTo>
                  <a:pt x="35" y="100"/>
                  <a:pt x="32" y="98"/>
                  <a:pt x="29" y="100"/>
                </a:cubicBezTo>
                <a:cubicBezTo>
                  <a:pt x="23" y="103"/>
                  <a:pt x="15" y="106"/>
                  <a:pt x="6" y="106"/>
                </a:cubicBezTo>
                <a:cubicBezTo>
                  <a:pt x="3" y="106"/>
                  <a:pt x="0" y="106"/>
                  <a:pt x="0" y="104"/>
                </a:cubicBezTo>
                <a:cubicBezTo>
                  <a:pt x="0" y="103"/>
                  <a:pt x="4" y="102"/>
                  <a:pt x="5" y="101"/>
                </a:cubicBezTo>
                <a:cubicBezTo>
                  <a:pt x="15" y="95"/>
                  <a:pt x="19" y="84"/>
                  <a:pt x="30" y="84"/>
                </a:cubicBezTo>
                <a:cubicBezTo>
                  <a:pt x="43" y="84"/>
                  <a:pt x="47" y="84"/>
                  <a:pt x="57" y="84"/>
                </a:cubicBezTo>
                <a:cubicBezTo>
                  <a:pt x="65" y="84"/>
                  <a:pt x="68" y="70"/>
                  <a:pt x="72" y="70"/>
                </a:cubicBezTo>
                <a:cubicBezTo>
                  <a:pt x="72" y="70"/>
                  <a:pt x="78" y="60"/>
                  <a:pt x="79" y="59"/>
                </a:cubicBezTo>
                <a:cubicBezTo>
                  <a:pt x="78" y="61"/>
                  <a:pt x="77" y="62"/>
                  <a:pt x="77" y="64"/>
                </a:cubicBezTo>
                <a:cubicBezTo>
                  <a:pt x="77" y="65"/>
                  <a:pt x="78" y="66"/>
                  <a:pt x="79" y="66"/>
                </a:cubicBezTo>
                <a:cubicBezTo>
                  <a:pt x="86" y="66"/>
                  <a:pt x="87" y="62"/>
                  <a:pt x="92" y="60"/>
                </a:cubicBezTo>
                <a:cubicBezTo>
                  <a:pt x="101" y="57"/>
                  <a:pt x="116" y="39"/>
                  <a:pt x="116" y="25"/>
                </a:cubicBezTo>
                <a:cubicBezTo>
                  <a:pt x="116" y="22"/>
                  <a:pt x="114" y="22"/>
                  <a:pt x="114" y="19"/>
                </a:cubicBezTo>
                <a:cubicBezTo>
                  <a:pt x="114" y="14"/>
                  <a:pt x="119" y="3"/>
                  <a:pt x="125" y="3"/>
                </a:cubicBezTo>
                <a:cubicBezTo>
                  <a:pt x="125" y="3"/>
                  <a:pt x="125" y="9"/>
                  <a:pt x="130" y="4"/>
                </a:cubicBezTo>
                <a:cubicBezTo>
                  <a:pt x="130" y="4"/>
                  <a:pt x="129" y="4"/>
                  <a:pt x="129" y="4"/>
                </a:cubicBezTo>
                <a:cubicBezTo>
                  <a:pt x="128" y="4"/>
                  <a:pt x="127" y="0"/>
                  <a:pt x="128" y="0"/>
                </a:cubicBezTo>
                <a:cubicBezTo>
                  <a:pt x="131" y="0"/>
                  <a:pt x="133" y="1"/>
                  <a:pt x="133" y="2"/>
                </a:cubicBezTo>
                <a:cubicBezTo>
                  <a:pt x="135" y="5"/>
                  <a:pt x="134" y="8"/>
                  <a:pt x="134" y="11"/>
                </a:cubicBezTo>
                <a:cubicBezTo>
                  <a:pt x="134" y="17"/>
                  <a:pt x="140" y="20"/>
                  <a:pt x="140" y="26"/>
                </a:cubicBezTo>
                <a:cubicBezTo>
                  <a:pt x="140" y="33"/>
                  <a:pt x="134" y="34"/>
                  <a:pt x="134" y="40"/>
                </a:cubicBezTo>
                <a:cubicBezTo>
                  <a:pt x="134" y="41"/>
                  <a:pt x="134" y="42"/>
                  <a:pt x="134" y="43"/>
                </a:cubicBezTo>
                <a:cubicBezTo>
                  <a:pt x="133" y="44"/>
                  <a:pt x="132" y="43"/>
                  <a:pt x="130" y="44"/>
                </a:cubicBezTo>
                <a:cubicBezTo>
                  <a:pt x="126" y="45"/>
                  <a:pt x="127" y="59"/>
                  <a:pt x="127" y="63"/>
                </a:cubicBezTo>
                <a:cubicBezTo>
                  <a:pt x="127" y="67"/>
                  <a:pt x="122" y="70"/>
                  <a:pt x="122" y="76"/>
                </a:cubicBezTo>
                <a:cubicBezTo>
                  <a:pt x="122" y="80"/>
                  <a:pt x="124" y="81"/>
                  <a:pt x="125" y="84"/>
                </a:cubicBezTo>
                <a:cubicBezTo>
                  <a:pt x="119" y="87"/>
                  <a:pt x="119" y="91"/>
                  <a:pt x="114" y="93"/>
                </a:cubicBezTo>
                <a:cubicBezTo>
                  <a:pt x="112" y="89"/>
                  <a:pt x="114" y="89"/>
                  <a:pt x="114" y="86"/>
                </a:cubicBezTo>
                <a:cubicBezTo>
                  <a:pt x="108" y="90"/>
                  <a:pt x="104" y="90"/>
                  <a:pt x="102" y="96"/>
                </a:cubicBezTo>
                <a:cubicBezTo>
                  <a:pt x="102" y="96"/>
                  <a:pt x="100" y="95"/>
                  <a:pt x="100" y="94"/>
                </a:cubicBezTo>
                <a:cubicBezTo>
                  <a:pt x="96" y="94"/>
                  <a:pt x="96" y="94"/>
                  <a:pt x="96" y="94"/>
                </a:cubicBezTo>
                <a:cubicBezTo>
                  <a:pt x="93" y="97"/>
                  <a:pt x="91" y="100"/>
                  <a:pt x="87" y="100"/>
                </a:cubicBezTo>
                <a:cubicBezTo>
                  <a:pt x="78" y="100"/>
                  <a:pt x="78" y="92"/>
                  <a:pt x="74" y="92"/>
                </a:cubicBezTo>
                <a:cubicBezTo>
                  <a:pt x="73" y="92"/>
                  <a:pt x="72" y="94"/>
                  <a:pt x="72" y="96"/>
                </a:cubicBezTo>
                <a:cubicBezTo>
                  <a:pt x="72" y="97"/>
                  <a:pt x="76" y="103"/>
                  <a:pt x="76" y="103"/>
                </a:cubicBezTo>
                <a:cubicBezTo>
                  <a:pt x="75" y="103"/>
                  <a:pt x="73" y="103"/>
                  <a:pt x="72" y="103"/>
                </a:cubicBezTo>
                <a:cubicBezTo>
                  <a:pt x="68" y="103"/>
                  <a:pt x="63" y="110"/>
                  <a:pt x="61" y="115"/>
                </a:cubicBezTo>
                <a:cubicBezTo>
                  <a:pt x="57" y="114"/>
                  <a:pt x="58" y="110"/>
                  <a:pt x="55" y="110"/>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24" name="Freeform 140" hidden="1">
            <a:extLst>
              <a:ext uri="{FF2B5EF4-FFF2-40B4-BE49-F238E27FC236}">
                <a16:creationId xmlns:a16="http://schemas.microsoft.com/office/drawing/2014/main" id="{00000000-0008-0000-0000-00007C000000}"/>
              </a:ext>
            </a:extLst>
          </xdr:cNvPr>
          <xdr:cNvSpPr>
            <a:spLocks/>
          </xdr:cNvSpPr>
        </xdr:nvSpPr>
        <xdr:spPr bwMode="auto">
          <a:xfrm>
            <a:off x="6721475" y="2054225"/>
            <a:ext cx="96838" cy="80963"/>
          </a:xfrm>
          <a:custGeom>
            <a:avLst/>
            <a:gdLst/>
            <a:ahLst/>
            <a:cxnLst>
              <a:cxn ang="0">
                <a:pos x="11" y="33"/>
              </a:cxn>
              <a:cxn ang="0">
                <a:pos x="15" y="33"/>
              </a:cxn>
              <a:cxn ang="0">
                <a:pos x="26" y="10"/>
              </a:cxn>
              <a:cxn ang="0">
                <a:pos x="23" y="6"/>
              </a:cxn>
              <a:cxn ang="0">
                <a:pos x="26" y="0"/>
              </a:cxn>
              <a:cxn ang="0">
                <a:pos x="60" y="22"/>
              </a:cxn>
              <a:cxn ang="0">
                <a:pos x="70" y="21"/>
              </a:cxn>
              <a:cxn ang="0">
                <a:pos x="67" y="26"/>
              </a:cxn>
              <a:cxn ang="0">
                <a:pos x="72" y="32"/>
              </a:cxn>
              <a:cxn ang="0">
                <a:pos x="59" y="36"/>
              </a:cxn>
              <a:cxn ang="0">
                <a:pos x="43" y="51"/>
              </a:cxn>
              <a:cxn ang="0">
                <a:pos x="24" y="41"/>
              </a:cxn>
              <a:cxn ang="0">
                <a:pos x="21" y="45"/>
              </a:cxn>
              <a:cxn ang="0">
                <a:pos x="8" y="48"/>
              </a:cxn>
              <a:cxn ang="0">
                <a:pos x="16" y="54"/>
              </a:cxn>
              <a:cxn ang="0">
                <a:pos x="5" y="61"/>
              </a:cxn>
              <a:cxn ang="0">
                <a:pos x="3" y="61"/>
              </a:cxn>
              <a:cxn ang="0">
                <a:pos x="3" y="51"/>
              </a:cxn>
              <a:cxn ang="0">
                <a:pos x="0" y="46"/>
              </a:cxn>
              <a:cxn ang="0">
                <a:pos x="8" y="35"/>
              </a:cxn>
              <a:cxn ang="0">
                <a:pos x="8" y="32"/>
              </a:cxn>
              <a:cxn ang="0">
                <a:pos x="12" y="34"/>
              </a:cxn>
              <a:cxn ang="0">
                <a:pos x="11" y="33"/>
              </a:cxn>
            </a:cxnLst>
            <a:rect l="0" t="0" r="r" b="b"/>
            <a:pathLst>
              <a:path w="72" h="61">
                <a:moveTo>
                  <a:pt x="11" y="33"/>
                </a:moveTo>
                <a:cubicBezTo>
                  <a:pt x="12" y="33"/>
                  <a:pt x="14" y="33"/>
                  <a:pt x="15" y="33"/>
                </a:cubicBezTo>
                <a:cubicBezTo>
                  <a:pt x="23" y="33"/>
                  <a:pt x="26" y="16"/>
                  <a:pt x="26" y="10"/>
                </a:cubicBezTo>
                <a:cubicBezTo>
                  <a:pt x="26" y="8"/>
                  <a:pt x="23" y="7"/>
                  <a:pt x="23" y="6"/>
                </a:cubicBezTo>
                <a:cubicBezTo>
                  <a:pt x="23" y="2"/>
                  <a:pt x="25" y="1"/>
                  <a:pt x="26" y="0"/>
                </a:cubicBezTo>
                <a:cubicBezTo>
                  <a:pt x="38" y="8"/>
                  <a:pt x="43" y="22"/>
                  <a:pt x="60" y="22"/>
                </a:cubicBezTo>
                <a:cubicBezTo>
                  <a:pt x="64" y="22"/>
                  <a:pt x="67" y="19"/>
                  <a:pt x="70" y="21"/>
                </a:cubicBezTo>
                <a:cubicBezTo>
                  <a:pt x="69" y="23"/>
                  <a:pt x="67" y="24"/>
                  <a:pt x="67" y="26"/>
                </a:cubicBezTo>
                <a:cubicBezTo>
                  <a:pt x="67" y="29"/>
                  <a:pt x="71" y="32"/>
                  <a:pt x="72" y="32"/>
                </a:cubicBezTo>
                <a:cubicBezTo>
                  <a:pt x="68" y="35"/>
                  <a:pt x="65" y="36"/>
                  <a:pt x="59" y="36"/>
                </a:cubicBezTo>
                <a:cubicBezTo>
                  <a:pt x="49" y="36"/>
                  <a:pt x="46" y="46"/>
                  <a:pt x="43" y="51"/>
                </a:cubicBezTo>
                <a:cubicBezTo>
                  <a:pt x="36" y="47"/>
                  <a:pt x="31" y="46"/>
                  <a:pt x="24" y="41"/>
                </a:cubicBezTo>
                <a:cubicBezTo>
                  <a:pt x="23" y="42"/>
                  <a:pt x="21" y="43"/>
                  <a:pt x="21" y="45"/>
                </a:cubicBezTo>
                <a:cubicBezTo>
                  <a:pt x="15" y="45"/>
                  <a:pt x="8" y="40"/>
                  <a:pt x="8" y="48"/>
                </a:cubicBezTo>
                <a:cubicBezTo>
                  <a:pt x="8" y="52"/>
                  <a:pt x="14" y="52"/>
                  <a:pt x="16" y="54"/>
                </a:cubicBezTo>
                <a:cubicBezTo>
                  <a:pt x="12" y="59"/>
                  <a:pt x="9" y="57"/>
                  <a:pt x="5" y="61"/>
                </a:cubicBezTo>
                <a:cubicBezTo>
                  <a:pt x="3" y="61"/>
                  <a:pt x="3" y="61"/>
                  <a:pt x="3" y="61"/>
                </a:cubicBezTo>
                <a:cubicBezTo>
                  <a:pt x="3" y="58"/>
                  <a:pt x="3" y="51"/>
                  <a:pt x="3" y="51"/>
                </a:cubicBezTo>
                <a:cubicBezTo>
                  <a:pt x="3" y="49"/>
                  <a:pt x="0" y="48"/>
                  <a:pt x="0" y="46"/>
                </a:cubicBezTo>
                <a:cubicBezTo>
                  <a:pt x="0" y="41"/>
                  <a:pt x="8" y="38"/>
                  <a:pt x="8" y="35"/>
                </a:cubicBezTo>
                <a:cubicBezTo>
                  <a:pt x="8" y="32"/>
                  <a:pt x="8" y="32"/>
                  <a:pt x="8" y="32"/>
                </a:cubicBezTo>
                <a:cubicBezTo>
                  <a:pt x="9" y="32"/>
                  <a:pt x="10" y="33"/>
                  <a:pt x="12" y="34"/>
                </a:cubicBezTo>
                <a:lnTo>
                  <a:pt x="11" y="33"/>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25" name="Freeform 141" hidden="1">
            <a:extLst>
              <a:ext uri="{FF2B5EF4-FFF2-40B4-BE49-F238E27FC236}">
                <a16:creationId xmlns:a16="http://schemas.microsoft.com/office/drawing/2014/main" id="{00000000-0008-0000-0000-00007D000000}"/>
              </a:ext>
            </a:extLst>
          </xdr:cNvPr>
          <xdr:cNvSpPr>
            <a:spLocks/>
          </xdr:cNvSpPr>
        </xdr:nvSpPr>
        <xdr:spPr bwMode="auto">
          <a:xfrm>
            <a:off x="6816725" y="2073275"/>
            <a:ext cx="15875" cy="14288"/>
          </a:xfrm>
          <a:custGeom>
            <a:avLst/>
            <a:gdLst/>
            <a:ahLst/>
            <a:cxnLst>
              <a:cxn ang="0">
                <a:pos x="10" y="0"/>
              </a:cxn>
              <a:cxn ang="0">
                <a:pos x="12" y="2"/>
              </a:cxn>
              <a:cxn ang="0">
                <a:pos x="1" y="11"/>
              </a:cxn>
              <a:cxn ang="0">
                <a:pos x="1" y="7"/>
              </a:cxn>
              <a:cxn ang="0">
                <a:pos x="11" y="0"/>
              </a:cxn>
              <a:cxn ang="0">
                <a:pos x="10" y="0"/>
              </a:cxn>
            </a:cxnLst>
            <a:rect l="0" t="0" r="r" b="b"/>
            <a:pathLst>
              <a:path w="12" h="11">
                <a:moveTo>
                  <a:pt x="10" y="0"/>
                </a:moveTo>
                <a:cubicBezTo>
                  <a:pt x="12" y="2"/>
                  <a:pt x="12" y="2"/>
                  <a:pt x="12" y="2"/>
                </a:cubicBezTo>
                <a:cubicBezTo>
                  <a:pt x="10" y="4"/>
                  <a:pt x="5" y="11"/>
                  <a:pt x="1" y="11"/>
                </a:cubicBezTo>
                <a:cubicBezTo>
                  <a:pt x="0" y="11"/>
                  <a:pt x="0" y="8"/>
                  <a:pt x="1" y="7"/>
                </a:cubicBezTo>
                <a:cubicBezTo>
                  <a:pt x="3" y="4"/>
                  <a:pt x="8" y="0"/>
                  <a:pt x="11" y="0"/>
                </a:cubicBezTo>
                <a:lnTo>
                  <a:pt x="10" y="0"/>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26" name="Freeform 142" hidden="1">
            <a:extLst>
              <a:ext uri="{FF2B5EF4-FFF2-40B4-BE49-F238E27FC236}">
                <a16:creationId xmlns:a16="http://schemas.microsoft.com/office/drawing/2014/main" id="{00000000-0008-0000-0000-00007E000000}"/>
              </a:ext>
            </a:extLst>
          </xdr:cNvPr>
          <xdr:cNvSpPr>
            <a:spLocks/>
          </xdr:cNvSpPr>
        </xdr:nvSpPr>
        <xdr:spPr bwMode="auto">
          <a:xfrm>
            <a:off x="6848475" y="2052638"/>
            <a:ext cx="22225" cy="15875"/>
          </a:xfrm>
          <a:custGeom>
            <a:avLst/>
            <a:gdLst/>
            <a:ahLst/>
            <a:cxnLst>
              <a:cxn ang="0">
                <a:pos x="17" y="3"/>
              </a:cxn>
              <a:cxn ang="0">
                <a:pos x="1" y="12"/>
              </a:cxn>
              <a:cxn ang="0">
                <a:pos x="1" y="10"/>
              </a:cxn>
              <a:cxn ang="0">
                <a:pos x="10" y="0"/>
              </a:cxn>
              <a:cxn ang="0">
                <a:pos x="17" y="0"/>
              </a:cxn>
              <a:cxn ang="0">
                <a:pos x="17" y="3"/>
              </a:cxn>
            </a:cxnLst>
            <a:rect l="0" t="0" r="r" b="b"/>
            <a:pathLst>
              <a:path w="17" h="12">
                <a:moveTo>
                  <a:pt x="17" y="3"/>
                </a:moveTo>
                <a:cubicBezTo>
                  <a:pt x="7" y="3"/>
                  <a:pt x="7" y="12"/>
                  <a:pt x="1" y="12"/>
                </a:cubicBezTo>
                <a:cubicBezTo>
                  <a:pt x="0" y="12"/>
                  <a:pt x="1" y="10"/>
                  <a:pt x="1" y="10"/>
                </a:cubicBezTo>
                <a:cubicBezTo>
                  <a:pt x="1" y="10"/>
                  <a:pt x="5" y="0"/>
                  <a:pt x="10" y="0"/>
                </a:cubicBezTo>
                <a:cubicBezTo>
                  <a:pt x="13" y="0"/>
                  <a:pt x="15" y="0"/>
                  <a:pt x="17" y="0"/>
                </a:cubicBezTo>
                <a:lnTo>
                  <a:pt x="17" y="3"/>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27" name="Freeform 143" hidden="1">
            <a:extLst>
              <a:ext uri="{FF2B5EF4-FFF2-40B4-BE49-F238E27FC236}">
                <a16:creationId xmlns:a16="http://schemas.microsoft.com/office/drawing/2014/main" id="{00000000-0008-0000-0000-00007F000000}"/>
              </a:ext>
            </a:extLst>
          </xdr:cNvPr>
          <xdr:cNvSpPr>
            <a:spLocks/>
          </xdr:cNvSpPr>
        </xdr:nvSpPr>
        <xdr:spPr bwMode="auto">
          <a:xfrm>
            <a:off x="6888163" y="2035175"/>
            <a:ext cx="12700" cy="11113"/>
          </a:xfrm>
          <a:custGeom>
            <a:avLst/>
            <a:gdLst/>
            <a:ahLst/>
            <a:cxnLst>
              <a:cxn ang="0">
                <a:pos x="1" y="6"/>
              </a:cxn>
              <a:cxn ang="0">
                <a:pos x="2" y="3"/>
              </a:cxn>
              <a:cxn ang="0">
                <a:pos x="9" y="0"/>
              </a:cxn>
              <a:cxn ang="0">
                <a:pos x="1" y="9"/>
              </a:cxn>
              <a:cxn ang="0">
                <a:pos x="1" y="6"/>
              </a:cxn>
            </a:cxnLst>
            <a:rect l="0" t="0" r="r" b="b"/>
            <a:pathLst>
              <a:path w="9" h="9">
                <a:moveTo>
                  <a:pt x="1" y="6"/>
                </a:moveTo>
                <a:cubicBezTo>
                  <a:pt x="3" y="6"/>
                  <a:pt x="1" y="4"/>
                  <a:pt x="2" y="3"/>
                </a:cubicBezTo>
                <a:cubicBezTo>
                  <a:pt x="3" y="0"/>
                  <a:pt x="8" y="0"/>
                  <a:pt x="9" y="0"/>
                </a:cubicBezTo>
                <a:cubicBezTo>
                  <a:pt x="8" y="3"/>
                  <a:pt x="5" y="9"/>
                  <a:pt x="1" y="9"/>
                </a:cubicBezTo>
                <a:cubicBezTo>
                  <a:pt x="0" y="9"/>
                  <a:pt x="0" y="6"/>
                  <a:pt x="1" y="6"/>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28" name="Freeform 144" hidden="1">
            <a:extLst>
              <a:ext uri="{FF2B5EF4-FFF2-40B4-BE49-F238E27FC236}">
                <a16:creationId xmlns:a16="http://schemas.microsoft.com/office/drawing/2014/main" id="{00000000-0008-0000-0000-000080000000}"/>
              </a:ext>
            </a:extLst>
          </xdr:cNvPr>
          <xdr:cNvSpPr>
            <a:spLocks/>
          </xdr:cNvSpPr>
        </xdr:nvSpPr>
        <xdr:spPr bwMode="auto">
          <a:xfrm>
            <a:off x="6753225" y="1855788"/>
            <a:ext cx="47625" cy="184150"/>
          </a:xfrm>
          <a:custGeom>
            <a:avLst/>
            <a:gdLst/>
            <a:ahLst/>
            <a:cxnLst>
              <a:cxn ang="0">
                <a:pos x="26" y="84"/>
              </a:cxn>
              <a:cxn ang="0">
                <a:pos x="13" y="109"/>
              </a:cxn>
              <a:cxn ang="0">
                <a:pos x="26" y="132"/>
              </a:cxn>
              <a:cxn ang="0">
                <a:pos x="25" y="132"/>
              </a:cxn>
              <a:cxn ang="0">
                <a:pos x="20" y="128"/>
              </a:cxn>
              <a:cxn ang="0">
                <a:pos x="16" y="128"/>
              </a:cxn>
              <a:cxn ang="0">
                <a:pos x="5" y="138"/>
              </a:cxn>
              <a:cxn ang="0">
                <a:pos x="5" y="125"/>
              </a:cxn>
              <a:cxn ang="0">
                <a:pos x="7" y="105"/>
              </a:cxn>
              <a:cxn ang="0">
                <a:pos x="4" y="93"/>
              </a:cxn>
              <a:cxn ang="0">
                <a:pos x="7" y="79"/>
              </a:cxn>
              <a:cxn ang="0">
                <a:pos x="7" y="53"/>
              </a:cxn>
              <a:cxn ang="0">
                <a:pos x="0" y="37"/>
              </a:cxn>
              <a:cxn ang="0">
                <a:pos x="9" y="15"/>
              </a:cxn>
              <a:cxn ang="0">
                <a:pos x="11" y="9"/>
              </a:cxn>
              <a:cxn ang="0">
                <a:pos x="11" y="0"/>
              </a:cxn>
              <a:cxn ang="0">
                <a:pos x="14" y="0"/>
              </a:cxn>
              <a:cxn ang="0">
                <a:pos x="19" y="20"/>
              </a:cxn>
              <a:cxn ang="0">
                <a:pos x="21" y="37"/>
              </a:cxn>
              <a:cxn ang="0">
                <a:pos x="21" y="47"/>
              </a:cxn>
              <a:cxn ang="0">
                <a:pos x="24" y="59"/>
              </a:cxn>
              <a:cxn ang="0">
                <a:pos x="36" y="90"/>
              </a:cxn>
              <a:cxn ang="0">
                <a:pos x="26" y="84"/>
              </a:cxn>
            </a:cxnLst>
            <a:rect l="0" t="0" r="r" b="b"/>
            <a:pathLst>
              <a:path w="36" h="138">
                <a:moveTo>
                  <a:pt x="26" y="84"/>
                </a:moveTo>
                <a:cubicBezTo>
                  <a:pt x="15" y="84"/>
                  <a:pt x="13" y="98"/>
                  <a:pt x="13" y="109"/>
                </a:cubicBezTo>
                <a:cubicBezTo>
                  <a:pt x="13" y="120"/>
                  <a:pt x="22" y="124"/>
                  <a:pt x="26" y="132"/>
                </a:cubicBezTo>
                <a:cubicBezTo>
                  <a:pt x="26" y="132"/>
                  <a:pt x="25" y="132"/>
                  <a:pt x="25" y="132"/>
                </a:cubicBezTo>
                <a:cubicBezTo>
                  <a:pt x="23" y="133"/>
                  <a:pt x="21" y="130"/>
                  <a:pt x="20" y="128"/>
                </a:cubicBezTo>
                <a:cubicBezTo>
                  <a:pt x="19" y="128"/>
                  <a:pt x="17" y="128"/>
                  <a:pt x="16" y="128"/>
                </a:cubicBezTo>
                <a:cubicBezTo>
                  <a:pt x="11" y="128"/>
                  <a:pt x="11" y="138"/>
                  <a:pt x="5" y="138"/>
                </a:cubicBezTo>
                <a:cubicBezTo>
                  <a:pt x="4" y="138"/>
                  <a:pt x="5" y="127"/>
                  <a:pt x="5" y="125"/>
                </a:cubicBezTo>
                <a:cubicBezTo>
                  <a:pt x="5" y="117"/>
                  <a:pt x="7" y="112"/>
                  <a:pt x="7" y="105"/>
                </a:cubicBezTo>
                <a:cubicBezTo>
                  <a:pt x="7" y="99"/>
                  <a:pt x="4" y="98"/>
                  <a:pt x="4" y="93"/>
                </a:cubicBezTo>
                <a:cubicBezTo>
                  <a:pt x="4" y="86"/>
                  <a:pt x="7" y="84"/>
                  <a:pt x="7" y="79"/>
                </a:cubicBezTo>
                <a:cubicBezTo>
                  <a:pt x="7" y="68"/>
                  <a:pt x="7" y="64"/>
                  <a:pt x="7" y="53"/>
                </a:cubicBezTo>
                <a:cubicBezTo>
                  <a:pt x="7" y="46"/>
                  <a:pt x="0" y="44"/>
                  <a:pt x="0" y="37"/>
                </a:cubicBezTo>
                <a:cubicBezTo>
                  <a:pt x="0" y="28"/>
                  <a:pt x="3" y="16"/>
                  <a:pt x="9" y="15"/>
                </a:cubicBezTo>
                <a:cubicBezTo>
                  <a:pt x="9" y="12"/>
                  <a:pt x="11" y="11"/>
                  <a:pt x="11" y="9"/>
                </a:cubicBezTo>
                <a:cubicBezTo>
                  <a:pt x="11" y="4"/>
                  <a:pt x="11" y="3"/>
                  <a:pt x="11" y="0"/>
                </a:cubicBezTo>
                <a:cubicBezTo>
                  <a:pt x="12" y="0"/>
                  <a:pt x="13" y="0"/>
                  <a:pt x="14" y="0"/>
                </a:cubicBezTo>
                <a:cubicBezTo>
                  <a:pt x="14" y="8"/>
                  <a:pt x="18" y="14"/>
                  <a:pt x="19" y="20"/>
                </a:cubicBezTo>
                <a:cubicBezTo>
                  <a:pt x="21" y="26"/>
                  <a:pt x="18" y="30"/>
                  <a:pt x="21" y="37"/>
                </a:cubicBezTo>
                <a:cubicBezTo>
                  <a:pt x="21" y="47"/>
                  <a:pt x="21" y="47"/>
                  <a:pt x="21" y="47"/>
                </a:cubicBezTo>
                <a:cubicBezTo>
                  <a:pt x="20" y="52"/>
                  <a:pt x="23" y="57"/>
                  <a:pt x="24" y="59"/>
                </a:cubicBezTo>
                <a:cubicBezTo>
                  <a:pt x="27" y="70"/>
                  <a:pt x="33" y="79"/>
                  <a:pt x="36" y="90"/>
                </a:cubicBezTo>
                <a:cubicBezTo>
                  <a:pt x="34" y="86"/>
                  <a:pt x="30" y="84"/>
                  <a:pt x="26" y="84"/>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29" name="Freeform 145" hidden="1">
            <a:extLst>
              <a:ext uri="{FF2B5EF4-FFF2-40B4-BE49-F238E27FC236}">
                <a16:creationId xmlns:a16="http://schemas.microsoft.com/office/drawing/2014/main" id="{00000000-0008-0000-0000-000081000000}"/>
              </a:ext>
            </a:extLst>
          </xdr:cNvPr>
          <xdr:cNvSpPr>
            <a:spLocks/>
          </xdr:cNvSpPr>
        </xdr:nvSpPr>
        <xdr:spPr bwMode="auto">
          <a:xfrm>
            <a:off x="5241925" y="1219200"/>
            <a:ext cx="292100" cy="214313"/>
          </a:xfrm>
          <a:custGeom>
            <a:avLst/>
            <a:gdLst/>
            <a:ahLst/>
            <a:cxnLst>
              <a:cxn ang="0">
                <a:pos x="76" y="161"/>
              </a:cxn>
              <a:cxn ang="0">
                <a:pos x="50" y="131"/>
              </a:cxn>
              <a:cxn ang="0">
                <a:pos x="103" y="67"/>
              </a:cxn>
              <a:cxn ang="0">
                <a:pos x="125" y="55"/>
              </a:cxn>
              <a:cxn ang="0">
                <a:pos x="134" y="45"/>
              </a:cxn>
              <a:cxn ang="0">
                <a:pos x="175" y="34"/>
              </a:cxn>
              <a:cxn ang="0">
                <a:pos x="220" y="11"/>
              </a:cxn>
              <a:cxn ang="0">
                <a:pos x="203" y="0"/>
              </a:cxn>
              <a:cxn ang="0">
                <a:pos x="136" y="25"/>
              </a:cxn>
              <a:cxn ang="0">
                <a:pos x="123" y="19"/>
              </a:cxn>
              <a:cxn ang="0">
                <a:pos x="109" y="25"/>
              </a:cxn>
              <a:cxn ang="0">
                <a:pos x="69" y="46"/>
              </a:cxn>
              <a:cxn ang="0">
                <a:pos x="52" y="49"/>
              </a:cxn>
              <a:cxn ang="0">
                <a:pos x="47" y="53"/>
              </a:cxn>
              <a:cxn ang="0">
                <a:pos x="50" y="61"/>
              </a:cxn>
              <a:cxn ang="0">
                <a:pos x="27" y="88"/>
              </a:cxn>
              <a:cxn ang="0">
                <a:pos x="34" y="98"/>
              </a:cxn>
              <a:cxn ang="0">
                <a:pos x="13" y="110"/>
              </a:cxn>
              <a:cxn ang="0">
                <a:pos x="13" y="117"/>
              </a:cxn>
              <a:cxn ang="0">
                <a:pos x="0" y="134"/>
              </a:cxn>
              <a:cxn ang="0">
                <a:pos x="8" y="143"/>
              </a:cxn>
              <a:cxn ang="0">
                <a:pos x="21" y="143"/>
              </a:cxn>
              <a:cxn ang="0">
                <a:pos x="27" y="158"/>
              </a:cxn>
              <a:cxn ang="0">
                <a:pos x="39" y="158"/>
              </a:cxn>
              <a:cxn ang="0">
                <a:pos x="42" y="161"/>
              </a:cxn>
              <a:cxn ang="0">
                <a:pos x="76" y="161"/>
              </a:cxn>
              <a:cxn ang="0">
                <a:pos x="72" y="156"/>
              </a:cxn>
              <a:cxn ang="0">
                <a:pos x="76" y="161"/>
              </a:cxn>
            </a:cxnLst>
            <a:rect l="0" t="0" r="r" b="b"/>
            <a:pathLst>
              <a:path w="220" h="161">
                <a:moveTo>
                  <a:pt x="76" y="161"/>
                </a:moveTo>
                <a:cubicBezTo>
                  <a:pt x="66" y="151"/>
                  <a:pt x="50" y="147"/>
                  <a:pt x="50" y="131"/>
                </a:cubicBezTo>
                <a:cubicBezTo>
                  <a:pt x="50" y="102"/>
                  <a:pt x="81" y="73"/>
                  <a:pt x="103" y="67"/>
                </a:cubicBezTo>
                <a:cubicBezTo>
                  <a:pt x="111" y="64"/>
                  <a:pt x="113" y="55"/>
                  <a:pt x="125" y="55"/>
                </a:cubicBezTo>
                <a:cubicBezTo>
                  <a:pt x="130" y="55"/>
                  <a:pt x="132" y="46"/>
                  <a:pt x="134" y="45"/>
                </a:cubicBezTo>
                <a:cubicBezTo>
                  <a:pt x="149" y="38"/>
                  <a:pt x="160" y="41"/>
                  <a:pt x="175" y="34"/>
                </a:cubicBezTo>
                <a:cubicBezTo>
                  <a:pt x="186" y="28"/>
                  <a:pt x="220" y="26"/>
                  <a:pt x="220" y="11"/>
                </a:cubicBezTo>
                <a:cubicBezTo>
                  <a:pt x="220" y="6"/>
                  <a:pt x="208" y="0"/>
                  <a:pt x="203" y="0"/>
                </a:cubicBezTo>
                <a:cubicBezTo>
                  <a:pt x="181" y="0"/>
                  <a:pt x="160" y="25"/>
                  <a:pt x="136" y="25"/>
                </a:cubicBezTo>
                <a:cubicBezTo>
                  <a:pt x="131" y="25"/>
                  <a:pt x="128" y="19"/>
                  <a:pt x="123" y="19"/>
                </a:cubicBezTo>
                <a:cubicBezTo>
                  <a:pt x="115" y="19"/>
                  <a:pt x="115" y="25"/>
                  <a:pt x="109" y="25"/>
                </a:cubicBezTo>
                <a:cubicBezTo>
                  <a:pt x="93" y="25"/>
                  <a:pt x="80" y="46"/>
                  <a:pt x="69" y="46"/>
                </a:cubicBezTo>
                <a:cubicBezTo>
                  <a:pt x="63" y="46"/>
                  <a:pt x="58" y="49"/>
                  <a:pt x="52" y="49"/>
                </a:cubicBezTo>
                <a:cubicBezTo>
                  <a:pt x="49" y="49"/>
                  <a:pt x="47" y="52"/>
                  <a:pt x="47" y="53"/>
                </a:cubicBezTo>
                <a:cubicBezTo>
                  <a:pt x="47" y="56"/>
                  <a:pt x="50" y="58"/>
                  <a:pt x="50" y="61"/>
                </a:cubicBezTo>
                <a:cubicBezTo>
                  <a:pt x="50" y="74"/>
                  <a:pt x="27" y="80"/>
                  <a:pt x="27" y="88"/>
                </a:cubicBezTo>
                <a:cubicBezTo>
                  <a:pt x="27" y="91"/>
                  <a:pt x="34" y="92"/>
                  <a:pt x="34" y="98"/>
                </a:cubicBezTo>
                <a:cubicBezTo>
                  <a:pt x="27" y="99"/>
                  <a:pt x="13" y="102"/>
                  <a:pt x="13" y="110"/>
                </a:cubicBezTo>
                <a:cubicBezTo>
                  <a:pt x="13" y="115"/>
                  <a:pt x="13" y="117"/>
                  <a:pt x="13" y="117"/>
                </a:cubicBezTo>
                <a:cubicBezTo>
                  <a:pt x="13" y="124"/>
                  <a:pt x="0" y="124"/>
                  <a:pt x="0" y="134"/>
                </a:cubicBezTo>
                <a:cubicBezTo>
                  <a:pt x="0" y="139"/>
                  <a:pt x="8" y="143"/>
                  <a:pt x="8" y="143"/>
                </a:cubicBezTo>
                <a:cubicBezTo>
                  <a:pt x="8" y="143"/>
                  <a:pt x="20" y="143"/>
                  <a:pt x="21" y="143"/>
                </a:cubicBezTo>
                <a:cubicBezTo>
                  <a:pt x="28" y="145"/>
                  <a:pt x="24" y="152"/>
                  <a:pt x="27" y="158"/>
                </a:cubicBezTo>
                <a:cubicBezTo>
                  <a:pt x="28" y="161"/>
                  <a:pt x="35" y="158"/>
                  <a:pt x="39" y="158"/>
                </a:cubicBezTo>
                <a:cubicBezTo>
                  <a:pt x="40" y="158"/>
                  <a:pt x="41" y="161"/>
                  <a:pt x="42" y="161"/>
                </a:cubicBezTo>
                <a:cubicBezTo>
                  <a:pt x="76" y="161"/>
                  <a:pt x="76" y="161"/>
                  <a:pt x="76" y="161"/>
                </a:cubicBezTo>
                <a:cubicBezTo>
                  <a:pt x="75" y="159"/>
                  <a:pt x="73" y="157"/>
                  <a:pt x="72" y="156"/>
                </a:cubicBezTo>
                <a:lnTo>
                  <a:pt x="76" y="161"/>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30" name="Freeform 146" hidden="1">
            <a:extLst>
              <a:ext uri="{FF2B5EF4-FFF2-40B4-BE49-F238E27FC236}">
                <a16:creationId xmlns:a16="http://schemas.microsoft.com/office/drawing/2014/main" id="{00000000-0008-0000-0000-000082000000}"/>
              </a:ext>
            </a:extLst>
          </xdr:cNvPr>
          <xdr:cNvSpPr>
            <a:spLocks/>
          </xdr:cNvSpPr>
        </xdr:nvSpPr>
        <xdr:spPr bwMode="auto">
          <a:xfrm>
            <a:off x="4713288" y="1196975"/>
            <a:ext cx="2847975" cy="1058863"/>
          </a:xfrm>
          <a:custGeom>
            <a:avLst/>
            <a:gdLst/>
            <a:ahLst/>
            <a:cxnLst>
              <a:cxn ang="0">
                <a:pos x="1515" y="585"/>
              </a:cxn>
              <a:cxn ang="0">
                <a:pos x="1460" y="485"/>
              </a:cxn>
              <a:cxn ang="0">
                <a:pos x="1665" y="408"/>
              </a:cxn>
              <a:cxn ang="0">
                <a:pos x="1804" y="346"/>
              </a:cxn>
              <a:cxn ang="0">
                <a:pos x="1709" y="465"/>
              </a:cxn>
              <a:cxn ang="0">
                <a:pos x="1793" y="452"/>
              </a:cxn>
              <a:cxn ang="0">
                <a:pos x="1989" y="313"/>
              </a:cxn>
              <a:cxn ang="0">
                <a:pos x="2112" y="287"/>
              </a:cxn>
              <a:cxn ang="0">
                <a:pos x="1892" y="194"/>
              </a:cxn>
              <a:cxn ang="0">
                <a:pos x="1660" y="159"/>
              </a:cxn>
              <a:cxn ang="0">
                <a:pos x="1435" y="157"/>
              </a:cxn>
              <a:cxn ang="0">
                <a:pos x="1314" y="97"/>
              </a:cxn>
              <a:cxn ang="0">
                <a:pos x="1102" y="104"/>
              </a:cxn>
              <a:cxn ang="0">
                <a:pos x="1016" y="27"/>
              </a:cxn>
              <a:cxn ang="0">
                <a:pos x="758" y="117"/>
              </a:cxn>
              <a:cxn ang="0">
                <a:pos x="668" y="148"/>
              </a:cxn>
              <a:cxn ang="0">
                <a:pos x="644" y="121"/>
              </a:cxn>
              <a:cxn ang="0">
                <a:pos x="511" y="207"/>
              </a:cxn>
              <a:cxn ang="0">
                <a:pos x="322" y="247"/>
              </a:cxn>
              <a:cxn ang="0">
                <a:pos x="214" y="296"/>
              </a:cxn>
              <a:cxn ang="0">
                <a:pos x="229" y="227"/>
              </a:cxn>
              <a:cxn ang="0">
                <a:pos x="127" y="236"/>
              </a:cxn>
              <a:cxn ang="0">
                <a:pos x="136" y="312"/>
              </a:cxn>
              <a:cxn ang="0">
                <a:pos x="117" y="395"/>
              </a:cxn>
              <a:cxn ang="0">
                <a:pos x="50" y="446"/>
              </a:cxn>
              <a:cxn ang="0">
                <a:pos x="16" y="495"/>
              </a:cxn>
              <a:cxn ang="0">
                <a:pos x="54" y="558"/>
              </a:cxn>
              <a:cxn ang="0">
                <a:pos x="88" y="597"/>
              </a:cxn>
              <a:cxn ang="0">
                <a:pos x="112" y="644"/>
              </a:cxn>
              <a:cxn ang="0">
                <a:pos x="208" y="647"/>
              </a:cxn>
              <a:cxn ang="0">
                <a:pos x="225" y="626"/>
              </a:cxn>
              <a:cxn ang="0">
                <a:pos x="284" y="701"/>
              </a:cxn>
              <a:cxn ang="0">
                <a:pos x="350" y="732"/>
              </a:cxn>
              <a:cxn ang="0">
                <a:pos x="366" y="742"/>
              </a:cxn>
              <a:cxn ang="0">
                <a:pos x="349" y="634"/>
              </a:cxn>
              <a:cxn ang="0">
                <a:pos x="412" y="645"/>
              </a:cxn>
              <a:cxn ang="0">
                <a:pos x="427" y="700"/>
              </a:cxn>
              <a:cxn ang="0">
                <a:pos x="428" y="746"/>
              </a:cxn>
              <a:cxn ang="0">
                <a:pos x="447" y="755"/>
              </a:cxn>
              <a:cxn ang="0">
                <a:pos x="522" y="777"/>
              </a:cxn>
              <a:cxn ang="0">
                <a:pos x="559" y="781"/>
              </a:cxn>
              <a:cxn ang="0">
                <a:pos x="608" y="770"/>
              </a:cxn>
              <a:cxn ang="0">
                <a:pos x="654" y="772"/>
              </a:cxn>
              <a:cxn ang="0">
                <a:pos x="677" y="748"/>
              </a:cxn>
              <a:cxn ang="0">
                <a:pos x="829" y="593"/>
              </a:cxn>
              <a:cxn ang="0">
                <a:pos x="994" y="534"/>
              </a:cxn>
              <a:cxn ang="0">
                <a:pos x="1224" y="569"/>
              </a:cxn>
              <a:cxn ang="0">
                <a:pos x="1411" y="607"/>
              </a:cxn>
              <a:cxn ang="0">
                <a:pos x="1400" y="655"/>
              </a:cxn>
            </a:cxnLst>
            <a:rect l="0" t="0" r="r" b="b"/>
            <a:pathLst>
              <a:path w="2139" h="795">
                <a:moveTo>
                  <a:pt x="1398" y="684"/>
                </a:moveTo>
                <a:cubicBezTo>
                  <a:pt x="1398" y="684"/>
                  <a:pt x="1415" y="688"/>
                  <a:pt x="1429" y="688"/>
                </a:cubicBezTo>
                <a:cubicBezTo>
                  <a:pt x="1454" y="688"/>
                  <a:pt x="1478" y="635"/>
                  <a:pt x="1495" y="618"/>
                </a:cubicBezTo>
                <a:cubicBezTo>
                  <a:pt x="1502" y="610"/>
                  <a:pt x="1512" y="596"/>
                  <a:pt x="1515" y="585"/>
                </a:cubicBezTo>
                <a:cubicBezTo>
                  <a:pt x="1518" y="572"/>
                  <a:pt x="1513" y="564"/>
                  <a:pt x="1520" y="551"/>
                </a:cubicBezTo>
                <a:cubicBezTo>
                  <a:pt x="1522" y="547"/>
                  <a:pt x="1527" y="537"/>
                  <a:pt x="1527" y="527"/>
                </a:cubicBezTo>
                <a:cubicBezTo>
                  <a:pt x="1527" y="515"/>
                  <a:pt x="1508" y="492"/>
                  <a:pt x="1499" y="499"/>
                </a:cubicBezTo>
                <a:cubicBezTo>
                  <a:pt x="1473" y="518"/>
                  <a:pt x="1460" y="488"/>
                  <a:pt x="1460" y="485"/>
                </a:cubicBezTo>
                <a:cubicBezTo>
                  <a:pt x="1460" y="473"/>
                  <a:pt x="1483" y="459"/>
                  <a:pt x="1493" y="450"/>
                </a:cubicBezTo>
                <a:cubicBezTo>
                  <a:pt x="1506" y="436"/>
                  <a:pt x="1524" y="413"/>
                  <a:pt x="1543" y="408"/>
                </a:cubicBezTo>
                <a:cubicBezTo>
                  <a:pt x="1560" y="404"/>
                  <a:pt x="1613" y="399"/>
                  <a:pt x="1627" y="399"/>
                </a:cubicBezTo>
                <a:cubicBezTo>
                  <a:pt x="1645" y="399"/>
                  <a:pt x="1654" y="408"/>
                  <a:pt x="1665" y="408"/>
                </a:cubicBezTo>
                <a:cubicBezTo>
                  <a:pt x="1671" y="408"/>
                  <a:pt x="1675" y="408"/>
                  <a:pt x="1689" y="408"/>
                </a:cubicBezTo>
                <a:cubicBezTo>
                  <a:pt x="1696" y="379"/>
                  <a:pt x="1709" y="362"/>
                  <a:pt x="1740" y="362"/>
                </a:cubicBezTo>
                <a:cubicBezTo>
                  <a:pt x="1748" y="362"/>
                  <a:pt x="1751" y="360"/>
                  <a:pt x="1766" y="362"/>
                </a:cubicBezTo>
                <a:cubicBezTo>
                  <a:pt x="1759" y="368"/>
                  <a:pt x="1756" y="406"/>
                  <a:pt x="1804" y="346"/>
                </a:cubicBezTo>
                <a:cubicBezTo>
                  <a:pt x="1809" y="346"/>
                  <a:pt x="1832" y="355"/>
                  <a:pt x="1797" y="377"/>
                </a:cubicBezTo>
                <a:cubicBezTo>
                  <a:pt x="1785" y="385"/>
                  <a:pt x="1774" y="381"/>
                  <a:pt x="1766" y="393"/>
                </a:cubicBezTo>
                <a:cubicBezTo>
                  <a:pt x="1757" y="406"/>
                  <a:pt x="1749" y="423"/>
                  <a:pt x="1735" y="430"/>
                </a:cubicBezTo>
                <a:cubicBezTo>
                  <a:pt x="1724" y="436"/>
                  <a:pt x="1709" y="447"/>
                  <a:pt x="1709" y="465"/>
                </a:cubicBezTo>
                <a:cubicBezTo>
                  <a:pt x="1709" y="482"/>
                  <a:pt x="1714" y="535"/>
                  <a:pt x="1726" y="545"/>
                </a:cubicBezTo>
                <a:cubicBezTo>
                  <a:pt x="1735" y="532"/>
                  <a:pt x="1741" y="507"/>
                  <a:pt x="1760" y="503"/>
                </a:cubicBezTo>
                <a:cubicBezTo>
                  <a:pt x="1757" y="491"/>
                  <a:pt x="1777" y="488"/>
                  <a:pt x="1777" y="479"/>
                </a:cubicBezTo>
                <a:cubicBezTo>
                  <a:pt x="1777" y="464"/>
                  <a:pt x="1793" y="460"/>
                  <a:pt x="1793" y="452"/>
                </a:cubicBezTo>
                <a:cubicBezTo>
                  <a:pt x="1793" y="447"/>
                  <a:pt x="1788" y="442"/>
                  <a:pt x="1793" y="432"/>
                </a:cubicBezTo>
                <a:cubicBezTo>
                  <a:pt x="1828" y="356"/>
                  <a:pt x="1861" y="397"/>
                  <a:pt x="1874" y="397"/>
                </a:cubicBezTo>
                <a:cubicBezTo>
                  <a:pt x="1914" y="397"/>
                  <a:pt x="1941" y="347"/>
                  <a:pt x="1976" y="346"/>
                </a:cubicBezTo>
                <a:cubicBezTo>
                  <a:pt x="2041" y="345"/>
                  <a:pt x="1989" y="320"/>
                  <a:pt x="1989" y="313"/>
                </a:cubicBezTo>
                <a:cubicBezTo>
                  <a:pt x="1989" y="294"/>
                  <a:pt x="2015" y="297"/>
                  <a:pt x="2020" y="287"/>
                </a:cubicBezTo>
                <a:cubicBezTo>
                  <a:pt x="2022" y="282"/>
                  <a:pt x="2018" y="271"/>
                  <a:pt x="2026" y="271"/>
                </a:cubicBezTo>
                <a:cubicBezTo>
                  <a:pt x="2054" y="271"/>
                  <a:pt x="2077" y="309"/>
                  <a:pt x="2097" y="309"/>
                </a:cubicBezTo>
                <a:cubicBezTo>
                  <a:pt x="2106" y="309"/>
                  <a:pt x="2108" y="293"/>
                  <a:pt x="2112" y="287"/>
                </a:cubicBezTo>
                <a:cubicBezTo>
                  <a:pt x="2120" y="278"/>
                  <a:pt x="2127" y="279"/>
                  <a:pt x="2139" y="275"/>
                </a:cubicBezTo>
                <a:cubicBezTo>
                  <a:pt x="2123" y="254"/>
                  <a:pt x="2071" y="242"/>
                  <a:pt x="2046" y="227"/>
                </a:cubicBezTo>
                <a:cubicBezTo>
                  <a:pt x="2011" y="207"/>
                  <a:pt x="1965" y="185"/>
                  <a:pt x="1914" y="185"/>
                </a:cubicBezTo>
                <a:cubicBezTo>
                  <a:pt x="1900" y="185"/>
                  <a:pt x="1890" y="188"/>
                  <a:pt x="1892" y="194"/>
                </a:cubicBezTo>
                <a:cubicBezTo>
                  <a:pt x="1906" y="237"/>
                  <a:pt x="1872" y="194"/>
                  <a:pt x="1863" y="194"/>
                </a:cubicBezTo>
                <a:cubicBezTo>
                  <a:pt x="1762" y="192"/>
                  <a:pt x="1762" y="192"/>
                  <a:pt x="1762" y="192"/>
                </a:cubicBezTo>
                <a:cubicBezTo>
                  <a:pt x="1756" y="169"/>
                  <a:pt x="1741" y="161"/>
                  <a:pt x="1711" y="161"/>
                </a:cubicBezTo>
                <a:cubicBezTo>
                  <a:pt x="1695" y="161"/>
                  <a:pt x="1670" y="167"/>
                  <a:pt x="1660" y="159"/>
                </a:cubicBezTo>
                <a:cubicBezTo>
                  <a:pt x="1652" y="151"/>
                  <a:pt x="1651" y="141"/>
                  <a:pt x="1638" y="137"/>
                </a:cubicBezTo>
                <a:cubicBezTo>
                  <a:pt x="1611" y="128"/>
                  <a:pt x="1582" y="121"/>
                  <a:pt x="1548" y="121"/>
                </a:cubicBezTo>
                <a:cubicBezTo>
                  <a:pt x="1513" y="121"/>
                  <a:pt x="1509" y="140"/>
                  <a:pt x="1506" y="157"/>
                </a:cubicBezTo>
                <a:cubicBezTo>
                  <a:pt x="1473" y="157"/>
                  <a:pt x="1457" y="157"/>
                  <a:pt x="1435" y="157"/>
                </a:cubicBezTo>
                <a:cubicBezTo>
                  <a:pt x="1423" y="157"/>
                  <a:pt x="1421" y="147"/>
                  <a:pt x="1407" y="146"/>
                </a:cubicBezTo>
                <a:cubicBezTo>
                  <a:pt x="1405" y="152"/>
                  <a:pt x="1403" y="166"/>
                  <a:pt x="1396" y="166"/>
                </a:cubicBezTo>
                <a:cubicBezTo>
                  <a:pt x="1377" y="166"/>
                  <a:pt x="1369" y="143"/>
                  <a:pt x="1369" y="130"/>
                </a:cubicBezTo>
                <a:cubicBezTo>
                  <a:pt x="1369" y="127"/>
                  <a:pt x="1405" y="105"/>
                  <a:pt x="1314" y="97"/>
                </a:cubicBezTo>
                <a:cubicBezTo>
                  <a:pt x="1303" y="96"/>
                  <a:pt x="1296" y="101"/>
                  <a:pt x="1296" y="115"/>
                </a:cubicBezTo>
                <a:cubicBezTo>
                  <a:pt x="1248" y="115"/>
                  <a:pt x="1248" y="115"/>
                  <a:pt x="1248" y="115"/>
                </a:cubicBezTo>
                <a:cubicBezTo>
                  <a:pt x="1233" y="111"/>
                  <a:pt x="1157" y="102"/>
                  <a:pt x="1147" y="86"/>
                </a:cubicBezTo>
                <a:cubicBezTo>
                  <a:pt x="1089" y="133"/>
                  <a:pt x="1102" y="104"/>
                  <a:pt x="1102" y="104"/>
                </a:cubicBezTo>
                <a:cubicBezTo>
                  <a:pt x="1116" y="87"/>
                  <a:pt x="1249" y="51"/>
                  <a:pt x="1140" y="24"/>
                </a:cubicBezTo>
                <a:cubicBezTo>
                  <a:pt x="1094" y="24"/>
                  <a:pt x="1094" y="24"/>
                  <a:pt x="1094" y="24"/>
                </a:cubicBezTo>
                <a:cubicBezTo>
                  <a:pt x="1089" y="12"/>
                  <a:pt x="1079" y="0"/>
                  <a:pt x="1060" y="0"/>
                </a:cubicBezTo>
                <a:cubicBezTo>
                  <a:pt x="1038" y="0"/>
                  <a:pt x="1028" y="17"/>
                  <a:pt x="1016" y="27"/>
                </a:cubicBezTo>
                <a:cubicBezTo>
                  <a:pt x="1008" y="33"/>
                  <a:pt x="951" y="56"/>
                  <a:pt x="956" y="35"/>
                </a:cubicBezTo>
                <a:cubicBezTo>
                  <a:pt x="941" y="40"/>
                  <a:pt x="879" y="44"/>
                  <a:pt x="847" y="73"/>
                </a:cubicBezTo>
                <a:cubicBezTo>
                  <a:pt x="840" y="79"/>
                  <a:pt x="838" y="97"/>
                  <a:pt x="828" y="97"/>
                </a:cubicBezTo>
                <a:cubicBezTo>
                  <a:pt x="813" y="97"/>
                  <a:pt x="758" y="92"/>
                  <a:pt x="758" y="117"/>
                </a:cubicBezTo>
                <a:cubicBezTo>
                  <a:pt x="758" y="122"/>
                  <a:pt x="763" y="128"/>
                  <a:pt x="765" y="135"/>
                </a:cubicBezTo>
                <a:cubicBezTo>
                  <a:pt x="755" y="141"/>
                  <a:pt x="752" y="135"/>
                  <a:pt x="721" y="135"/>
                </a:cubicBezTo>
                <a:cubicBezTo>
                  <a:pt x="695" y="170"/>
                  <a:pt x="697" y="129"/>
                  <a:pt x="691" y="121"/>
                </a:cubicBezTo>
                <a:cubicBezTo>
                  <a:pt x="689" y="136"/>
                  <a:pt x="679" y="142"/>
                  <a:pt x="668" y="148"/>
                </a:cubicBezTo>
                <a:cubicBezTo>
                  <a:pt x="671" y="160"/>
                  <a:pt x="690" y="173"/>
                  <a:pt x="677" y="188"/>
                </a:cubicBezTo>
                <a:cubicBezTo>
                  <a:pt x="667" y="198"/>
                  <a:pt x="695" y="230"/>
                  <a:pt x="680" y="230"/>
                </a:cubicBezTo>
                <a:cubicBezTo>
                  <a:pt x="662" y="230"/>
                  <a:pt x="657" y="164"/>
                  <a:pt x="657" y="150"/>
                </a:cubicBezTo>
                <a:cubicBezTo>
                  <a:pt x="657" y="135"/>
                  <a:pt x="681" y="129"/>
                  <a:pt x="644" y="121"/>
                </a:cubicBezTo>
                <a:cubicBezTo>
                  <a:pt x="625" y="118"/>
                  <a:pt x="589" y="149"/>
                  <a:pt x="589" y="166"/>
                </a:cubicBezTo>
                <a:cubicBezTo>
                  <a:pt x="589" y="186"/>
                  <a:pt x="598" y="199"/>
                  <a:pt x="608" y="210"/>
                </a:cubicBezTo>
                <a:cubicBezTo>
                  <a:pt x="633" y="248"/>
                  <a:pt x="574" y="205"/>
                  <a:pt x="552" y="200"/>
                </a:cubicBezTo>
                <a:cubicBezTo>
                  <a:pt x="492" y="184"/>
                  <a:pt x="512" y="204"/>
                  <a:pt x="511" y="207"/>
                </a:cubicBezTo>
                <a:cubicBezTo>
                  <a:pt x="509" y="241"/>
                  <a:pt x="495" y="214"/>
                  <a:pt x="487" y="214"/>
                </a:cubicBezTo>
                <a:cubicBezTo>
                  <a:pt x="473" y="214"/>
                  <a:pt x="445" y="233"/>
                  <a:pt x="425" y="223"/>
                </a:cubicBezTo>
                <a:cubicBezTo>
                  <a:pt x="415" y="197"/>
                  <a:pt x="349" y="256"/>
                  <a:pt x="333" y="256"/>
                </a:cubicBezTo>
                <a:cubicBezTo>
                  <a:pt x="327" y="256"/>
                  <a:pt x="320" y="252"/>
                  <a:pt x="322" y="247"/>
                </a:cubicBezTo>
                <a:cubicBezTo>
                  <a:pt x="329" y="229"/>
                  <a:pt x="319" y="191"/>
                  <a:pt x="300" y="249"/>
                </a:cubicBezTo>
                <a:cubicBezTo>
                  <a:pt x="298" y="253"/>
                  <a:pt x="306" y="255"/>
                  <a:pt x="306" y="263"/>
                </a:cubicBezTo>
                <a:cubicBezTo>
                  <a:pt x="306" y="278"/>
                  <a:pt x="283" y="267"/>
                  <a:pt x="271" y="271"/>
                </a:cubicBezTo>
                <a:cubicBezTo>
                  <a:pt x="259" y="275"/>
                  <a:pt x="265" y="318"/>
                  <a:pt x="214" y="296"/>
                </a:cubicBezTo>
                <a:cubicBezTo>
                  <a:pt x="214" y="313"/>
                  <a:pt x="214" y="313"/>
                  <a:pt x="214" y="313"/>
                </a:cubicBezTo>
                <a:cubicBezTo>
                  <a:pt x="189" y="311"/>
                  <a:pt x="192" y="284"/>
                  <a:pt x="183" y="271"/>
                </a:cubicBezTo>
                <a:cubicBezTo>
                  <a:pt x="202" y="271"/>
                  <a:pt x="212" y="271"/>
                  <a:pt x="230" y="276"/>
                </a:cubicBezTo>
                <a:cubicBezTo>
                  <a:pt x="255" y="282"/>
                  <a:pt x="304" y="251"/>
                  <a:pt x="229" y="227"/>
                </a:cubicBezTo>
                <a:cubicBezTo>
                  <a:pt x="208" y="220"/>
                  <a:pt x="160" y="196"/>
                  <a:pt x="145" y="196"/>
                </a:cubicBezTo>
                <a:cubicBezTo>
                  <a:pt x="144" y="196"/>
                  <a:pt x="144" y="195"/>
                  <a:pt x="133" y="196"/>
                </a:cubicBezTo>
                <a:cubicBezTo>
                  <a:pt x="127" y="200"/>
                  <a:pt x="111" y="208"/>
                  <a:pt x="111" y="219"/>
                </a:cubicBezTo>
                <a:cubicBezTo>
                  <a:pt x="111" y="227"/>
                  <a:pt x="127" y="226"/>
                  <a:pt x="127" y="236"/>
                </a:cubicBezTo>
                <a:cubicBezTo>
                  <a:pt x="127" y="244"/>
                  <a:pt x="119" y="247"/>
                  <a:pt x="119" y="255"/>
                </a:cubicBezTo>
                <a:cubicBezTo>
                  <a:pt x="119" y="263"/>
                  <a:pt x="128" y="268"/>
                  <a:pt x="128" y="277"/>
                </a:cubicBezTo>
                <a:cubicBezTo>
                  <a:pt x="128" y="282"/>
                  <a:pt x="123" y="285"/>
                  <a:pt x="123" y="290"/>
                </a:cubicBezTo>
                <a:cubicBezTo>
                  <a:pt x="123" y="300"/>
                  <a:pt x="136" y="302"/>
                  <a:pt x="136" y="312"/>
                </a:cubicBezTo>
                <a:cubicBezTo>
                  <a:pt x="136" y="315"/>
                  <a:pt x="132" y="317"/>
                  <a:pt x="131" y="318"/>
                </a:cubicBezTo>
                <a:cubicBezTo>
                  <a:pt x="135" y="325"/>
                  <a:pt x="145" y="327"/>
                  <a:pt x="145" y="336"/>
                </a:cubicBezTo>
                <a:cubicBezTo>
                  <a:pt x="145" y="351"/>
                  <a:pt x="115" y="367"/>
                  <a:pt x="106" y="379"/>
                </a:cubicBezTo>
                <a:cubicBezTo>
                  <a:pt x="109" y="384"/>
                  <a:pt x="114" y="387"/>
                  <a:pt x="117" y="395"/>
                </a:cubicBezTo>
                <a:cubicBezTo>
                  <a:pt x="111" y="398"/>
                  <a:pt x="98" y="405"/>
                  <a:pt x="92" y="405"/>
                </a:cubicBezTo>
                <a:cubicBezTo>
                  <a:pt x="85" y="405"/>
                  <a:pt x="80" y="402"/>
                  <a:pt x="70" y="402"/>
                </a:cubicBezTo>
                <a:cubicBezTo>
                  <a:pt x="61" y="402"/>
                  <a:pt x="38" y="410"/>
                  <a:pt x="45" y="417"/>
                </a:cubicBezTo>
                <a:cubicBezTo>
                  <a:pt x="67" y="438"/>
                  <a:pt x="56" y="446"/>
                  <a:pt x="50" y="446"/>
                </a:cubicBezTo>
                <a:cubicBezTo>
                  <a:pt x="42" y="446"/>
                  <a:pt x="40" y="435"/>
                  <a:pt x="33" y="435"/>
                </a:cubicBezTo>
                <a:cubicBezTo>
                  <a:pt x="25" y="435"/>
                  <a:pt x="15" y="455"/>
                  <a:pt x="15" y="465"/>
                </a:cubicBezTo>
                <a:cubicBezTo>
                  <a:pt x="15" y="483"/>
                  <a:pt x="1" y="480"/>
                  <a:pt x="0" y="496"/>
                </a:cubicBezTo>
                <a:cubicBezTo>
                  <a:pt x="6" y="495"/>
                  <a:pt x="11" y="495"/>
                  <a:pt x="16" y="495"/>
                </a:cubicBezTo>
                <a:cubicBezTo>
                  <a:pt x="24" y="495"/>
                  <a:pt x="30" y="494"/>
                  <a:pt x="39" y="494"/>
                </a:cubicBezTo>
                <a:cubicBezTo>
                  <a:pt x="48" y="494"/>
                  <a:pt x="52" y="510"/>
                  <a:pt x="52" y="520"/>
                </a:cubicBezTo>
                <a:cubicBezTo>
                  <a:pt x="52" y="526"/>
                  <a:pt x="46" y="529"/>
                  <a:pt x="46" y="535"/>
                </a:cubicBezTo>
                <a:cubicBezTo>
                  <a:pt x="46" y="544"/>
                  <a:pt x="54" y="550"/>
                  <a:pt x="54" y="558"/>
                </a:cubicBezTo>
                <a:cubicBezTo>
                  <a:pt x="54" y="563"/>
                  <a:pt x="46" y="565"/>
                  <a:pt x="44" y="568"/>
                </a:cubicBezTo>
                <a:cubicBezTo>
                  <a:pt x="39" y="576"/>
                  <a:pt x="37" y="583"/>
                  <a:pt x="37" y="593"/>
                </a:cubicBezTo>
                <a:cubicBezTo>
                  <a:pt x="37" y="606"/>
                  <a:pt x="46" y="603"/>
                  <a:pt x="56" y="603"/>
                </a:cubicBezTo>
                <a:cubicBezTo>
                  <a:pt x="70" y="603"/>
                  <a:pt x="77" y="597"/>
                  <a:pt x="88" y="597"/>
                </a:cubicBezTo>
                <a:cubicBezTo>
                  <a:pt x="99" y="597"/>
                  <a:pt x="97" y="620"/>
                  <a:pt x="108" y="620"/>
                </a:cubicBezTo>
                <a:cubicBezTo>
                  <a:pt x="108" y="638"/>
                  <a:pt x="108" y="638"/>
                  <a:pt x="108" y="638"/>
                </a:cubicBezTo>
                <a:cubicBezTo>
                  <a:pt x="108" y="640"/>
                  <a:pt x="109" y="641"/>
                  <a:pt x="110" y="641"/>
                </a:cubicBezTo>
                <a:cubicBezTo>
                  <a:pt x="112" y="644"/>
                  <a:pt x="112" y="644"/>
                  <a:pt x="112" y="644"/>
                </a:cubicBezTo>
                <a:cubicBezTo>
                  <a:pt x="114" y="644"/>
                  <a:pt x="120" y="642"/>
                  <a:pt x="123" y="641"/>
                </a:cubicBezTo>
                <a:cubicBezTo>
                  <a:pt x="132" y="639"/>
                  <a:pt x="133" y="627"/>
                  <a:pt x="143" y="627"/>
                </a:cubicBezTo>
                <a:cubicBezTo>
                  <a:pt x="151" y="627"/>
                  <a:pt x="171" y="660"/>
                  <a:pt x="177" y="660"/>
                </a:cubicBezTo>
                <a:cubicBezTo>
                  <a:pt x="184" y="660"/>
                  <a:pt x="205" y="651"/>
                  <a:pt x="208" y="647"/>
                </a:cubicBezTo>
                <a:cubicBezTo>
                  <a:pt x="207" y="647"/>
                  <a:pt x="196" y="645"/>
                  <a:pt x="196" y="645"/>
                </a:cubicBezTo>
                <a:cubicBezTo>
                  <a:pt x="194" y="645"/>
                  <a:pt x="189" y="644"/>
                  <a:pt x="189" y="638"/>
                </a:cubicBezTo>
                <a:cubicBezTo>
                  <a:pt x="189" y="635"/>
                  <a:pt x="221" y="623"/>
                  <a:pt x="233" y="619"/>
                </a:cubicBezTo>
                <a:cubicBezTo>
                  <a:pt x="233" y="619"/>
                  <a:pt x="227" y="625"/>
                  <a:pt x="225" y="626"/>
                </a:cubicBezTo>
                <a:cubicBezTo>
                  <a:pt x="226" y="629"/>
                  <a:pt x="237" y="641"/>
                  <a:pt x="211" y="647"/>
                </a:cubicBezTo>
                <a:cubicBezTo>
                  <a:pt x="223" y="673"/>
                  <a:pt x="273" y="669"/>
                  <a:pt x="273" y="704"/>
                </a:cubicBezTo>
                <a:cubicBezTo>
                  <a:pt x="275" y="703"/>
                  <a:pt x="275" y="703"/>
                  <a:pt x="275" y="703"/>
                </a:cubicBezTo>
                <a:cubicBezTo>
                  <a:pt x="278" y="702"/>
                  <a:pt x="280" y="701"/>
                  <a:pt x="284" y="701"/>
                </a:cubicBezTo>
                <a:cubicBezTo>
                  <a:pt x="298" y="701"/>
                  <a:pt x="297" y="710"/>
                  <a:pt x="302" y="719"/>
                </a:cubicBezTo>
                <a:cubicBezTo>
                  <a:pt x="303" y="721"/>
                  <a:pt x="312" y="726"/>
                  <a:pt x="312" y="726"/>
                </a:cubicBezTo>
                <a:cubicBezTo>
                  <a:pt x="320" y="729"/>
                  <a:pt x="322" y="742"/>
                  <a:pt x="335" y="742"/>
                </a:cubicBezTo>
                <a:cubicBezTo>
                  <a:pt x="344" y="742"/>
                  <a:pt x="344" y="734"/>
                  <a:pt x="350" y="732"/>
                </a:cubicBezTo>
                <a:cubicBezTo>
                  <a:pt x="354" y="731"/>
                  <a:pt x="353" y="731"/>
                  <a:pt x="357" y="731"/>
                </a:cubicBezTo>
                <a:cubicBezTo>
                  <a:pt x="358" y="733"/>
                  <a:pt x="358" y="737"/>
                  <a:pt x="360" y="739"/>
                </a:cubicBezTo>
                <a:cubicBezTo>
                  <a:pt x="359" y="739"/>
                  <a:pt x="360" y="740"/>
                  <a:pt x="360" y="741"/>
                </a:cubicBezTo>
                <a:cubicBezTo>
                  <a:pt x="366" y="742"/>
                  <a:pt x="366" y="742"/>
                  <a:pt x="366" y="742"/>
                </a:cubicBezTo>
                <a:cubicBezTo>
                  <a:pt x="371" y="735"/>
                  <a:pt x="371" y="724"/>
                  <a:pt x="378" y="721"/>
                </a:cubicBezTo>
                <a:cubicBezTo>
                  <a:pt x="366" y="714"/>
                  <a:pt x="348" y="688"/>
                  <a:pt x="348" y="673"/>
                </a:cubicBezTo>
                <a:cubicBezTo>
                  <a:pt x="348" y="668"/>
                  <a:pt x="338" y="662"/>
                  <a:pt x="338" y="655"/>
                </a:cubicBezTo>
                <a:cubicBezTo>
                  <a:pt x="338" y="653"/>
                  <a:pt x="347" y="637"/>
                  <a:pt x="349" y="634"/>
                </a:cubicBezTo>
                <a:cubicBezTo>
                  <a:pt x="351" y="635"/>
                  <a:pt x="365" y="628"/>
                  <a:pt x="366" y="627"/>
                </a:cubicBezTo>
                <a:cubicBezTo>
                  <a:pt x="377" y="623"/>
                  <a:pt x="384" y="620"/>
                  <a:pt x="399" y="620"/>
                </a:cubicBezTo>
                <a:cubicBezTo>
                  <a:pt x="423" y="620"/>
                  <a:pt x="427" y="631"/>
                  <a:pt x="436" y="645"/>
                </a:cubicBezTo>
                <a:cubicBezTo>
                  <a:pt x="429" y="650"/>
                  <a:pt x="420" y="645"/>
                  <a:pt x="412" y="645"/>
                </a:cubicBezTo>
                <a:cubicBezTo>
                  <a:pt x="400" y="645"/>
                  <a:pt x="383" y="656"/>
                  <a:pt x="381" y="656"/>
                </a:cubicBezTo>
                <a:cubicBezTo>
                  <a:pt x="382" y="665"/>
                  <a:pt x="389" y="664"/>
                  <a:pt x="391" y="669"/>
                </a:cubicBezTo>
                <a:cubicBezTo>
                  <a:pt x="400" y="684"/>
                  <a:pt x="412" y="690"/>
                  <a:pt x="412" y="707"/>
                </a:cubicBezTo>
                <a:cubicBezTo>
                  <a:pt x="415" y="705"/>
                  <a:pt x="424" y="701"/>
                  <a:pt x="427" y="700"/>
                </a:cubicBezTo>
                <a:cubicBezTo>
                  <a:pt x="427" y="707"/>
                  <a:pt x="434" y="710"/>
                  <a:pt x="434" y="717"/>
                </a:cubicBezTo>
                <a:cubicBezTo>
                  <a:pt x="421" y="717"/>
                  <a:pt x="421" y="717"/>
                  <a:pt x="421" y="717"/>
                </a:cubicBezTo>
                <a:cubicBezTo>
                  <a:pt x="417" y="717"/>
                  <a:pt x="413" y="721"/>
                  <a:pt x="412" y="728"/>
                </a:cubicBezTo>
                <a:cubicBezTo>
                  <a:pt x="421" y="729"/>
                  <a:pt x="428" y="738"/>
                  <a:pt x="428" y="746"/>
                </a:cubicBezTo>
                <a:cubicBezTo>
                  <a:pt x="428" y="751"/>
                  <a:pt x="424" y="753"/>
                  <a:pt x="424" y="757"/>
                </a:cubicBezTo>
                <a:cubicBezTo>
                  <a:pt x="424" y="761"/>
                  <a:pt x="428" y="765"/>
                  <a:pt x="429" y="766"/>
                </a:cubicBezTo>
                <a:cubicBezTo>
                  <a:pt x="429" y="762"/>
                  <a:pt x="434" y="762"/>
                  <a:pt x="438" y="761"/>
                </a:cubicBezTo>
                <a:cubicBezTo>
                  <a:pt x="443" y="759"/>
                  <a:pt x="442" y="757"/>
                  <a:pt x="447" y="755"/>
                </a:cubicBezTo>
                <a:cubicBezTo>
                  <a:pt x="455" y="752"/>
                  <a:pt x="460" y="754"/>
                  <a:pt x="466" y="749"/>
                </a:cubicBezTo>
                <a:cubicBezTo>
                  <a:pt x="476" y="755"/>
                  <a:pt x="482" y="755"/>
                  <a:pt x="491" y="758"/>
                </a:cubicBezTo>
                <a:cubicBezTo>
                  <a:pt x="502" y="762"/>
                  <a:pt x="505" y="772"/>
                  <a:pt x="518" y="772"/>
                </a:cubicBezTo>
                <a:cubicBezTo>
                  <a:pt x="518" y="774"/>
                  <a:pt x="521" y="775"/>
                  <a:pt x="522" y="777"/>
                </a:cubicBezTo>
                <a:cubicBezTo>
                  <a:pt x="523" y="781"/>
                  <a:pt x="522" y="787"/>
                  <a:pt x="524" y="793"/>
                </a:cubicBezTo>
                <a:cubicBezTo>
                  <a:pt x="529" y="787"/>
                  <a:pt x="533" y="795"/>
                  <a:pt x="537" y="795"/>
                </a:cubicBezTo>
                <a:cubicBezTo>
                  <a:pt x="542" y="795"/>
                  <a:pt x="544" y="791"/>
                  <a:pt x="547" y="788"/>
                </a:cubicBezTo>
                <a:cubicBezTo>
                  <a:pt x="551" y="784"/>
                  <a:pt x="556" y="784"/>
                  <a:pt x="559" y="781"/>
                </a:cubicBezTo>
                <a:cubicBezTo>
                  <a:pt x="567" y="773"/>
                  <a:pt x="568" y="762"/>
                  <a:pt x="579" y="762"/>
                </a:cubicBezTo>
                <a:cubicBezTo>
                  <a:pt x="583" y="762"/>
                  <a:pt x="582" y="764"/>
                  <a:pt x="586" y="764"/>
                </a:cubicBezTo>
                <a:cubicBezTo>
                  <a:pt x="587" y="769"/>
                  <a:pt x="597" y="765"/>
                  <a:pt x="600" y="765"/>
                </a:cubicBezTo>
                <a:cubicBezTo>
                  <a:pt x="604" y="765"/>
                  <a:pt x="605" y="770"/>
                  <a:pt x="608" y="770"/>
                </a:cubicBezTo>
                <a:cubicBezTo>
                  <a:pt x="617" y="770"/>
                  <a:pt x="624" y="765"/>
                  <a:pt x="627" y="759"/>
                </a:cubicBezTo>
                <a:cubicBezTo>
                  <a:pt x="628" y="760"/>
                  <a:pt x="629" y="759"/>
                  <a:pt x="630" y="759"/>
                </a:cubicBezTo>
                <a:cubicBezTo>
                  <a:pt x="634" y="759"/>
                  <a:pt x="636" y="749"/>
                  <a:pt x="645" y="749"/>
                </a:cubicBezTo>
                <a:cubicBezTo>
                  <a:pt x="654" y="749"/>
                  <a:pt x="644" y="772"/>
                  <a:pt x="654" y="772"/>
                </a:cubicBezTo>
                <a:cubicBezTo>
                  <a:pt x="664" y="772"/>
                  <a:pt x="668" y="764"/>
                  <a:pt x="677" y="764"/>
                </a:cubicBezTo>
                <a:cubicBezTo>
                  <a:pt x="682" y="764"/>
                  <a:pt x="686" y="764"/>
                  <a:pt x="692" y="765"/>
                </a:cubicBezTo>
                <a:cubicBezTo>
                  <a:pt x="692" y="763"/>
                  <a:pt x="692" y="763"/>
                  <a:pt x="692" y="763"/>
                </a:cubicBezTo>
                <a:cubicBezTo>
                  <a:pt x="690" y="753"/>
                  <a:pt x="688" y="750"/>
                  <a:pt x="677" y="748"/>
                </a:cubicBezTo>
                <a:cubicBezTo>
                  <a:pt x="678" y="739"/>
                  <a:pt x="687" y="719"/>
                  <a:pt x="694" y="719"/>
                </a:cubicBezTo>
                <a:cubicBezTo>
                  <a:pt x="735" y="719"/>
                  <a:pt x="763" y="698"/>
                  <a:pt x="763" y="649"/>
                </a:cubicBezTo>
                <a:cubicBezTo>
                  <a:pt x="785" y="645"/>
                  <a:pt x="787" y="618"/>
                  <a:pt x="800" y="620"/>
                </a:cubicBezTo>
                <a:cubicBezTo>
                  <a:pt x="836" y="624"/>
                  <a:pt x="822" y="600"/>
                  <a:pt x="829" y="593"/>
                </a:cubicBezTo>
                <a:cubicBezTo>
                  <a:pt x="847" y="578"/>
                  <a:pt x="873" y="578"/>
                  <a:pt x="895" y="565"/>
                </a:cubicBezTo>
                <a:cubicBezTo>
                  <a:pt x="898" y="563"/>
                  <a:pt x="906" y="554"/>
                  <a:pt x="913" y="554"/>
                </a:cubicBezTo>
                <a:cubicBezTo>
                  <a:pt x="924" y="554"/>
                  <a:pt x="943" y="567"/>
                  <a:pt x="961" y="567"/>
                </a:cubicBezTo>
                <a:cubicBezTo>
                  <a:pt x="986" y="567"/>
                  <a:pt x="981" y="534"/>
                  <a:pt x="994" y="534"/>
                </a:cubicBezTo>
                <a:cubicBezTo>
                  <a:pt x="1002" y="534"/>
                  <a:pt x="1029" y="538"/>
                  <a:pt x="1032" y="545"/>
                </a:cubicBezTo>
                <a:cubicBezTo>
                  <a:pt x="1042" y="573"/>
                  <a:pt x="1060" y="558"/>
                  <a:pt x="1072" y="558"/>
                </a:cubicBezTo>
                <a:cubicBezTo>
                  <a:pt x="1099" y="558"/>
                  <a:pt x="1107" y="580"/>
                  <a:pt x="1135" y="580"/>
                </a:cubicBezTo>
                <a:cubicBezTo>
                  <a:pt x="1160" y="580"/>
                  <a:pt x="1192" y="557"/>
                  <a:pt x="1224" y="569"/>
                </a:cubicBezTo>
                <a:cubicBezTo>
                  <a:pt x="1266" y="586"/>
                  <a:pt x="1245" y="512"/>
                  <a:pt x="1301" y="512"/>
                </a:cubicBezTo>
                <a:cubicBezTo>
                  <a:pt x="1340" y="512"/>
                  <a:pt x="1339" y="543"/>
                  <a:pt x="1354" y="567"/>
                </a:cubicBezTo>
                <a:cubicBezTo>
                  <a:pt x="1360" y="576"/>
                  <a:pt x="1379" y="577"/>
                  <a:pt x="1387" y="585"/>
                </a:cubicBezTo>
                <a:cubicBezTo>
                  <a:pt x="1393" y="590"/>
                  <a:pt x="1398" y="607"/>
                  <a:pt x="1411" y="607"/>
                </a:cubicBezTo>
                <a:cubicBezTo>
                  <a:pt x="1426" y="607"/>
                  <a:pt x="1428" y="593"/>
                  <a:pt x="1446" y="593"/>
                </a:cubicBezTo>
                <a:cubicBezTo>
                  <a:pt x="1446" y="604"/>
                  <a:pt x="1446" y="604"/>
                  <a:pt x="1446" y="604"/>
                </a:cubicBezTo>
                <a:cubicBezTo>
                  <a:pt x="1437" y="614"/>
                  <a:pt x="1433" y="638"/>
                  <a:pt x="1422" y="644"/>
                </a:cubicBezTo>
                <a:cubicBezTo>
                  <a:pt x="1412" y="650"/>
                  <a:pt x="1394" y="651"/>
                  <a:pt x="1400" y="655"/>
                </a:cubicBezTo>
                <a:cubicBezTo>
                  <a:pt x="1415" y="665"/>
                  <a:pt x="1398" y="684"/>
                  <a:pt x="1398" y="684"/>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31" name="Freeform 147" hidden="1">
            <a:extLst>
              <a:ext uri="{FF2B5EF4-FFF2-40B4-BE49-F238E27FC236}">
                <a16:creationId xmlns:a16="http://schemas.microsoft.com/office/drawing/2014/main" id="{00000000-0008-0000-0000-000083000000}"/>
              </a:ext>
            </a:extLst>
          </xdr:cNvPr>
          <xdr:cNvSpPr>
            <a:spLocks/>
          </xdr:cNvSpPr>
        </xdr:nvSpPr>
        <xdr:spPr bwMode="auto">
          <a:xfrm>
            <a:off x="5614988" y="1879600"/>
            <a:ext cx="1023938" cy="646113"/>
          </a:xfrm>
          <a:custGeom>
            <a:avLst/>
            <a:gdLst/>
            <a:ahLst/>
            <a:cxnLst>
              <a:cxn ang="0">
                <a:pos x="585" y="307"/>
              </a:cxn>
              <a:cxn ang="0">
                <a:pos x="573" y="287"/>
              </a:cxn>
              <a:cxn ang="0">
                <a:pos x="614" y="256"/>
              </a:cxn>
              <a:cxn ang="0">
                <a:pos x="588" y="246"/>
              </a:cxn>
              <a:cxn ang="0">
                <a:pos x="570" y="255"/>
              </a:cxn>
              <a:cxn ang="0">
                <a:pos x="552" y="236"/>
              </a:cxn>
              <a:cxn ang="0">
                <a:pos x="590" y="209"/>
              </a:cxn>
              <a:cxn ang="0">
                <a:pos x="606" y="212"/>
              </a:cxn>
              <a:cxn ang="0">
                <a:pos x="634" y="216"/>
              </a:cxn>
              <a:cxn ang="0">
                <a:pos x="648" y="231"/>
              </a:cxn>
              <a:cxn ang="0">
                <a:pos x="648" y="248"/>
              </a:cxn>
              <a:cxn ang="0">
                <a:pos x="666" y="254"/>
              </a:cxn>
              <a:cxn ang="0">
                <a:pos x="659" y="264"/>
              </a:cxn>
              <a:cxn ang="0">
                <a:pos x="665" y="275"/>
              </a:cxn>
              <a:cxn ang="0">
                <a:pos x="664" y="290"/>
              </a:cxn>
              <a:cxn ang="0">
                <a:pos x="668" y="295"/>
              </a:cxn>
              <a:cxn ang="0">
                <a:pos x="690" y="286"/>
              </a:cxn>
              <a:cxn ang="0">
                <a:pos x="683" y="232"/>
              </a:cxn>
              <a:cxn ang="0">
                <a:pos x="688" y="210"/>
              </a:cxn>
              <a:cxn ang="0">
                <a:pos x="721" y="172"/>
              </a:cxn>
              <a:cxn ang="0">
                <a:pos x="745" y="132"/>
              </a:cxn>
              <a:cxn ang="0">
                <a:pos x="769" y="81"/>
              </a:cxn>
              <a:cxn ang="0">
                <a:pos x="710" y="73"/>
              </a:cxn>
              <a:cxn ang="0">
                <a:pos x="624" y="0"/>
              </a:cxn>
              <a:cxn ang="0">
                <a:pos x="458" y="68"/>
              </a:cxn>
              <a:cxn ang="0">
                <a:pos x="355" y="33"/>
              </a:cxn>
              <a:cxn ang="0">
                <a:pos x="284" y="55"/>
              </a:cxn>
              <a:cxn ang="0">
                <a:pos x="218" y="53"/>
              </a:cxn>
              <a:cxn ang="0">
                <a:pos x="123" y="108"/>
              </a:cxn>
              <a:cxn ang="0">
                <a:pos x="17" y="207"/>
              </a:cxn>
              <a:cxn ang="0">
                <a:pos x="15" y="251"/>
              </a:cxn>
              <a:cxn ang="0">
                <a:pos x="25" y="261"/>
              </a:cxn>
              <a:cxn ang="0">
                <a:pos x="50" y="280"/>
              </a:cxn>
              <a:cxn ang="0">
                <a:pos x="83" y="284"/>
              </a:cxn>
              <a:cxn ang="0">
                <a:pos x="73" y="317"/>
              </a:cxn>
              <a:cxn ang="0">
                <a:pos x="63" y="326"/>
              </a:cxn>
              <a:cxn ang="0">
                <a:pos x="73" y="343"/>
              </a:cxn>
              <a:cxn ang="0">
                <a:pos x="110" y="357"/>
              </a:cxn>
              <a:cxn ang="0">
                <a:pos x="132" y="373"/>
              </a:cxn>
              <a:cxn ang="0">
                <a:pos x="160" y="384"/>
              </a:cxn>
              <a:cxn ang="0">
                <a:pos x="186" y="382"/>
              </a:cxn>
              <a:cxn ang="0">
                <a:pos x="210" y="381"/>
              </a:cxn>
              <a:cxn ang="0">
                <a:pos x="255" y="372"/>
              </a:cxn>
              <a:cxn ang="0">
                <a:pos x="275" y="366"/>
              </a:cxn>
              <a:cxn ang="0">
                <a:pos x="282" y="362"/>
              </a:cxn>
              <a:cxn ang="0">
                <a:pos x="316" y="400"/>
              </a:cxn>
              <a:cxn ang="0">
                <a:pos x="306" y="439"/>
              </a:cxn>
              <a:cxn ang="0">
                <a:pos x="324" y="450"/>
              </a:cxn>
              <a:cxn ang="0">
                <a:pos x="346" y="467"/>
              </a:cxn>
              <a:cxn ang="0">
                <a:pos x="351" y="472"/>
              </a:cxn>
              <a:cxn ang="0">
                <a:pos x="353" y="457"/>
              </a:cxn>
              <a:cxn ang="0">
                <a:pos x="379" y="454"/>
              </a:cxn>
              <a:cxn ang="0">
                <a:pos x="416" y="453"/>
              </a:cxn>
              <a:cxn ang="0">
                <a:pos x="431" y="470"/>
              </a:cxn>
              <a:cxn ang="0">
                <a:pos x="454" y="486"/>
              </a:cxn>
              <a:cxn ang="0">
                <a:pos x="476" y="470"/>
              </a:cxn>
              <a:cxn ang="0">
                <a:pos x="503" y="455"/>
              </a:cxn>
              <a:cxn ang="0">
                <a:pos x="552" y="439"/>
              </a:cxn>
              <a:cxn ang="0">
                <a:pos x="576" y="406"/>
              </a:cxn>
              <a:cxn ang="0">
                <a:pos x="604" y="355"/>
              </a:cxn>
              <a:cxn ang="0">
                <a:pos x="586" y="307"/>
              </a:cxn>
            </a:cxnLst>
            <a:rect l="0" t="0" r="r" b="b"/>
            <a:pathLst>
              <a:path w="769" h="486">
                <a:moveTo>
                  <a:pt x="586" y="307"/>
                </a:moveTo>
                <a:cubicBezTo>
                  <a:pt x="585" y="307"/>
                  <a:pt x="585" y="307"/>
                  <a:pt x="585" y="307"/>
                </a:cubicBezTo>
                <a:cubicBezTo>
                  <a:pt x="585" y="307"/>
                  <a:pt x="585" y="300"/>
                  <a:pt x="585" y="298"/>
                </a:cubicBezTo>
                <a:cubicBezTo>
                  <a:pt x="582" y="298"/>
                  <a:pt x="573" y="294"/>
                  <a:pt x="573" y="287"/>
                </a:cubicBezTo>
                <a:cubicBezTo>
                  <a:pt x="573" y="282"/>
                  <a:pt x="581" y="282"/>
                  <a:pt x="582" y="276"/>
                </a:cubicBezTo>
                <a:cubicBezTo>
                  <a:pt x="586" y="264"/>
                  <a:pt x="605" y="264"/>
                  <a:pt x="614" y="256"/>
                </a:cubicBezTo>
                <a:cubicBezTo>
                  <a:pt x="611" y="251"/>
                  <a:pt x="604" y="256"/>
                  <a:pt x="598" y="252"/>
                </a:cubicBezTo>
                <a:cubicBezTo>
                  <a:pt x="595" y="250"/>
                  <a:pt x="593" y="246"/>
                  <a:pt x="588" y="246"/>
                </a:cubicBezTo>
                <a:cubicBezTo>
                  <a:pt x="585" y="246"/>
                  <a:pt x="585" y="256"/>
                  <a:pt x="582" y="256"/>
                </a:cubicBezTo>
                <a:cubicBezTo>
                  <a:pt x="578" y="256"/>
                  <a:pt x="574" y="257"/>
                  <a:pt x="570" y="255"/>
                </a:cubicBezTo>
                <a:cubicBezTo>
                  <a:pt x="565" y="252"/>
                  <a:pt x="567" y="247"/>
                  <a:pt x="562" y="243"/>
                </a:cubicBezTo>
                <a:cubicBezTo>
                  <a:pt x="560" y="242"/>
                  <a:pt x="552" y="240"/>
                  <a:pt x="552" y="236"/>
                </a:cubicBezTo>
                <a:cubicBezTo>
                  <a:pt x="552" y="227"/>
                  <a:pt x="565" y="230"/>
                  <a:pt x="571" y="225"/>
                </a:cubicBezTo>
                <a:cubicBezTo>
                  <a:pt x="577" y="221"/>
                  <a:pt x="587" y="215"/>
                  <a:pt x="590" y="209"/>
                </a:cubicBezTo>
                <a:cubicBezTo>
                  <a:pt x="591" y="208"/>
                  <a:pt x="593" y="203"/>
                  <a:pt x="597" y="203"/>
                </a:cubicBezTo>
                <a:cubicBezTo>
                  <a:pt x="601" y="203"/>
                  <a:pt x="606" y="209"/>
                  <a:pt x="606" y="212"/>
                </a:cubicBezTo>
                <a:cubicBezTo>
                  <a:pt x="606" y="219"/>
                  <a:pt x="597" y="222"/>
                  <a:pt x="597" y="230"/>
                </a:cubicBezTo>
                <a:cubicBezTo>
                  <a:pt x="610" y="230"/>
                  <a:pt x="620" y="216"/>
                  <a:pt x="634" y="216"/>
                </a:cubicBezTo>
                <a:cubicBezTo>
                  <a:pt x="639" y="216"/>
                  <a:pt x="641" y="221"/>
                  <a:pt x="648" y="221"/>
                </a:cubicBezTo>
                <a:cubicBezTo>
                  <a:pt x="646" y="226"/>
                  <a:pt x="648" y="226"/>
                  <a:pt x="648" y="231"/>
                </a:cubicBezTo>
                <a:cubicBezTo>
                  <a:pt x="648" y="235"/>
                  <a:pt x="643" y="235"/>
                  <a:pt x="643" y="240"/>
                </a:cubicBezTo>
                <a:cubicBezTo>
                  <a:pt x="643" y="242"/>
                  <a:pt x="645" y="248"/>
                  <a:pt x="648" y="248"/>
                </a:cubicBezTo>
                <a:cubicBezTo>
                  <a:pt x="649" y="248"/>
                  <a:pt x="651" y="245"/>
                  <a:pt x="654" y="245"/>
                </a:cubicBezTo>
                <a:cubicBezTo>
                  <a:pt x="659" y="245"/>
                  <a:pt x="666" y="249"/>
                  <a:pt x="666" y="254"/>
                </a:cubicBezTo>
                <a:cubicBezTo>
                  <a:pt x="666" y="257"/>
                  <a:pt x="662" y="260"/>
                  <a:pt x="659" y="260"/>
                </a:cubicBezTo>
                <a:cubicBezTo>
                  <a:pt x="659" y="264"/>
                  <a:pt x="659" y="264"/>
                  <a:pt x="659" y="264"/>
                </a:cubicBezTo>
                <a:cubicBezTo>
                  <a:pt x="660" y="265"/>
                  <a:pt x="660" y="267"/>
                  <a:pt x="663" y="268"/>
                </a:cubicBezTo>
                <a:cubicBezTo>
                  <a:pt x="663" y="270"/>
                  <a:pt x="665" y="272"/>
                  <a:pt x="665" y="275"/>
                </a:cubicBezTo>
                <a:cubicBezTo>
                  <a:pt x="665" y="276"/>
                  <a:pt x="661" y="282"/>
                  <a:pt x="661" y="285"/>
                </a:cubicBezTo>
                <a:cubicBezTo>
                  <a:pt x="661" y="287"/>
                  <a:pt x="661" y="289"/>
                  <a:pt x="664" y="290"/>
                </a:cubicBezTo>
                <a:cubicBezTo>
                  <a:pt x="663" y="292"/>
                  <a:pt x="661" y="293"/>
                  <a:pt x="661" y="295"/>
                </a:cubicBezTo>
                <a:cubicBezTo>
                  <a:pt x="668" y="295"/>
                  <a:pt x="668" y="295"/>
                  <a:pt x="668" y="295"/>
                </a:cubicBezTo>
                <a:cubicBezTo>
                  <a:pt x="670" y="293"/>
                  <a:pt x="671" y="293"/>
                  <a:pt x="676" y="291"/>
                </a:cubicBezTo>
                <a:cubicBezTo>
                  <a:pt x="676" y="287"/>
                  <a:pt x="687" y="287"/>
                  <a:pt x="690" y="286"/>
                </a:cubicBezTo>
                <a:cubicBezTo>
                  <a:pt x="696" y="284"/>
                  <a:pt x="699" y="279"/>
                  <a:pt x="699" y="269"/>
                </a:cubicBezTo>
                <a:cubicBezTo>
                  <a:pt x="699" y="252"/>
                  <a:pt x="692" y="242"/>
                  <a:pt x="683" y="232"/>
                </a:cubicBezTo>
                <a:cubicBezTo>
                  <a:pt x="679" y="228"/>
                  <a:pt x="674" y="224"/>
                  <a:pt x="675" y="217"/>
                </a:cubicBezTo>
                <a:cubicBezTo>
                  <a:pt x="680" y="217"/>
                  <a:pt x="685" y="214"/>
                  <a:pt x="688" y="210"/>
                </a:cubicBezTo>
                <a:cubicBezTo>
                  <a:pt x="691" y="207"/>
                  <a:pt x="699" y="203"/>
                  <a:pt x="701" y="199"/>
                </a:cubicBezTo>
                <a:cubicBezTo>
                  <a:pt x="707" y="187"/>
                  <a:pt x="710" y="180"/>
                  <a:pt x="721" y="172"/>
                </a:cubicBezTo>
                <a:cubicBezTo>
                  <a:pt x="721" y="172"/>
                  <a:pt x="738" y="153"/>
                  <a:pt x="723" y="143"/>
                </a:cubicBezTo>
                <a:cubicBezTo>
                  <a:pt x="717" y="139"/>
                  <a:pt x="735" y="138"/>
                  <a:pt x="745" y="132"/>
                </a:cubicBezTo>
                <a:cubicBezTo>
                  <a:pt x="756" y="126"/>
                  <a:pt x="760" y="102"/>
                  <a:pt x="769" y="92"/>
                </a:cubicBezTo>
                <a:cubicBezTo>
                  <a:pt x="769" y="81"/>
                  <a:pt x="769" y="81"/>
                  <a:pt x="769" y="81"/>
                </a:cubicBezTo>
                <a:cubicBezTo>
                  <a:pt x="751" y="81"/>
                  <a:pt x="749" y="95"/>
                  <a:pt x="734" y="95"/>
                </a:cubicBezTo>
                <a:cubicBezTo>
                  <a:pt x="721" y="95"/>
                  <a:pt x="716" y="78"/>
                  <a:pt x="710" y="73"/>
                </a:cubicBezTo>
                <a:cubicBezTo>
                  <a:pt x="702" y="65"/>
                  <a:pt x="683" y="64"/>
                  <a:pt x="677" y="55"/>
                </a:cubicBezTo>
                <a:cubicBezTo>
                  <a:pt x="662" y="31"/>
                  <a:pt x="663" y="0"/>
                  <a:pt x="624" y="0"/>
                </a:cubicBezTo>
                <a:cubicBezTo>
                  <a:pt x="568" y="0"/>
                  <a:pt x="589" y="74"/>
                  <a:pt x="547" y="57"/>
                </a:cubicBezTo>
                <a:cubicBezTo>
                  <a:pt x="515" y="45"/>
                  <a:pt x="483" y="68"/>
                  <a:pt x="458" y="68"/>
                </a:cubicBezTo>
                <a:cubicBezTo>
                  <a:pt x="430" y="68"/>
                  <a:pt x="422" y="46"/>
                  <a:pt x="395" y="46"/>
                </a:cubicBezTo>
                <a:cubicBezTo>
                  <a:pt x="383" y="46"/>
                  <a:pt x="365" y="61"/>
                  <a:pt x="355" y="33"/>
                </a:cubicBezTo>
                <a:cubicBezTo>
                  <a:pt x="352" y="26"/>
                  <a:pt x="325" y="22"/>
                  <a:pt x="317" y="22"/>
                </a:cubicBezTo>
                <a:cubicBezTo>
                  <a:pt x="304" y="22"/>
                  <a:pt x="309" y="55"/>
                  <a:pt x="284" y="55"/>
                </a:cubicBezTo>
                <a:cubicBezTo>
                  <a:pt x="266" y="55"/>
                  <a:pt x="247" y="42"/>
                  <a:pt x="236" y="42"/>
                </a:cubicBezTo>
                <a:cubicBezTo>
                  <a:pt x="229" y="42"/>
                  <a:pt x="221" y="51"/>
                  <a:pt x="218" y="53"/>
                </a:cubicBezTo>
                <a:cubicBezTo>
                  <a:pt x="196" y="66"/>
                  <a:pt x="170" y="66"/>
                  <a:pt x="152" y="81"/>
                </a:cubicBezTo>
                <a:cubicBezTo>
                  <a:pt x="145" y="88"/>
                  <a:pt x="159" y="112"/>
                  <a:pt x="123" y="108"/>
                </a:cubicBezTo>
                <a:cubicBezTo>
                  <a:pt x="110" y="106"/>
                  <a:pt x="108" y="133"/>
                  <a:pt x="86" y="137"/>
                </a:cubicBezTo>
                <a:cubicBezTo>
                  <a:pt x="86" y="186"/>
                  <a:pt x="58" y="207"/>
                  <a:pt x="17" y="207"/>
                </a:cubicBezTo>
                <a:cubicBezTo>
                  <a:pt x="10" y="207"/>
                  <a:pt x="1" y="227"/>
                  <a:pt x="0" y="236"/>
                </a:cubicBezTo>
                <a:cubicBezTo>
                  <a:pt x="11" y="238"/>
                  <a:pt x="13" y="241"/>
                  <a:pt x="15" y="251"/>
                </a:cubicBezTo>
                <a:cubicBezTo>
                  <a:pt x="15" y="253"/>
                  <a:pt x="15" y="253"/>
                  <a:pt x="15" y="253"/>
                </a:cubicBezTo>
                <a:cubicBezTo>
                  <a:pt x="15" y="261"/>
                  <a:pt x="19" y="259"/>
                  <a:pt x="25" y="261"/>
                </a:cubicBezTo>
                <a:cubicBezTo>
                  <a:pt x="30" y="262"/>
                  <a:pt x="28" y="268"/>
                  <a:pt x="31" y="271"/>
                </a:cubicBezTo>
                <a:cubicBezTo>
                  <a:pt x="37" y="277"/>
                  <a:pt x="42" y="277"/>
                  <a:pt x="50" y="280"/>
                </a:cubicBezTo>
                <a:cubicBezTo>
                  <a:pt x="58" y="279"/>
                  <a:pt x="61" y="272"/>
                  <a:pt x="69" y="272"/>
                </a:cubicBezTo>
                <a:cubicBezTo>
                  <a:pt x="73" y="272"/>
                  <a:pt x="83" y="280"/>
                  <a:pt x="83" y="284"/>
                </a:cubicBezTo>
                <a:cubicBezTo>
                  <a:pt x="83" y="296"/>
                  <a:pt x="66" y="294"/>
                  <a:pt x="66" y="306"/>
                </a:cubicBezTo>
                <a:cubicBezTo>
                  <a:pt x="66" y="311"/>
                  <a:pt x="73" y="312"/>
                  <a:pt x="73" y="317"/>
                </a:cubicBezTo>
                <a:cubicBezTo>
                  <a:pt x="73" y="323"/>
                  <a:pt x="68" y="322"/>
                  <a:pt x="63" y="322"/>
                </a:cubicBezTo>
                <a:cubicBezTo>
                  <a:pt x="63" y="326"/>
                  <a:pt x="63" y="326"/>
                  <a:pt x="63" y="326"/>
                </a:cubicBezTo>
                <a:cubicBezTo>
                  <a:pt x="64" y="331"/>
                  <a:pt x="64" y="335"/>
                  <a:pt x="65" y="340"/>
                </a:cubicBezTo>
                <a:cubicBezTo>
                  <a:pt x="66" y="343"/>
                  <a:pt x="71" y="342"/>
                  <a:pt x="73" y="343"/>
                </a:cubicBezTo>
                <a:cubicBezTo>
                  <a:pt x="80" y="345"/>
                  <a:pt x="83" y="351"/>
                  <a:pt x="91" y="353"/>
                </a:cubicBezTo>
                <a:cubicBezTo>
                  <a:pt x="100" y="355"/>
                  <a:pt x="105" y="352"/>
                  <a:pt x="110" y="357"/>
                </a:cubicBezTo>
                <a:cubicBezTo>
                  <a:pt x="116" y="363"/>
                  <a:pt x="120" y="361"/>
                  <a:pt x="127" y="364"/>
                </a:cubicBezTo>
                <a:cubicBezTo>
                  <a:pt x="130" y="366"/>
                  <a:pt x="130" y="369"/>
                  <a:pt x="132" y="373"/>
                </a:cubicBezTo>
                <a:cubicBezTo>
                  <a:pt x="133" y="376"/>
                  <a:pt x="137" y="372"/>
                  <a:pt x="139" y="373"/>
                </a:cubicBezTo>
                <a:cubicBezTo>
                  <a:pt x="146" y="378"/>
                  <a:pt x="150" y="384"/>
                  <a:pt x="160" y="384"/>
                </a:cubicBezTo>
                <a:cubicBezTo>
                  <a:pt x="166" y="384"/>
                  <a:pt x="172" y="384"/>
                  <a:pt x="178" y="384"/>
                </a:cubicBezTo>
                <a:cubicBezTo>
                  <a:pt x="182" y="384"/>
                  <a:pt x="184" y="382"/>
                  <a:pt x="186" y="382"/>
                </a:cubicBezTo>
                <a:cubicBezTo>
                  <a:pt x="189" y="382"/>
                  <a:pt x="190" y="389"/>
                  <a:pt x="191" y="392"/>
                </a:cubicBezTo>
                <a:cubicBezTo>
                  <a:pt x="197" y="389"/>
                  <a:pt x="199" y="381"/>
                  <a:pt x="210" y="381"/>
                </a:cubicBezTo>
                <a:cubicBezTo>
                  <a:pt x="219" y="381"/>
                  <a:pt x="224" y="386"/>
                  <a:pt x="231" y="386"/>
                </a:cubicBezTo>
                <a:cubicBezTo>
                  <a:pt x="238" y="386"/>
                  <a:pt x="252" y="374"/>
                  <a:pt x="255" y="372"/>
                </a:cubicBezTo>
                <a:cubicBezTo>
                  <a:pt x="258" y="370"/>
                  <a:pt x="259" y="369"/>
                  <a:pt x="260" y="367"/>
                </a:cubicBezTo>
                <a:cubicBezTo>
                  <a:pt x="264" y="363"/>
                  <a:pt x="270" y="368"/>
                  <a:pt x="275" y="366"/>
                </a:cubicBezTo>
                <a:cubicBezTo>
                  <a:pt x="279" y="362"/>
                  <a:pt x="279" y="362"/>
                  <a:pt x="279" y="362"/>
                </a:cubicBezTo>
                <a:cubicBezTo>
                  <a:pt x="282" y="362"/>
                  <a:pt x="282" y="362"/>
                  <a:pt x="282" y="362"/>
                </a:cubicBezTo>
                <a:cubicBezTo>
                  <a:pt x="285" y="377"/>
                  <a:pt x="294" y="376"/>
                  <a:pt x="305" y="381"/>
                </a:cubicBezTo>
                <a:cubicBezTo>
                  <a:pt x="309" y="388"/>
                  <a:pt x="316" y="391"/>
                  <a:pt x="316" y="400"/>
                </a:cubicBezTo>
                <a:cubicBezTo>
                  <a:pt x="316" y="417"/>
                  <a:pt x="304" y="418"/>
                  <a:pt x="304" y="434"/>
                </a:cubicBezTo>
                <a:cubicBezTo>
                  <a:pt x="304" y="436"/>
                  <a:pt x="305" y="439"/>
                  <a:pt x="306" y="439"/>
                </a:cubicBezTo>
                <a:cubicBezTo>
                  <a:pt x="309" y="439"/>
                  <a:pt x="312" y="436"/>
                  <a:pt x="315" y="436"/>
                </a:cubicBezTo>
                <a:cubicBezTo>
                  <a:pt x="319" y="436"/>
                  <a:pt x="320" y="449"/>
                  <a:pt x="324" y="450"/>
                </a:cubicBezTo>
                <a:cubicBezTo>
                  <a:pt x="324" y="459"/>
                  <a:pt x="330" y="468"/>
                  <a:pt x="338" y="468"/>
                </a:cubicBezTo>
                <a:cubicBezTo>
                  <a:pt x="342" y="468"/>
                  <a:pt x="343" y="467"/>
                  <a:pt x="346" y="467"/>
                </a:cubicBezTo>
                <a:cubicBezTo>
                  <a:pt x="348" y="467"/>
                  <a:pt x="348" y="467"/>
                  <a:pt x="348" y="467"/>
                </a:cubicBezTo>
                <a:cubicBezTo>
                  <a:pt x="348" y="471"/>
                  <a:pt x="350" y="472"/>
                  <a:pt x="351" y="472"/>
                </a:cubicBezTo>
                <a:cubicBezTo>
                  <a:pt x="352" y="472"/>
                  <a:pt x="353" y="470"/>
                  <a:pt x="353" y="468"/>
                </a:cubicBezTo>
                <a:cubicBezTo>
                  <a:pt x="353" y="464"/>
                  <a:pt x="353" y="461"/>
                  <a:pt x="353" y="457"/>
                </a:cubicBezTo>
                <a:cubicBezTo>
                  <a:pt x="353" y="457"/>
                  <a:pt x="363" y="454"/>
                  <a:pt x="365" y="454"/>
                </a:cubicBezTo>
                <a:cubicBezTo>
                  <a:pt x="379" y="454"/>
                  <a:pt x="379" y="454"/>
                  <a:pt x="379" y="454"/>
                </a:cubicBezTo>
                <a:cubicBezTo>
                  <a:pt x="385" y="457"/>
                  <a:pt x="390" y="448"/>
                  <a:pt x="397" y="448"/>
                </a:cubicBezTo>
                <a:cubicBezTo>
                  <a:pt x="404" y="448"/>
                  <a:pt x="408" y="453"/>
                  <a:pt x="416" y="453"/>
                </a:cubicBezTo>
                <a:cubicBezTo>
                  <a:pt x="416" y="464"/>
                  <a:pt x="424" y="468"/>
                  <a:pt x="431" y="470"/>
                </a:cubicBezTo>
                <a:cubicBezTo>
                  <a:pt x="431" y="470"/>
                  <a:pt x="431" y="470"/>
                  <a:pt x="431" y="470"/>
                </a:cubicBezTo>
                <a:cubicBezTo>
                  <a:pt x="439" y="474"/>
                  <a:pt x="444" y="471"/>
                  <a:pt x="452" y="475"/>
                </a:cubicBezTo>
                <a:cubicBezTo>
                  <a:pt x="452" y="477"/>
                  <a:pt x="451" y="486"/>
                  <a:pt x="454" y="486"/>
                </a:cubicBezTo>
                <a:cubicBezTo>
                  <a:pt x="459" y="486"/>
                  <a:pt x="457" y="480"/>
                  <a:pt x="460" y="477"/>
                </a:cubicBezTo>
                <a:cubicBezTo>
                  <a:pt x="463" y="474"/>
                  <a:pt x="472" y="472"/>
                  <a:pt x="476" y="470"/>
                </a:cubicBezTo>
                <a:cubicBezTo>
                  <a:pt x="484" y="466"/>
                  <a:pt x="492" y="468"/>
                  <a:pt x="498" y="463"/>
                </a:cubicBezTo>
                <a:cubicBezTo>
                  <a:pt x="498" y="463"/>
                  <a:pt x="502" y="455"/>
                  <a:pt x="503" y="455"/>
                </a:cubicBezTo>
                <a:cubicBezTo>
                  <a:pt x="507" y="455"/>
                  <a:pt x="510" y="458"/>
                  <a:pt x="514" y="458"/>
                </a:cubicBezTo>
                <a:cubicBezTo>
                  <a:pt x="534" y="458"/>
                  <a:pt x="539" y="446"/>
                  <a:pt x="552" y="439"/>
                </a:cubicBezTo>
                <a:cubicBezTo>
                  <a:pt x="555" y="437"/>
                  <a:pt x="557" y="435"/>
                  <a:pt x="558" y="431"/>
                </a:cubicBezTo>
                <a:cubicBezTo>
                  <a:pt x="569" y="431"/>
                  <a:pt x="572" y="414"/>
                  <a:pt x="576" y="406"/>
                </a:cubicBezTo>
                <a:cubicBezTo>
                  <a:pt x="578" y="401"/>
                  <a:pt x="590" y="383"/>
                  <a:pt x="597" y="382"/>
                </a:cubicBezTo>
                <a:cubicBezTo>
                  <a:pt x="597" y="372"/>
                  <a:pt x="604" y="368"/>
                  <a:pt x="604" y="355"/>
                </a:cubicBezTo>
                <a:cubicBezTo>
                  <a:pt x="604" y="336"/>
                  <a:pt x="599" y="329"/>
                  <a:pt x="591" y="317"/>
                </a:cubicBezTo>
                <a:cubicBezTo>
                  <a:pt x="590" y="315"/>
                  <a:pt x="590" y="309"/>
                  <a:pt x="586" y="307"/>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32" name="Freeform 148" hidden="1">
            <a:extLst>
              <a:ext uri="{FF2B5EF4-FFF2-40B4-BE49-F238E27FC236}">
                <a16:creationId xmlns:a16="http://schemas.microsoft.com/office/drawing/2014/main" id="{00000000-0008-0000-0000-000084000000}"/>
              </a:ext>
            </a:extLst>
          </xdr:cNvPr>
          <xdr:cNvSpPr>
            <a:spLocks/>
          </xdr:cNvSpPr>
        </xdr:nvSpPr>
        <xdr:spPr bwMode="auto">
          <a:xfrm>
            <a:off x="7369175" y="1395413"/>
            <a:ext cx="58738" cy="25400"/>
          </a:xfrm>
          <a:custGeom>
            <a:avLst/>
            <a:gdLst/>
            <a:ahLst/>
            <a:cxnLst>
              <a:cxn ang="0">
                <a:pos x="4" y="19"/>
              </a:cxn>
              <a:cxn ang="0">
                <a:pos x="0" y="14"/>
              </a:cxn>
              <a:cxn ang="0">
                <a:pos x="20" y="0"/>
              </a:cxn>
              <a:cxn ang="0">
                <a:pos x="44" y="11"/>
              </a:cxn>
              <a:cxn ang="0">
                <a:pos x="4" y="19"/>
              </a:cxn>
            </a:cxnLst>
            <a:rect l="0" t="0" r="r" b="b"/>
            <a:pathLst>
              <a:path w="44" h="19">
                <a:moveTo>
                  <a:pt x="4" y="19"/>
                </a:moveTo>
                <a:cubicBezTo>
                  <a:pt x="1" y="19"/>
                  <a:pt x="0" y="17"/>
                  <a:pt x="0" y="14"/>
                </a:cubicBezTo>
                <a:cubicBezTo>
                  <a:pt x="0" y="8"/>
                  <a:pt x="13" y="0"/>
                  <a:pt x="20" y="0"/>
                </a:cubicBezTo>
                <a:cubicBezTo>
                  <a:pt x="27" y="0"/>
                  <a:pt x="44" y="4"/>
                  <a:pt x="44" y="11"/>
                </a:cubicBezTo>
                <a:cubicBezTo>
                  <a:pt x="44" y="17"/>
                  <a:pt x="9" y="19"/>
                  <a:pt x="4" y="19"/>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33" name="Freeform 149" hidden="1">
            <a:extLst>
              <a:ext uri="{FF2B5EF4-FFF2-40B4-BE49-F238E27FC236}">
                <a16:creationId xmlns:a16="http://schemas.microsoft.com/office/drawing/2014/main" id="{00000000-0008-0000-0000-000085000000}"/>
              </a:ext>
            </a:extLst>
          </xdr:cNvPr>
          <xdr:cNvSpPr>
            <a:spLocks/>
          </xdr:cNvSpPr>
        </xdr:nvSpPr>
        <xdr:spPr bwMode="auto">
          <a:xfrm>
            <a:off x="7191375" y="1443038"/>
            <a:ext cx="23813" cy="14288"/>
          </a:xfrm>
          <a:custGeom>
            <a:avLst/>
            <a:gdLst/>
            <a:ahLst/>
            <a:cxnLst>
              <a:cxn ang="0">
                <a:pos x="13" y="10"/>
              </a:cxn>
              <a:cxn ang="0">
                <a:pos x="18" y="6"/>
              </a:cxn>
              <a:cxn ang="0">
                <a:pos x="15" y="0"/>
              </a:cxn>
              <a:cxn ang="0">
                <a:pos x="0" y="0"/>
              </a:cxn>
              <a:cxn ang="0">
                <a:pos x="13" y="10"/>
              </a:cxn>
            </a:cxnLst>
            <a:rect l="0" t="0" r="r" b="b"/>
            <a:pathLst>
              <a:path w="18" h="10">
                <a:moveTo>
                  <a:pt x="13" y="10"/>
                </a:moveTo>
                <a:cubicBezTo>
                  <a:pt x="15" y="10"/>
                  <a:pt x="18" y="8"/>
                  <a:pt x="18" y="6"/>
                </a:cubicBezTo>
                <a:cubicBezTo>
                  <a:pt x="18" y="3"/>
                  <a:pt x="15" y="2"/>
                  <a:pt x="15" y="0"/>
                </a:cubicBezTo>
                <a:cubicBezTo>
                  <a:pt x="0" y="0"/>
                  <a:pt x="0" y="0"/>
                  <a:pt x="0" y="0"/>
                </a:cubicBezTo>
                <a:cubicBezTo>
                  <a:pt x="3" y="6"/>
                  <a:pt x="7" y="10"/>
                  <a:pt x="13" y="10"/>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34" name="Freeform 150" hidden="1">
            <a:extLst>
              <a:ext uri="{FF2B5EF4-FFF2-40B4-BE49-F238E27FC236}">
                <a16:creationId xmlns:a16="http://schemas.microsoft.com/office/drawing/2014/main" id="{00000000-0008-0000-0000-000086000000}"/>
              </a:ext>
            </a:extLst>
          </xdr:cNvPr>
          <xdr:cNvSpPr>
            <a:spLocks/>
          </xdr:cNvSpPr>
        </xdr:nvSpPr>
        <xdr:spPr bwMode="auto">
          <a:xfrm>
            <a:off x="6645275" y="1257300"/>
            <a:ext cx="11113" cy="12700"/>
          </a:xfrm>
          <a:custGeom>
            <a:avLst/>
            <a:gdLst/>
            <a:ahLst/>
            <a:cxnLst>
              <a:cxn ang="0">
                <a:pos x="8" y="5"/>
              </a:cxn>
              <a:cxn ang="0">
                <a:pos x="3" y="0"/>
              </a:cxn>
              <a:cxn ang="0">
                <a:pos x="0" y="7"/>
              </a:cxn>
              <a:cxn ang="0">
                <a:pos x="3" y="10"/>
              </a:cxn>
              <a:cxn ang="0">
                <a:pos x="8" y="4"/>
              </a:cxn>
              <a:cxn ang="0">
                <a:pos x="6" y="4"/>
              </a:cxn>
              <a:cxn ang="0">
                <a:pos x="8" y="5"/>
              </a:cxn>
            </a:cxnLst>
            <a:rect l="0" t="0" r="r" b="b"/>
            <a:pathLst>
              <a:path w="8" h="10">
                <a:moveTo>
                  <a:pt x="8" y="5"/>
                </a:moveTo>
                <a:cubicBezTo>
                  <a:pt x="3" y="0"/>
                  <a:pt x="3" y="0"/>
                  <a:pt x="3" y="0"/>
                </a:cubicBezTo>
                <a:cubicBezTo>
                  <a:pt x="2" y="2"/>
                  <a:pt x="0" y="4"/>
                  <a:pt x="0" y="7"/>
                </a:cubicBezTo>
                <a:cubicBezTo>
                  <a:pt x="0" y="9"/>
                  <a:pt x="1" y="10"/>
                  <a:pt x="3" y="10"/>
                </a:cubicBezTo>
                <a:cubicBezTo>
                  <a:pt x="7" y="10"/>
                  <a:pt x="7" y="6"/>
                  <a:pt x="8" y="4"/>
                </a:cubicBezTo>
                <a:cubicBezTo>
                  <a:pt x="6" y="4"/>
                  <a:pt x="6" y="4"/>
                  <a:pt x="6" y="4"/>
                </a:cubicBezTo>
                <a:lnTo>
                  <a:pt x="8" y="5"/>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35" name="Freeform 151" hidden="1">
            <a:extLst>
              <a:ext uri="{FF2B5EF4-FFF2-40B4-BE49-F238E27FC236}">
                <a16:creationId xmlns:a16="http://schemas.microsoft.com/office/drawing/2014/main" id="{00000000-0008-0000-0000-000087000000}"/>
              </a:ext>
            </a:extLst>
          </xdr:cNvPr>
          <xdr:cNvSpPr>
            <a:spLocks/>
          </xdr:cNvSpPr>
        </xdr:nvSpPr>
        <xdr:spPr bwMode="auto">
          <a:xfrm>
            <a:off x="6249988" y="1300163"/>
            <a:ext cx="26988" cy="15875"/>
          </a:xfrm>
          <a:custGeom>
            <a:avLst/>
            <a:gdLst/>
            <a:ahLst/>
            <a:cxnLst>
              <a:cxn ang="0">
                <a:pos x="20" y="9"/>
              </a:cxn>
              <a:cxn ang="0">
                <a:pos x="10" y="12"/>
              </a:cxn>
              <a:cxn ang="0">
                <a:pos x="0" y="7"/>
              </a:cxn>
              <a:cxn ang="0">
                <a:pos x="10" y="0"/>
              </a:cxn>
              <a:cxn ang="0">
                <a:pos x="20" y="7"/>
              </a:cxn>
              <a:cxn ang="0">
                <a:pos x="17" y="12"/>
              </a:cxn>
              <a:cxn ang="0">
                <a:pos x="20" y="9"/>
              </a:cxn>
            </a:cxnLst>
            <a:rect l="0" t="0" r="r" b="b"/>
            <a:pathLst>
              <a:path w="20" h="12">
                <a:moveTo>
                  <a:pt x="20" y="9"/>
                </a:moveTo>
                <a:cubicBezTo>
                  <a:pt x="17" y="11"/>
                  <a:pt x="14" y="12"/>
                  <a:pt x="10" y="12"/>
                </a:cubicBezTo>
                <a:cubicBezTo>
                  <a:pt x="5" y="12"/>
                  <a:pt x="0" y="11"/>
                  <a:pt x="0" y="7"/>
                </a:cubicBezTo>
                <a:cubicBezTo>
                  <a:pt x="0" y="3"/>
                  <a:pt x="6" y="0"/>
                  <a:pt x="10" y="0"/>
                </a:cubicBezTo>
                <a:cubicBezTo>
                  <a:pt x="16" y="0"/>
                  <a:pt x="20" y="2"/>
                  <a:pt x="20" y="7"/>
                </a:cubicBezTo>
                <a:cubicBezTo>
                  <a:pt x="20" y="10"/>
                  <a:pt x="18" y="11"/>
                  <a:pt x="17" y="12"/>
                </a:cubicBezTo>
                <a:lnTo>
                  <a:pt x="20" y="9"/>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36" name="Freeform 152" hidden="1">
            <a:extLst>
              <a:ext uri="{FF2B5EF4-FFF2-40B4-BE49-F238E27FC236}">
                <a16:creationId xmlns:a16="http://schemas.microsoft.com/office/drawing/2014/main" id="{00000000-0008-0000-0000-000088000000}"/>
              </a:ext>
            </a:extLst>
          </xdr:cNvPr>
          <xdr:cNvSpPr>
            <a:spLocks/>
          </xdr:cNvSpPr>
        </xdr:nvSpPr>
        <xdr:spPr bwMode="auto">
          <a:xfrm>
            <a:off x="6043613" y="1128713"/>
            <a:ext cx="100013" cy="57150"/>
          </a:xfrm>
          <a:custGeom>
            <a:avLst/>
            <a:gdLst/>
            <a:ahLst/>
            <a:cxnLst>
              <a:cxn ang="0">
                <a:pos x="6" y="43"/>
              </a:cxn>
              <a:cxn ang="0">
                <a:pos x="0" y="37"/>
              </a:cxn>
              <a:cxn ang="0">
                <a:pos x="8" y="27"/>
              </a:cxn>
              <a:cxn ang="0">
                <a:pos x="39" y="0"/>
              </a:cxn>
              <a:cxn ang="0">
                <a:pos x="45" y="0"/>
              </a:cxn>
              <a:cxn ang="0">
                <a:pos x="44" y="10"/>
              </a:cxn>
              <a:cxn ang="0">
                <a:pos x="52" y="6"/>
              </a:cxn>
              <a:cxn ang="0">
                <a:pos x="76" y="23"/>
              </a:cxn>
              <a:cxn ang="0">
                <a:pos x="45" y="34"/>
              </a:cxn>
              <a:cxn ang="0">
                <a:pos x="30" y="37"/>
              </a:cxn>
              <a:cxn ang="0">
                <a:pos x="6" y="43"/>
              </a:cxn>
            </a:cxnLst>
            <a:rect l="0" t="0" r="r" b="b"/>
            <a:pathLst>
              <a:path w="76" h="43">
                <a:moveTo>
                  <a:pt x="6" y="43"/>
                </a:moveTo>
                <a:cubicBezTo>
                  <a:pt x="1" y="43"/>
                  <a:pt x="0" y="41"/>
                  <a:pt x="0" y="37"/>
                </a:cubicBezTo>
                <a:cubicBezTo>
                  <a:pt x="0" y="30"/>
                  <a:pt x="5" y="30"/>
                  <a:pt x="8" y="27"/>
                </a:cubicBezTo>
                <a:cubicBezTo>
                  <a:pt x="18" y="17"/>
                  <a:pt x="22" y="0"/>
                  <a:pt x="39" y="0"/>
                </a:cubicBezTo>
                <a:cubicBezTo>
                  <a:pt x="43" y="0"/>
                  <a:pt x="43" y="0"/>
                  <a:pt x="45" y="0"/>
                </a:cubicBezTo>
                <a:cubicBezTo>
                  <a:pt x="45" y="7"/>
                  <a:pt x="47" y="7"/>
                  <a:pt x="44" y="10"/>
                </a:cubicBezTo>
                <a:cubicBezTo>
                  <a:pt x="47" y="9"/>
                  <a:pt x="49" y="6"/>
                  <a:pt x="52" y="6"/>
                </a:cubicBezTo>
                <a:cubicBezTo>
                  <a:pt x="58" y="6"/>
                  <a:pt x="76" y="17"/>
                  <a:pt x="76" y="23"/>
                </a:cubicBezTo>
                <a:cubicBezTo>
                  <a:pt x="76" y="34"/>
                  <a:pt x="53" y="36"/>
                  <a:pt x="45" y="34"/>
                </a:cubicBezTo>
                <a:cubicBezTo>
                  <a:pt x="43" y="34"/>
                  <a:pt x="30" y="37"/>
                  <a:pt x="30" y="37"/>
                </a:cubicBezTo>
                <a:lnTo>
                  <a:pt x="6" y="43"/>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37" name="Freeform 153" hidden="1">
            <a:extLst>
              <a:ext uri="{FF2B5EF4-FFF2-40B4-BE49-F238E27FC236}">
                <a16:creationId xmlns:a16="http://schemas.microsoft.com/office/drawing/2014/main" id="{00000000-0008-0000-0000-000089000000}"/>
              </a:ext>
            </a:extLst>
          </xdr:cNvPr>
          <xdr:cNvSpPr>
            <a:spLocks/>
          </xdr:cNvSpPr>
        </xdr:nvSpPr>
        <xdr:spPr bwMode="auto">
          <a:xfrm>
            <a:off x="5900738" y="1101725"/>
            <a:ext cx="39688" cy="20638"/>
          </a:xfrm>
          <a:custGeom>
            <a:avLst/>
            <a:gdLst/>
            <a:ahLst/>
            <a:cxnLst>
              <a:cxn ang="0">
                <a:pos x="12" y="0"/>
              </a:cxn>
              <a:cxn ang="0">
                <a:pos x="30" y="7"/>
              </a:cxn>
              <a:cxn ang="0">
                <a:pos x="9" y="16"/>
              </a:cxn>
              <a:cxn ang="0">
                <a:pos x="0" y="5"/>
              </a:cxn>
              <a:cxn ang="0">
                <a:pos x="12" y="0"/>
              </a:cxn>
            </a:cxnLst>
            <a:rect l="0" t="0" r="r" b="b"/>
            <a:pathLst>
              <a:path w="30" h="16">
                <a:moveTo>
                  <a:pt x="12" y="0"/>
                </a:moveTo>
                <a:cubicBezTo>
                  <a:pt x="14" y="0"/>
                  <a:pt x="26" y="6"/>
                  <a:pt x="30" y="7"/>
                </a:cubicBezTo>
                <a:cubicBezTo>
                  <a:pt x="29" y="15"/>
                  <a:pt x="14" y="16"/>
                  <a:pt x="9" y="16"/>
                </a:cubicBezTo>
                <a:cubicBezTo>
                  <a:pt x="6" y="16"/>
                  <a:pt x="0" y="9"/>
                  <a:pt x="0" y="5"/>
                </a:cubicBezTo>
                <a:cubicBezTo>
                  <a:pt x="0" y="0"/>
                  <a:pt x="9" y="0"/>
                  <a:pt x="12" y="0"/>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38" name="Freeform 154" hidden="1">
            <a:extLst>
              <a:ext uri="{FF2B5EF4-FFF2-40B4-BE49-F238E27FC236}">
                <a16:creationId xmlns:a16="http://schemas.microsoft.com/office/drawing/2014/main" id="{00000000-0008-0000-0000-00008A000000}"/>
              </a:ext>
            </a:extLst>
          </xdr:cNvPr>
          <xdr:cNvSpPr>
            <a:spLocks/>
          </xdr:cNvSpPr>
        </xdr:nvSpPr>
        <xdr:spPr bwMode="auto">
          <a:xfrm>
            <a:off x="5913438" y="1057275"/>
            <a:ext cx="139700" cy="98425"/>
          </a:xfrm>
          <a:custGeom>
            <a:avLst/>
            <a:gdLst/>
            <a:ahLst/>
            <a:cxnLst>
              <a:cxn ang="0">
                <a:pos x="99" y="68"/>
              </a:cxn>
              <a:cxn ang="0">
                <a:pos x="90" y="74"/>
              </a:cxn>
              <a:cxn ang="0">
                <a:pos x="41" y="66"/>
              </a:cxn>
              <a:cxn ang="0">
                <a:pos x="17" y="50"/>
              </a:cxn>
              <a:cxn ang="0">
                <a:pos x="50" y="36"/>
              </a:cxn>
              <a:cxn ang="0">
                <a:pos x="32" y="36"/>
              </a:cxn>
              <a:cxn ang="0">
                <a:pos x="0" y="26"/>
              </a:cxn>
              <a:cxn ang="0">
                <a:pos x="46" y="0"/>
              </a:cxn>
              <a:cxn ang="0">
                <a:pos x="72" y="17"/>
              </a:cxn>
              <a:cxn ang="0">
                <a:pos x="67" y="18"/>
              </a:cxn>
              <a:cxn ang="0">
                <a:pos x="67" y="27"/>
              </a:cxn>
              <a:cxn ang="0">
                <a:pos x="59" y="35"/>
              </a:cxn>
              <a:cxn ang="0">
                <a:pos x="68" y="35"/>
              </a:cxn>
              <a:cxn ang="0">
                <a:pos x="81" y="39"/>
              </a:cxn>
              <a:cxn ang="0">
                <a:pos x="90" y="39"/>
              </a:cxn>
              <a:cxn ang="0">
                <a:pos x="105" y="48"/>
              </a:cxn>
              <a:cxn ang="0">
                <a:pos x="101" y="57"/>
              </a:cxn>
              <a:cxn ang="0">
                <a:pos x="92" y="62"/>
              </a:cxn>
              <a:cxn ang="0">
                <a:pos x="99" y="68"/>
              </a:cxn>
            </a:cxnLst>
            <a:rect l="0" t="0" r="r" b="b"/>
            <a:pathLst>
              <a:path w="105" h="74">
                <a:moveTo>
                  <a:pt x="99" y="68"/>
                </a:moveTo>
                <a:cubicBezTo>
                  <a:pt x="99" y="72"/>
                  <a:pt x="94" y="74"/>
                  <a:pt x="90" y="74"/>
                </a:cubicBezTo>
                <a:cubicBezTo>
                  <a:pt x="71" y="74"/>
                  <a:pt x="57" y="66"/>
                  <a:pt x="41" y="66"/>
                </a:cubicBezTo>
                <a:cubicBezTo>
                  <a:pt x="35" y="66"/>
                  <a:pt x="24" y="54"/>
                  <a:pt x="17" y="50"/>
                </a:cubicBezTo>
                <a:cubicBezTo>
                  <a:pt x="32" y="46"/>
                  <a:pt x="36" y="41"/>
                  <a:pt x="50" y="36"/>
                </a:cubicBezTo>
                <a:cubicBezTo>
                  <a:pt x="46" y="36"/>
                  <a:pt x="35" y="36"/>
                  <a:pt x="32" y="36"/>
                </a:cubicBezTo>
                <a:cubicBezTo>
                  <a:pt x="20" y="36"/>
                  <a:pt x="11" y="32"/>
                  <a:pt x="0" y="26"/>
                </a:cubicBezTo>
                <a:cubicBezTo>
                  <a:pt x="18" y="21"/>
                  <a:pt x="25" y="0"/>
                  <a:pt x="46" y="0"/>
                </a:cubicBezTo>
                <a:cubicBezTo>
                  <a:pt x="58" y="0"/>
                  <a:pt x="65" y="12"/>
                  <a:pt x="72" y="17"/>
                </a:cubicBezTo>
                <a:cubicBezTo>
                  <a:pt x="68" y="19"/>
                  <a:pt x="69" y="18"/>
                  <a:pt x="67" y="18"/>
                </a:cubicBezTo>
                <a:cubicBezTo>
                  <a:pt x="68" y="23"/>
                  <a:pt x="67" y="24"/>
                  <a:pt x="67" y="27"/>
                </a:cubicBezTo>
                <a:cubicBezTo>
                  <a:pt x="67" y="29"/>
                  <a:pt x="62" y="33"/>
                  <a:pt x="59" y="35"/>
                </a:cubicBezTo>
                <a:cubicBezTo>
                  <a:pt x="63" y="33"/>
                  <a:pt x="65" y="35"/>
                  <a:pt x="68" y="35"/>
                </a:cubicBezTo>
                <a:cubicBezTo>
                  <a:pt x="73" y="35"/>
                  <a:pt x="76" y="39"/>
                  <a:pt x="81" y="39"/>
                </a:cubicBezTo>
                <a:cubicBezTo>
                  <a:pt x="84" y="39"/>
                  <a:pt x="87" y="39"/>
                  <a:pt x="90" y="39"/>
                </a:cubicBezTo>
                <a:cubicBezTo>
                  <a:pt x="99" y="39"/>
                  <a:pt x="99" y="42"/>
                  <a:pt x="105" y="48"/>
                </a:cubicBezTo>
                <a:cubicBezTo>
                  <a:pt x="100" y="51"/>
                  <a:pt x="101" y="52"/>
                  <a:pt x="101" y="57"/>
                </a:cubicBezTo>
                <a:cubicBezTo>
                  <a:pt x="101" y="61"/>
                  <a:pt x="95" y="62"/>
                  <a:pt x="92" y="62"/>
                </a:cubicBezTo>
                <a:cubicBezTo>
                  <a:pt x="95" y="63"/>
                  <a:pt x="99" y="65"/>
                  <a:pt x="99" y="68"/>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39" name="Freeform 155" hidden="1">
            <a:extLst>
              <a:ext uri="{FF2B5EF4-FFF2-40B4-BE49-F238E27FC236}">
                <a16:creationId xmlns:a16="http://schemas.microsoft.com/office/drawing/2014/main" id="{00000000-0008-0000-0000-00008B000000}"/>
              </a:ext>
            </a:extLst>
          </xdr:cNvPr>
          <xdr:cNvSpPr>
            <a:spLocks/>
          </xdr:cNvSpPr>
        </xdr:nvSpPr>
        <xdr:spPr bwMode="auto">
          <a:xfrm>
            <a:off x="5973763" y="1212850"/>
            <a:ext cx="17463" cy="12700"/>
          </a:xfrm>
          <a:custGeom>
            <a:avLst/>
            <a:gdLst/>
            <a:ahLst/>
            <a:cxnLst>
              <a:cxn ang="0">
                <a:pos x="0" y="5"/>
              </a:cxn>
              <a:cxn ang="0">
                <a:pos x="7" y="0"/>
              </a:cxn>
              <a:cxn ang="0">
                <a:pos x="13" y="0"/>
              </a:cxn>
              <a:cxn ang="0">
                <a:pos x="5" y="9"/>
              </a:cxn>
              <a:cxn ang="0">
                <a:pos x="0" y="5"/>
              </a:cxn>
            </a:cxnLst>
            <a:rect l="0" t="0" r="r" b="b"/>
            <a:pathLst>
              <a:path w="13" h="9">
                <a:moveTo>
                  <a:pt x="0" y="5"/>
                </a:moveTo>
                <a:cubicBezTo>
                  <a:pt x="3" y="3"/>
                  <a:pt x="5" y="1"/>
                  <a:pt x="7" y="0"/>
                </a:cubicBezTo>
                <a:cubicBezTo>
                  <a:pt x="13" y="0"/>
                  <a:pt x="13" y="0"/>
                  <a:pt x="13" y="0"/>
                </a:cubicBezTo>
                <a:cubicBezTo>
                  <a:pt x="12" y="6"/>
                  <a:pt x="10" y="9"/>
                  <a:pt x="5" y="9"/>
                </a:cubicBezTo>
                <a:cubicBezTo>
                  <a:pt x="2" y="9"/>
                  <a:pt x="1" y="7"/>
                  <a:pt x="0" y="5"/>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40" name="Freeform 156" hidden="1">
            <a:extLst>
              <a:ext uri="{FF2B5EF4-FFF2-40B4-BE49-F238E27FC236}">
                <a16:creationId xmlns:a16="http://schemas.microsoft.com/office/drawing/2014/main" id="{00000000-0008-0000-0000-00008C000000}"/>
              </a:ext>
            </a:extLst>
          </xdr:cNvPr>
          <xdr:cNvSpPr>
            <a:spLocks/>
          </xdr:cNvSpPr>
        </xdr:nvSpPr>
        <xdr:spPr bwMode="auto">
          <a:xfrm>
            <a:off x="5886450" y="1060450"/>
            <a:ext cx="23813" cy="7938"/>
          </a:xfrm>
          <a:custGeom>
            <a:avLst/>
            <a:gdLst/>
            <a:ahLst/>
            <a:cxnLst>
              <a:cxn ang="0">
                <a:pos x="18" y="4"/>
              </a:cxn>
              <a:cxn ang="0">
                <a:pos x="0" y="0"/>
              </a:cxn>
              <a:cxn ang="0">
                <a:pos x="16" y="0"/>
              </a:cxn>
              <a:cxn ang="0">
                <a:pos x="18" y="4"/>
              </a:cxn>
            </a:cxnLst>
            <a:rect l="0" t="0" r="r" b="b"/>
            <a:pathLst>
              <a:path w="18" h="6">
                <a:moveTo>
                  <a:pt x="18" y="4"/>
                </a:moveTo>
                <a:cubicBezTo>
                  <a:pt x="11" y="5"/>
                  <a:pt x="3" y="6"/>
                  <a:pt x="0" y="0"/>
                </a:cubicBezTo>
                <a:cubicBezTo>
                  <a:pt x="16" y="0"/>
                  <a:pt x="16" y="0"/>
                  <a:pt x="16" y="0"/>
                </a:cubicBezTo>
                <a:lnTo>
                  <a:pt x="18" y="4"/>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41" name="Freeform 157" hidden="1">
            <a:extLst>
              <a:ext uri="{FF2B5EF4-FFF2-40B4-BE49-F238E27FC236}">
                <a16:creationId xmlns:a16="http://schemas.microsoft.com/office/drawing/2014/main" id="{00000000-0008-0000-0000-00008D000000}"/>
              </a:ext>
            </a:extLst>
          </xdr:cNvPr>
          <xdr:cNvSpPr>
            <a:spLocks/>
          </xdr:cNvSpPr>
        </xdr:nvSpPr>
        <xdr:spPr bwMode="auto">
          <a:xfrm>
            <a:off x="6162675" y="1173163"/>
            <a:ext cx="20638" cy="9525"/>
          </a:xfrm>
          <a:custGeom>
            <a:avLst/>
            <a:gdLst/>
            <a:ahLst/>
            <a:cxnLst>
              <a:cxn ang="0">
                <a:pos x="15" y="1"/>
              </a:cxn>
              <a:cxn ang="0">
                <a:pos x="9" y="7"/>
              </a:cxn>
              <a:cxn ang="0">
                <a:pos x="0" y="2"/>
              </a:cxn>
              <a:cxn ang="0">
                <a:pos x="15" y="1"/>
              </a:cxn>
            </a:cxnLst>
            <a:rect l="0" t="0" r="r" b="b"/>
            <a:pathLst>
              <a:path w="15" h="7">
                <a:moveTo>
                  <a:pt x="15" y="1"/>
                </a:moveTo>
                <a:cubicBezTo>
                  <a:pt x="14" y="4"/>
                  <a:pt x="12" y="7"/>
                  <a:pt x="9" y="7"/>
                </a:cubicBezTo>
                <a:cubicBezTo>
                  <a:pt x="4" y="7"/>
                  <a:pt x="1" y="4"/>
                  <a:pt x="0" y="2"/>
                </a:cubicBezTo>
                <a:cubicBezTo>
                  <a:pt x="9" y="0"/>
                  <a:pt x="11" y="2"/>
                  <a:pt x="15" y="1"/>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42" name="Freeform 158" hidden="1">
            <a:extLst>
              <a:ext uri="{FF2B5EF4-FFF2-40B4-BE49-F238E27FC236}">
                <a16:creationId xmlns:a16="http://schemas.microsoft.com/office/drawing/2014/main" id="{00000000-0008-0000-0000-00008E000000}"/>
              </a:ext>
            </a:extLst>
          </xdr:cNvPr>
          <xdr:cNvSpPr>
            <a:spLocks/>
          </xdr:cNvSpPr>
        </xdr:nvSpPr>
        <xdr:spPr bwMode="auto">
          <a:xfrm>
            <a:off x="5119688" y="1074738"/>
            <a:ext cx="117475" cy="36513"/>
          </a:xfrm>
          <a:custGeom>
            <a:avLst/>
            <a:gdLst/>
            <a:ahLst/>
            <a:cxnLst>
              <a:cxn ang="0">
                <a:pos x="76" y="14"/>
              </a:cxn>
              <a:cxn ang="0">
                <a:pos x="58" y="17"/>
              </a:cxn>
              <a:cxn ang="0">
                <a:pos x="49" y="27"/>
              </a:cxn>
              <a:cxn ang="0">
                <a:pos x="44" y="23"/>
              </a:cxn>
              <a:cxn ang="0">
                <a:pos x="44" y="23"/>
              </a:cxn>
              <a:cxn ang="0">
                <a:pos x="32" y="17"/>
              </a:cxn>
              <a:cxn ang="0">
                <a:pos x="41" y="14"/>
              </a:cxn>
              <a:cxn ang="0">
                <a:pos x="33" y="13"/>
              </a:cxn>
              <a:cxn ang="0">
                <a:pos x="40" y="9"/>
              </a:cxn>
              <a:cxn ang="0">
                <a:pos x="30" y="5"/>
              </a:cxn>
              <a:cxn ang="0">
                <a:pos x="10" y="11"/>
              </a:cxn>
              <a:cxn ang="0">
                <a:pos x="0" y="9"/>
              </a:cxn>
              <a:cxn ang="0">
                <a:pos x="34" y="0"/>
              </a:cxn>
              <a:cxn ang="0">
                <a:pos x="60" y="6"/>
              </a:cxn>
              <a:cxn ang="0">
                <a:pos x="76" y="0"/>
              </a:cxn>
              <a:cxn ang="0">
                <a:pos x="89" y="5"/>
              </a:cxn>
              <a:cxn ang="0">
                <a:pos x="78" y="13"/>
              </a:cxn>
              <a:cxn ang="0">
                <a:pos x="73" y="13"/>
              </a:cxn>
              <a:cxn ang="0">
                <a:pos x="73" y="17"/>
              </a:cxn>
              <a:cxn ang="0">
                <a:pos x="76" y="14"/>
              </a:cxn>
            </a:cxnLst>
            <a:rect l="0" t="0" r="r" b="b"/>
            <a:pathLst>
              <a:path w="89" h="27">
                <a:moveTo>
                  <a:pt x="76" y="14"/>
                </a:moveTo>
                <a:cubicBezTo>
                  <a:pt x="69" y="19"/>
                  <a:pt x="65" y="13"/>
                  <a:pt x="58" y="17"/>
                </a:cubicBezTo>
                <a:cubicBezTo>
                  <a:pt x="54" y="19"/>
                  <a:pt x="53" y="27"/>
                  <a:pt x="49" y="27"/>
                </a:cubicBezTo>
                <a:cubicBezTo>
                  <a:pt x="47" y="26"/>
                  <a:pt x="45" y="24"/>
                  <a:pt x="44" y="23"/>
                </a:cubicBezTo>
                <a:cubicBezTo>
                  <a:pt x="44" y="23"/>
                  <a:pt x="44" y="23"/>
                  <a:pt x="44" y="23"/>
                </a:cubicBezTo>
                <a:cubicBezTo>
                  <a:pt x="38" y="23"/>
                  <a:pt x="33" y="21"/>
                  <a:pt x="32" y="17"/>
                </a:cubicBezTo>
                <a:cubicBezTo>
                  <a:pt x="36" y="15"/>
                  <a:pt x="38" y="15"/>
                  <a:pt x="41" y="14"/>
                </a:cubicBezTo>
                <a:cubicBezTo>
                  <a:pt x="37" y="14"/>
                  <a:pt x="35" y="13"/>
                  <a:pt x="33" y="13"/>
                </a:cubicBezTo>
                <a:cubicBezTo>
                  <a:pt x="36" y="11"/>
                  <a:pt x="38" y="11"/>
                  <a:pt x="40" y="9"/>
                </a:cubicBezTo>
                <a:cubicBezTo>
                  <a:pt x="36" y="8"/>
                  <a:pt x="34" y="5"/>
                  <a:pt x="30" y="5"/>
                </a:cubicBezTo>
                <a:cubicBezTo>
                  <a:pt x="25" y="5"/>
                  <a:pt x="17" y="11"/>
                  <a:pt x="10" y="11"/>
                </a:cubicBezTo>
                <a:cubicBezTo>
                  <a:pt x="7" y="11"/>
                  <a:pt x="4" y="9"/>
                  <a:pt x="0" y="9"/>
                </a:cubicBezTo>
                <a:cubicBezTo>
                  <a:pt x="4" y="2"/>
                  <a:pt x="25" y="0"/>
                  <a:pt x="34" y="0"/>
                </a:cubicBezTo>
                <a:cubicBezTo>
                  <a:pt x="45" y="0"/>
                  <a:pt x="52" y="6"/>
                  <a:pt x="60" y="6"/>
                </a:cubicBezTo>
                <a:cubicBezTo>
                  <a:pt x="67" y="6"/>
                  <a:pt x="70" y="0"/>
                  <a:pt x="76" y="0"/>
                </a:cubicBezTo>
                <a:cubicBezTo>
                  <a:pt x="82" y="0"/>
                  <a:pt x="87" y="4"/>
                  <a:pt x="89" y="5"/>
                </a:cubicBezTo>
                <a:cubicBezTo>
                  <a:pt x="89" y="13"/>
                  <a:pt x="83" y="9"/>
                  <a:pt x="78" y="13"/>
                </a:cubicBezTo>
                <a:cubicBezTo>
                  <a:pt x="76" y="13"/>
                  <a:pt x="75" y="13"/>
                  <a:pt x="73" y="13"/>
                </a:cubicBezTo>
                <a:cubicBezTo>
                  <a:pt x="73" y="17"/>
                  <a:pt x="73" y="17"/>
                  <a:pt x="73" y="17"/>
                </a:cubicBezTo>
                <a:lnTo>
                  <a:pt x="76" y="14"/>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43" name="Freeform 159" hidden="1">
            <a:extLst>
              <a:ext uri="{FF2B5EF4-FFF2-40B4-BE49-F238E27FC236}">
                <a16:creationId xmlns:a16="http://schemas.microsoft.com/office/drawing/2014/main" id="{00000000-0008-0000-0000-00008F000000}"/>
              </a:ext>
            </a:extLst>
          </xdr:cNvPr>
          <xdr:cNvSpPr>
            <a:spLocks/>
          </xdr:cNvSpPr>
        </xdr:nvSpPr>
        <xdr:spPr bwMode="auto">
          <a:xfrm>
            <a:off x="5427663" y="1052513"/>
            <a:ext cx="41275" cy="26988"/>
          </a:xfrm>
          <a:custGeom>
            <a:avLst/>
            <a:gdLst/>
            <a:ahLst/>
            <a:cxnLst>
              <a:cxn ang="0">
                <a:pos x="7" y="20"/>
              </a:cxn>
              <a:cxn ang="0">
                <a:pos x="0" y="13"/>
              </a:cxn>
              <a:cxn ang="0">
                <a:pos x="25" y="0"/>
              </a:cxn>
              <a:cxn ang="0">
                <a:pos x="31" y="14"/>
              </a:cxn>
              <a:cxn ang="0">
                <a:pos x="7" y="20"/>
              </a:cxn>
            </a:cxnLst>
            <a:rect l="0" t="0" r="r" b="b"/>
            <a:pathLst>
              <a:path w="31" h="20">
                <a:moveTo>
                  <a:pt x="7" y="20"/>
                </a:moveTo>
                <a:cubicBezTo>
                  <a:pt x="2" y="20"/>
                  <a:pt x="0" y="17"/>
                  <a:pt x="0" y="13"/>
                </a:cubicBezTo>
                <a:cubicBezTo>
                  <a:pt x="0" y="7"/>
                  <a:pt x="18" y="0"/>
                  <a:pt x="25" y="0"/>
                </a:cubicBezTo>
                <a:cubicBezTo>
                  <a:pt x="31" y="14"/>
                  <a:pt x="31" y="14"/>
                  <a:pt x="31" y="14"/>
                </a:cubicBezTo>
                <a:cubicBezTo>
                  <a:pt x="28" y="16"/>
                  <a:pt x="11" y="20"/>
                  <a:pt x="7" y="20"/>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44" name="Freeform 160" hidden="1">
            <a:extLst>
              <a:ext uri="{FF2B5EF4-FFF2-40B4-BE49-F238E27FC236}">
                <a16:creationId xmlns:a16="http://schemas.microsoft.com/office/drawing/2014/main" id="{00000000-0008-0000-0000-000090000000}"/>
              </a:ext>
            </a:extLst>
          </xdr:cNvPr>
          <xdr:cNvSpPr>
            <a:spLocks/>
          </xdr:cNvSpPr>
        </xdr:nvSpPr>
        <xdr:spPr bwMode="auto">
          <a:xfrm>
            <a:off x="5373688" y="1069975"/>
            <a:ext cx="44450" cy="25400"/>
          </a:xfrm>
          <a:custGeom>
            <a:avLst/>
            <a:gdLst/>
            <a:ahLst/>
            <a:cxnLst>
              <a:cxn ang="0">
                <a:pos x="33" y="4"/>
              </a:cxn>
              <a:cxn ang="0">
                <a:pos x="33" y="10"/>
              </a:cxn>
              <a:cxn ang="0">
                <a:pos x="22" y="12"/>
              </a:cxn>
              <a:cxn ang="0">
                <a:pos x="24" y="18"/>
              </a:cxn>
              <a:cxn ang="0">
                <a:pos x="0" y="18"/>
              </a:cxn>
              <a:cxn ang="0">
                <a:pos x="9" y="6"/>
              </a:cxn>
              <a:cxn ang="0">
                <a:pos x="9" y="0"/>
              </a:cxn>
              <a:cxn ang="0">
                <a:pos x="23" y="0"/>
              </a:cxn>
              <a:cxn ang="0">
                <a:pos x="19" y="4"/>
              </a:cxn>
              <a:cxn ang="0">
                <a:pos x="33" y="4"/>
              </a:cxn>
            </a:cxnLst>
            <a:rect l="0" t="0" r="r" b="b"/>
            <a:pathLst>
              <a:path w="33" h="20">
                <a:moveTo>
                  <a:pt x="33" y="4"/>
                </a:moveTo>
                <a:cubicBezTo>
                  <a:pt x="33" y="8"/>
                  <a:pt x="33" y="8"/>
                  <a:pt x="33" y="10"/>
                </a:cubicBezTo>
                <a:cubicBezTo>
                  <a:pt x="30" y="14"/>
                  <a:pt x="26" y="12"/>
                  <a:pt x="22" y="12"/>
                </a:cubicBezTo>
                <a:cubicBezTo>
                  <a:pt x="24" y="18"/>
                  <a:pt x="24" y="18"/>
                  <a:pt x="24" y="18"/>
                </a:cubicBezTo>
                <a:cubicBezTo>
                  <a:pt x="22" y="19"/>
                  <a:pt x="0" y="20"/>
                  <a:pt x="0" y="18"/>
                </a:cubicBezTo>
                <a:cubicBezTo>
                  <a:pt x="0" y="11"/>
                  <a:pt x="3" y="8"/>
                  <a:pt x="9" y="6"/>
                </a:cubicBezTo>
                <a:cubicBezTo>
                  <a:pt x="8" y="2"/>
                  <a:pt x="9" y="1"/>
                  <a:pt x="9" y="0"/>
                </a:cubicBezTo>
                <a:cubicBezTo>
                  <a:pt x="23" y="0"/>
                  <a:pt x="23" y="0"/>
                  <a:pt x="23" y="0"/>
                </a:cubicBezTo>
                <a:cubicBezTo>
                  <a:pt x="22" y="2"/>
                  <a:pt x="20" y="4"/>
                  <a:pt x="19" y="4"/>
                </a:cubicBezTo>
                <a:cubicBezTo>
                  <a:pt x="22" y="4"/>
                  <a:pt x="29" y="4"/>
                  <a:pt x="33" y="4"/>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45" name="Freeform 161" hidden="1">
            <a:extLst>
              <a:ext uri="{FF2B5EF4-FFF2-40B4-BE49-F238E27FC236}">
                <a16:creationId xmlns:a16="http://schemas.microsoft.com/office/drawing/2014/main" id="{00000000-0008-0000-0000-000091000000}"/>
              </a:ext>
            </a:extLst>
          </xdr:cNvPr>
          <xdr:cNvSpPr>
            <a:spLocks/>
          </xdr:cNvSpPr>
        </xdr:nvSpPr>
        <xdr:spPr bwMode="auto">
          <a:xfrm>
            <a:off x="5314950" y="1092200"/>
            <a:ext cx="44450" cy="15875"/>
          </a:xfrm>
          <a:custGeom>
            <a:avLst/>
            <a:gdLst/>
            <a:ahLst/>
            <a:cxnLst>
              <a:cxn ang="0">
                <a:pos x="20" y="12"/>
              </a:cxn>
              <a:cxn ang="0">
                <a:pos x="11" y="7"/>
              </a:cxn>
              <a:cxn ang="0">
                <a:pos x="4" y="12"/>
              </a:cxn>
              <a:cxn ang="0">
                <a:pos x="0" y="9"/>
              </a:cxn>
              <a:cxn ang="0">
                <a:pos x="22" y="0"/>
              </a:cxn>
              <a:cxn ang="0">
                <a:pos x="34" y="5"/>
              </a:cxn>
              <a:cxn ang="0">
                <a:pos x="20" y="12"/>
              </a:cxn>
            </a:cxnLst>
            <a:rect l="0" t="0" r="r" b="b"/>
            <a:pathLst>
              <a:path w="34" h="12">
                <a:moveTo>
                  <a:pt x="20" y="12"/>
                </a:moveTo>
                <a:cubicBezTo>
                  <a:pt x="17" y="12"/>
                  <a:pt x="14" y="7"/>
                  <a:pt x="11" y="7"/>
                </a:cubicBezTo>
                <a:cubicBezTo>
                  <a:pt x="10" y="12"/>
                  <a:pt x="8" y="12"/>
                  <a:pt x="4" y="12"/>
                </a:cubicBezTo>
                <a:cubicBezTo>
                  <a:pt x="2" y="12"/>
                  <a:pt x="0" y="10"/>
                  <a:pt x="0" y="9"/>
                </a:cubicBezTo>
                <a:cubicBezTo>
                  <a:pt x="0" y="2"/>
                  <a:pt x="17" y="0"/>
                  <a:pt x="22" y="0"/>
                </a:cubicBezTo>
                <a:cubicBezTo>
                  <a:pt x="28" y="0"/>
                  <a:pt x="32" y="2"/>
                  <a:pt x="34" y="5"/>
                </a:cubicBezTo>
                <a:cubicBezTo>
                  <a:pt x="25" y="5"/>
                  <a:pt x="26" y="12"/>
                  <a:pt x="20" y="12"/>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46" name="Freeform 162" hidden="1">
            <a:extLst>
              <a:ext uri="{FF2B5EF4-FFF2-40B4-BE49-F238E27FC236}">
                <a16:creationId xmlns:a16="http://schemas.microsoft.com/office/drawing/2014/main" id="{00000000-0008-0000-0000-000092000000}"/>
              </a:ext>
            </a:extLst>
          </xdr:cNvPr>
          <xdr:cNvSpPr>
            <a:spLocks/>
          </xdr:cNvSpPr>
        </xdr:nvSpPr>
        <xdr:spPr bwMode="auto">
          <a:xfrm>
            <a:off x="5287963" y="1038225"/>
            <a:ext cx="71438" cy="49213"/>
          </a:xfrm>
          <a:custGeom>
            <a:avLst/>
            <a:gdLst/>
            <a:ahLst/>
            <a:cxnLst>
              <a:cxn ang="0">
                <a:pos x="40" y="31"/>
              </a:cxn>
              <a:cxn ang="0">
                <a:pos x="22" y="36"/>
              </a:cxn>
              <a:cxn ang="0">
                <a:pos x="0" y="28"/>
              </a:cxn>
              <a:cxn ang="0">
                <a:pos x="6" y="23"/>
              </a:cxn>
              <a:cxn ang="0">
                <a:pos x="24" y="23"/>
              </a:cxn>
              <a:cxn ang="0">
                <a:pos x="17" y="22"/>
              </a:cxn>
              <a:cxn ang="0">
                <a:pos x="17" y="16"/>
              </a:cxn>
              <a:cxn ang="0">
                <a:pos x="43" y="8"/>
              </a:cxn>
              <a:cxn ang="0">
                <a:pos x="51" y="0"/>
              </a:cxn>
              <a:cxn ang="0">
                <a:pos x="52" y="5"/>
              </a:cxn>
              <a:cxn ang="0">
                <a:pos x="48" y="11"/>
              </a:cxn>
              <a:cxn ang="0">
                <a:pos x="28" y="23"/>
              </a:cxn>
              <a:cxn ang="0">
                <a:pos x="53" y="29"/>
              </a:cxn>
              <a:cxn ang="0">
                <a:pos x="40" y="31"/>
              </a:cxn>
            </a:cxnLst>
            <a:rect l="0" t="0" r="r" b="b"/>
            <a:pathLst>
              <a:path w="53" h="36">
                <a:moveTo>
                  <a:pt x="40" y="31"/>
                </a:moveTo>
                <a:cubicBezTo>
                  <a:pt x="34" y="31"/>
                  <a:pt x="27" y="36"/>
                  <a:pt x="22" y="36"/>
                </a:cubicBezTo>
                <a:cubicBezTo>
                  <a:pt x="19" y="36"/>
                  <a:pt x="1" y="28"/>
                  <a:pt x="0" y="28"/>
                </a:cubicBezTo>
                <a:cubicBezTo>
                  <a:pt x="3" y="26"/>
                  <a:pt x="4" y="25"/>
                  <a:pt x="6" y="23"/>
                </a:cubicBezTo>
                <a:cubicBezTo>
                  <a:pt x="24" y="23"/>
                  <a:pt x="24" y="23"/>
                  <a:pt x="24" y="23"/>
                </a:cubicBezTo>
                <a:cubicBezTo>
                  <a:pt x="19" y="21"/>
                  <a:pt x="21" y="20"/>
                  <a:pt x="17" y="22"/>
                </a:cubicBezTo>
                <a:cubicBezTo>
                  <a:pt x="17" y="16"/>
                  <a:pt x="17" y="16"/>
                  <a:pt x="17" y="16"/>
                </a:cubicBezTo>
                <a:cubicBezTo>
                  <a:pt x="30" y="16"/>
                  <a:pt x="30" y="8"/>
                  <a:pt x="43" y="8"/>
                </a:cubicBezTo>
                <a:cubicBezTo>
                  <a:pt x="44" y="4"/>
                  <a:pt x="47" y="0"/>
                  <a:pt x="51" y="0"/>
                </a:cubicBezTo>
                <a:cubicBezTo>
                  <a:pt x="52" y="0"/>
                  <a:pt x="52" y="4"/>
                  <a:pt x="52" y="5"/>
                </a:cubicBezTo>
                <a:cubicBezTo>
                  <a:pt x="50" y="7"/>
                  <a:pt x="48" y="9"/>
                  <a:pt x="48" y="11"/>
                </a:cubicBezTo>
                <a:cubicBezTo>
                  <a:pt x="41" y="16"/>
                  <a:pt x="32" y="18"/>
                  <a:pt x="28" y="23"/>
                </a:cubicBezTo>
                <a:cubicBezTo>
                  <a:pt x="40" y="24"/>
                  <a:pt x="43" y="25"/>
                  <a:pt x="53" y="29"/>
                </a:cubicBezTo>
                <a:cubicBezTo>
                  <a:pt x="49" y="32"/>
                  <a:pt x="45" y="31"/>
                  <a:pt x="40" y="31"/>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47" name="Freeform 164" hidden="1">
            <a:extLst>
              <a:ext uri="{FF2B5EF4-FFF2-40B4-BE49-F238E27FC236}">
                <a16:creationId xmlns:a16="http://schemas.microsoft.com/office/drawing/2014/main" id="{00000000-0008-0000-0000-000093000000}"/>
              </a:ext>
            </a:extLst>
          </xdr:cNvPr>
          <xdr:cNvSpPr>
            <a:spLocks/>
          </xdr:cNvSpPr>
        </xdr:nvSpPr>
        <xdr:spPr bwMode="auto">
          <a:xfrm>
            <a:off x="6675438" y="1244600"/>
            <a:ext cx="128588" cy="49213"/>
          </a:xfrm>
          <a:custGeom>
            <a:avLst/>
            <a:gdLst/>
            <a:ahLst/>
            <a:cxnLst>
              <a:cxn ang="0">
                <a:pos x="77" y="29"/>
              </a:cxn>
              <a:cxn ang="0">
                <a:pos x="66" y="34"/>
              </a:cxn>
              <a:cxn ang="0">
                <a:pos x="58" y="29"/>
              </a:cxn>
              <a:cxn ang="0">
                <a:pos x="50" y="32"/>
              </a:cxn>
              <a:cxn ang="0">
                <a:pos x="40" y="36"/>
              </a:cxn>
              <a:cxn ang="0">
                <a:pos x="32" y="31"/>
              </a:cxn>
              <a:cxn ang="0">
                <a:pos x="22" y="38"/>
              </a:cxn>
              <a:cxn ang="0">
                <a:pos x="0" y="18"/>
              </a:cxn>
              <a:cxn ang="0">
                <a:pos x="20" y="0"/>
              </a:cxn>
              <a:cxn ang="0">
                <a:pos x="47" y="15"/>
              </a:cxn>
              <a:cxn ang="0">
                <a:pos x="54" y="3"/>
              </a:cxn>
              <a:cxn ang="0">
                <a:pos x="97" y="15"/>
              </a:cxn>
              <a:cxn ang="0">
                <a:pos x="89" y="29"/>
              </a:cxn>
              <a:cxn ang="0">
                <a:pos x="77" y="29"/>
              </a:cxn>
            </a:cxnLst>
            <a:rect l="0" t="0" r="r" b="b"/>
            <a:pathLst>
              <a:path w="97" h="38">
                <a:moveTo>
                  <a:pt x="77" y="29"/>
                </a:moveTo>
                <a:cubicBezTo>
                  <a:pt x="74" y="29"/>
                  <a:pt x="72" y="34"/>
                  <a:pt x="66" y="34"/>
                </a:cubicBezTo>
                <a:cubicBezTo>
                  <a:pt x="63" y="34"/>
                  <a:pt x="62" y="29"/>
                  <a:pt x="58" y="29"/>
                </a:cubicBezTo>
                <a:cubicBezTo>
                  <a:pt x="55" y="29"/>
                  <a:pt x="53" y="32"/>
                  <a:pt x="50" y="32"/>
                </a:cubicBezTo>
                <a:cubicBezTo>
                  <a:pt x="47" y="32"/>
                  <a:pt x="44" y="36"/>
                  <a:pt x="40" y="36"/>
                </a:cubicBezTo>
                <a:cubicBezTo>
                  <a:pt x="36" y="36"/>
                  <a:pt x="34" y="34"/>
                  <a:pt x="32" y="31"/>
                </a:cubicBezTo>
                <a:cubicBezTo>
                  <a:pt x="29" y="34"/>
                  <a:pt x="27" y="38"/>
                  <a:pt x="22" y="38"/>
                </a:cubicBezTo>
                <a:cubicBezTo>
                  <a:pt x="11" y="38"/>
                  <a:pt x="0" y="29"/>
                  <a:pt x="0" y="18"/>
                </a:cubicBezTo>
                <a:cubicBezTo>
                  <a:pt x="0" y="8"/>
                  <a:pt x="11" y="0"/>
                  <a:pt x="20" y="0"/>
                </a:cubicBezTo>
                <a:cubicBezTo>
                  <a:pt x="34" y="0"/>
                  <a:pt x="35" y="15"/>
                  <a:pt x="47" y="15"/>
                </a:cubicBezTo>
                <a:cubicBezTo>
                  <a:pt x="47" y="8"/>
                  <a:pt x="49" y="3"/>
                  <a:pt x="54" y="3"/>
                </a:cubicBezTo>
                <a:cubicBezTo>
                  <a:pt x="62" y="3"/>
                  <a:pt x="88" y="12"/>
                  <a:pt x="97" y="15"/>
                </a:cubicBezTo>
                <a:cubicBezTo>
                  <a:pt x="95" y="21"/>
                  <a:pt x="89" y="26"/>
                  <a:pt x="89" y="29"/>
                </a:cubicBezTo>
                <a:lnTo>
                  <a:pt x="77" y="29"/>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48" name="Freeform 165" hidden="1">
            <a:extLst>
              <a:ext uri="{FF2B5EF4-FFF2-40B4-BE49-F238E27FC236}">
                <a16:creationId xmlns:a16="http://schemas.microsoft.com/office/drawing/2014/main" id="{00000000-0008-0000-0000-000094000000}"/>
              </a:ext>
            </a:extLst>
          </xdr:cNvPr>
          <xdr:cNvSpPr>
            <a:spLocks/>
          </xdr:cNvSpPr>
        </xdr:nvSpPr>
        <xdr:spPr bwMode="auto">
          <a:xfrm>
            <a:off x="4924425" y="2252663"/>
            <a:ext cx="34925" cy="17463"/>
          </a:xfrm>
          <a:custGeom>
            <a:avLst/>
            <a:gdLst/>
            <a:ahLst/>
            <a:cxnLst>
              <a:cxn ang="0">
                <a:pos x="5" y="13"/>
              </a:cxn>
              <a:cxn ang="0">
                <a:pos x="2" y="11"/>
              </a:cxn>
              <a:cxn ang="0">
                <a:pos x="0" y="9"/>
              </a:cxn>
              <a:cxn ang="0">
                <a:pos x="26" y="0"/>
              </a:cxn>
              <a:cxn ang="0">
                <a:pos x="20" y="4"/>
              </a:cxn>
              <a:cxn ang="0">
                <a:pos x="19" y="8"/>
              </a:cxn>
              <a:cxn ang="0">
                <a:pos x="5" y="13"/>
              </a:cxn>
            </a:cxnLst>
            <a:rect l="0" t="0" r="r" b="b"/>
            <a:pathLst>
              <a:path w="26" h="13">
                <a:moveTo>
                  <a:pt x="5" y="13"/>
                </a:moveTo>
                <a:cubicBezTo>
                  <a:pt x="4" y="13"/>
                  <a:pt x="2" y="12"/>
                  <a:pt x="2" y="11"/>
                </a:cubicBezTo>
                <a:cubicBezTo>
                  <a:pt x="1" y="11"/>
                  <a:pt x="0" y="9"/>
                  <a:pt x="0" y="9"/>
                </a:cubicBezTo>
                <a:cubicBezTo>
                  <a:pt x="7" y="6"/>
                  <a:pt x="18" y="1"/>
                  <a:pt x="26" y="0"/>
                </a:cubicBezTo>
                <a:cubicBezTo>
                  <a:pt x="25" y="4"/>
                  <a:pt x="22" y="2"/>
                  <a:pt x="20" y="4"/>
                </a:cubicBezTo>
                <a:cubicBezTo>
                  <a:pt x="18" y="4"/>
                  <a:pt x="19" y="7"/>
                  <a:pt x="19" y="8"/>
                </a:cubicBezTo>
                <a:cubicBezTo>
                  <a:pt x="18" y="11"/>
                  <a:pt x="9" y="13"/>
                  <a:pt x="5" y="13"/>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49" name="Freeform 166" hidden="1">
            <a:extLst>
              <a:ext uri="{FF2B5EF4-FFF2-40B4-BE49-F238E27FC236}">
                <a16:creationId xmlns:a16="http://schemas.microsoft.com/office/drawing/2014/main" id="{00000000-0008-0000-0000-000095000000}"/>
              </a:ext>
            </a:extLst>
          </xdr:cNvPr>
          <xdr:cNvSpPr>
            <a:spLocks/>
          </xdr:cNvSpPr>
        </xdr:nvSpPr>
        <xdr:spPr bwMode="auto">
          <a:xfrm>
            <a:off x="5183188" y="1463675"/>
            <a:ext cx="34925" cy="25400"/>
          </a:xfrm>
          <a:custGeom>
            <a:avLst/>
            <a:gdLst/>
            <a:ahLst/>
            <a:cxnLst>
              <a:cxn ang="0">
                <a:pos x="5" y="4"/>
              </a:cxn>
              <a:cxn ang="0">
                <a:pos x="11" y="0"/>
              </a:cxn>
              <a:cxn ang="0">
                <a:pos x="26" y="6"/>
              </a:cxn>
              <a:cxn ang="0">
                <a:pos x="26" y="12"/>
              </a:cxn>
              <a:cxn ang="0">
                <a:pos x="8" y="19"/>
              </a:cxn>
              <a:cxn ang="0">
                <a:pos x="0" y="14"/>
              </a:cxn>
              <a:cxn ang="0">
                <a:pos x="5" y="4"/>
              </a:cxn>
            </a:cxnLst>
            <a:rect l="0" t="0" r="r" b="b"/>
            <a:pathLst>
              <a:path w="26" h="19">
                <a:moveTo>
                  <a:pt x="5" y="4"/>
                </a:moveTo>
                <a:cubicBezTo>
                  <a:pt x="8" y="4"/>
                  <a:pt x="8" y="0"/>
                  <a:pt x="11" y="0"/>
                </a:cubicBezTo>
                <a:cubicBezTo>
                  <a:pt x="17" y="0"/>
                  <a:pt x="20" y="5"/>
                  <a:pt x="26" y="6"/>
                </a:cubicBezTo>
                <a:cubicBezTo>
                  <a:pt x="26" y="12"/>
                  <a:pt x="26" y="12"/>
                  <a:pt x="26" y="12"/>
                </a:cubicBezTo>
                <a:cubicBezTo>
                  <a:pt x="20" y="15"/>
                  <a:pt x="15" y="19"/>
                  <a:pt x="8" y="19"/>
                </a:cubicBezTo>
                <a:cubicBezTo>
                  <a:pt x="2" y="19"/>
                  <a:pt x="0" y="19"/>
                  <a:pt x="0" y="14"/>
                </a:cubicBezTo>
                <a:cubicBezTo>
                  <a:pt x="0" y="12"/>
                  <a:pt x="4" y="4"/>
                  <a:pt x="5" y="4"/>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50" name="Freeform 167" hidden="1">
            <a:extLst>
              <a:ext uri="{FF2B5EF4-FFF2-40B4-BE49-F238E27FC236}">
                <a16:creationId xmlns:a16="http://schemas.microsoft.com/office/drawing/2014/main" id="{00000000-0008-0000-0000-000096000000}"/>
              </a:ext>
            </a:extLst>
          </xdr:cNvPr>
          <xdr:cNvSpPr>
            <a:spLocks/>
          </xdr:cNvSpPr>
        </xdr:nvSpPr>
        <xdr:spPr bwMode="auto">
          <a:xfrm>
            <a:off x="5359400" y="1433513"/>
            <a:ext cx="26988" cy="25400"/>
          </a:xfrm>
          <a:custGeom>
            <a:avLst/>
            <a:gdLst/>
            <a:ahLst/>
            <a:cxnLst>
              <a:cxn ang="0">
                <a:pos x="21" y="17"/>
              </a:cxn>
              <a:cxn ang="0">
                <a:pos x="15" y="19"/>
              </a:cxn>
              <a:cxn ang="0">
                <a:pos x="0" y="8"/>
              </a:cxn>
              <a:cxn ang="0">
                <a:pos x="21" y="17"/>
              </a:cxn>
            </a:cxnLst>
            <a:rect l="0" t="0" r="r" b="b"/>
            <a:pathLst>
              <a:path w="21" h="20">
                <a:moveTo>
                  <a:pt x="21" y="17"/>
                </a:moveTo>
                <a:cubicBezTo>
                  <a:pt x="21" y="20"/>
                  <a:pt x="15" y="19"/>
                  <a:pt x="15" y="19"/>
                </a:cubicBezTo>
                <a:cubicBezTo>
                  <a:pt x="10" y="19"/>
                  <a:pt x="0" y="14"/>
                  <a:pt x="0" y="8"/>
                </a:cubicBezTo>
                <a:cubicBezTo>
                  <a:pt x="0" y="0"/>
                  <a:pt x="21" y="8"/>
                  <a:pt x="21" y="17"/>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51" name="Freeform 168" hidden="1">
            <a:extLst>
              <a:ext uri="{FF2B5EF4-FFF2-40B4-BE49-F238E27FC236}">
                <a16:creationId xmlns:a16="http://schemas.microsoft.com/office/drawing/2014/main" id="{00000000-0008-0000-0000-000097000000}"/>
              </a:ext>
            </a:extLst>
          </xdr:cNvPr>
          <xdr:cNvSpPr>
            <a:spLocks/>
          </xdr:cNvSpPr>
        </xdr:nvSpPr>
        <xdr:spPr bwMode="auto">
          <a:xfrm>
            <a:off x="5549900" y="1338263"/>
            <a:ext cx="25400" cy="17463"/>
          </a:xfrm>
          <a:custGeom>
            <a:avLst/>
            <a:gdLst/>
            <a:ahLst/>
            <a:cxnLst>
              <a:cxn ang="0">
                <a:pos x="2" y="13"/>
              </a:cxn>
              <a:cxn ang="0">
                <a:pos x="19" y="8"/>
              </a:cxn>
              <a:cxn ang="0">
                <a:pos x="8" y="0"/>
              </a:cxn>
              <a:cxn ang="0">
                <a:pos x="2" y="9"/>
              </a:cxn>
              <a:cxn ang="0">
                <a:pos x="2" y="13"/>
              </a:cxn>
            </a:cxnLst>
            <a:rect l="0" t="0" r="r" b="b"/>
            <a:pathLst>
              <a:path w="19" h="13">
                <a:moveTo>
                  <a:pt x="2" y="13"/>
                </a:moveTo>
                <a:cubicBezTo>
                  <a:pt x="7" y="13"/>
                  <a:pt x="17" y="10"/>
                  <a:pt x="19" y="8"/>
                </a:cubicBezTo>
                <a:cubicBezTo>
                  <a:pt x="15" y="5"/>
                  <a:pt x="13" y="0"/>
                  <a:pt x="8" y="0"/>
                </a:cubicBezTo>
                <a:cubicBezTo>
                  <a:pt x="4" y="0"/>
                  <a:pt x="2" y="5"/>
                  <a:pt x="2" y="9"/>
                </a:cubicBezTo>
                <a:cubicBezTo>
                  <a:pt x="2" y="10"/>
                  <a:pt x="0" y="13"/>
                  <a:pt x="2" y="13"/>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52" name="Freeform 169" hidden="1">
            <a:extLst>
              <a:ext uri="{FF2B5EF4-FFF2-40B4-BE49-F238E27FC236}">
                <a16:creationId xmlns:a16="http://schemas.microsoft.com/office/drawing/2014/main" id="{00000000-0008-0000-0000-000098000000}"/>
              </a:ext>
            </a:extLst>
          </xdr:cNvPr>
          <xdr:cNvSpPr>
            <a:spLocks/>
          </xdr:cNvSpPr>
        </xdr:nvSpPr>
        <xdr:spPr bwMode="auto">
          <a:xfrm>
            <a:off x="6727825" y="1320800"/>
            <a:ext cx="53975" cy="22225"/>
          </a:xfrm>
          <a:custGeom>
            <a:avLst/>
            <a:gdLst/>
            <a:ahLst/>
            <a:cxnLst>
              <a:cxn ang="0">
                <a:pos x="0" y="13"/>
              </a:cxn>
              <a:cxn ang="0">
                <a:pos x="21" y="0"/>
              </a:cxn>
              <a:cxn ang="0">
                <a:pos x="41" y="17"/>
              </a:cxn>
              <a:cxn ang="0">
                <a:pos x="28" y="17"/>
              </a:cxn>
              <a:cxn ang="0">
                <a:pos x="2" y="11"/>
              </a:cxn>
              <a:cxn ang="0">
                <a:pos x="0" y="13"/>
              </a:cxn>
            </a:cxnLst>
            <a:rect l="0" t="0" r="r" b="b"/>
            <a:pathLst>
              <a:path w="41" h="17">
                <a:moveTo>
                  <a:pt x="0" y="13"/>
                </a:moveTo>
                <a:cubicBezTo>
                  <a:pt x="5" y="6"/>
                  <a:pt x="11" y="0"/>
                  <a:pt x="21" y="0"/>
                </a:cubicBezTo>
                <a:cubicBezTo>
                  <a:pt x="32" y="0"/>
                  <a:pt x="41" y="7"/>
                  <a:pt x="41" y="17"/>
                </a:cubicBezTo>
                <a:cubicBezTo>
                  <a:pt x="28" y="17"/>
                  <a:pt x="28" y="17"/>
                  <a:pt x="28" y="17"/>
                </a:cubicBezTo>
                <a:cubicBezTo>
                  <a:pt x="20" y="13"/>
                  <a:pt x="10" y="14"/>
                  <a:pt x="2" y="11"/>
                </a:cubicBezTo>
                <a:lnTo>
                  <a:pt x="0" y="13"/>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53" name="Freeform 170" hidden="1">
            <a:extLst>
              <a:ext uri="{FF2B5EF4-FFF2-40B4-BE49-F238E27FC236}">
                <a16:creationId xmlns:a16="http://schemas.microsoft.com/office/drawing/2014/main" id="{00000000-0008-0000-0000-000099000000}"/>
              </a:ext>
            </a:extLst>
          </xdr:cNvPr>
          <xdr:cNvSpPr>
            <a:spLocks/>
          </xdr:cNvSpPr>
        </xdr:nvSpPr>
        <xdr:spPr bwMode="auto">
          <a:xfrm>
            <a:off x="6832600" y="1266825"/>
            <a:ext cx="74613" cy="26988"/>
          </a:xfrm>
          <a:custGeom>
            <a:avLst/>
            <a:gdLst/>
            <a:ahLst/>
            <a:cxnLst>
              <a:cxn ang="0">
                <a:pos x="0" y="0"/>
              </a:cxn>
              <a:cxn ang="0">
                <a:pos x="52" y="9"/>
              </a:cxn>
              <a:cxn ang="0">
                <a:pos x="56" y="13"/>
              </a:cxn>
              <a:cxn ang="0">
                <a:pos x="37" y="20"/>
              </a:cxn>
              <a:cxn ang="0">
                <a:pos x="4" y="3"/>
              </a:cxn>
              <a:cxn ang="0">
                <a:pos x="0" y="0"/>
              </a:cxn>
            </a:cxnLst>
            <a:rect l="0" t="0" r="r" b="b"/>
            <a:pathLst>
              <a:path w="56" h="20">
                <a:moveTo>
                  <a:pt x="0" y="0"/>
                </a:moveTo>
                <a:cubicBezTo>
                  <a:pt x="4" y="3"/>
                  <a:pt x="50" y="9"/>
                  <a:pt x="52" y="9"/>
                </a:cubicBezTo>
                <a:cubicBezTo>
                  <a:pt x="55" y="9"/>
                  <a:pt x="56" y="11"/>
                  <a:pt x="56" y="13"/>
                </a:cubicBezTo>
                <a:cubicBezTo>
                  <a:pt x="56" y="18"/>
                  <a:pt x="44" y="20"/>
                  <a:pt x="37" y="20"/>
                </a:cubicBezTo>
                <a:cubicBezTo>
                  <a:pt x="25" y="20"/>
                  <a:pt x="4" y="14"/>
                  <a:pt x="4" y="3"/>
                </a:cubicBezTo>
                <a:lnTo>
                  <a:pt x="0" y="0"/>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54" name="Freeform 171" hidden="1">
            <a:extLst>
              <a:ext uri="{FF2B5EF4-FFF2-40B4-BE49-F238E27FC236}">
                <a16:creationId xmlns:a16="http://schemas.microsoft.com/office/drawing/2014/main" id="{00000000-0008-0000-0000-00009A000000}"/>
              </a:ext>
            </a:extLst>
          </xdr:cNvPr>
          <xdr:cNvSpPr>
            <a:spLocks/>
          </xdr:cNvSpPr>
        </xdr:nvSpPr>
        <xdr:spPr bwMode="auto">
          <a:xfrm>
            <a:off x="6726238" y="1303338"/>
            <a:ext cx="15875" cy="17463"/>
          </a:xfrm>
          <a:custGeom>
            <a:avLst/>
            <a:gdLst/>
            <a:ahLst/>
            <a:cxnLst>
              <a:cxn ang="0">
                <a:pos x="12" y="7"/>
              </a:cxn>
              <a:cxn ang="0">
                <a:pos x="5" y="13"/>
              </a:cxn>
              <a:cxn ang="0">
                <a:pos x="0" y="7"/>
              </a:cxn>
              <a:cxn ang="0">
                <a:pos x="12" y="7"/>
              </a:cxn>
            </a:cxnLst>
            <a:rect l="0" t="0" r="r" b="b"/>
            <a:pathLst>
              <a:path w="12" h="13">
                <a:moveTo>
                  <a:pt x="12" y="7"/>
                </a:moveTo>
                <a:cubicBezTo>
                  <a:pt x="12" y="11"/>
                  <a:pt x="8" y="13"/>
                  <a:pt x="5" y="13"/>
                </a:cubicBezTo>
                <a:cubicBezTo>
                  <a:pt x="0" y="13"/>
                  <a:pt x="0" y="11"/>
                  <a:pt x="0" y="7"/>
                </a:cubicBezTo>
                <a:cubicBezTo>
                  <a:pt x="0" y="0"/>
                  <a:pt x="12" y="1"/>
                  <a:pt x="12" y="7"/>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grpSp>
    <xdr:clientData fLocksWithSheet="0"/>
  </xdr:twoCellAnchor>
  <xdr:twoCellAnchor editAs="absolute">
    <xdr:from>
      <xdr:col>11</xdr:col>
      <xdr:colOff>64063</xdr:colOff>
      <xdr:row>22</xdr:row>
      <xdr:rowOff>64126</xdr:rowOff>
    </xdr:from>
    <xdr:to>
      <xdr:col>11</xdr:col>
      <xdr:colOff>2203340</xdr:colOff>
      <xdr:row>28</xdr:row>
      <xdr:rowOff>144323</xdr:rowOff>
    </xdr:to>
    <xdr:grpSp>
      <xdr:nvGrpSpPr>
        <xdr:cNvPr id="155" name="P_6" hidden="1">
          <a:extLst>
            <a:ext uri="{FF2B5EF4-FFF2-40B4-BE49-F238E27FC236}">
              <a16:creationId xmlns:a16="http://schemas.microsoft.com/office/drawing/2014/main" id="{00000000-0008-0000-0000-00009B000000}"/>
            </a:ext>
          </a:extLst>
        </xdr:cNvPr>
        <xdr:cNvGrpSpPr/>
      </xdr:nvGrpSpPr>
      <xdr:grpSpPr>
        <a:xfrm>
          <a:off x="16541043" y="7061826"/>
          <a:ext cx="2140547" cy="1178747"/>
          <a:chOff x="6275388" y="2879725"/>
          <a:chExt cx="966788" cy="844551"/>
        </a:xfrm>
        <a:solidFill>
          <a:srgbClr val="FEDD00"/>
        </a:solidFill>
      </xdr:grpSpPr>
      <xdr:sp macro="" textlink="">
        <xdr:nvSpPr>
          <xdr:cNvPr id="156" name="Freeform 9" hidden="1">
            <a:extLst>
              <a:ext uri="{FF2B5EF4-FFF2-40B4-BE49-F238E27FC236}">
                <a16:creationId xmlns:a16="http://schemas.microsoft.com/office/drawing/2014/main" id="{00000000-0008-0000-0000-00009C000000}"/>
              </a:ext>
            </a:extLst>
          </xdr:cNvPr>
          <xdr:cNvSpPr>
            <a:spLocks/>
          </xdr:cNvSpPr>
        </xdr:nvSpPr>
        <xdr:spPr bwMode="auto">
          <a:xfrm>
            <a:off x="6567488" y="2879725"/>
            <a:ext cx="339725" cy="176213"/>
          </a:xfrm>
          <a:custGeom>
            <a:avLst/>
            <a:gdLst/>
            <a:ahLst/>
            <a:cxnLst>
              <a:cxn ang="0">
                <a:pos x="128" y="28"/>
              </a:cxn>
              <a:cxn ang="0">
                <a:pos x="160" y="39"/>
              </a:cxn>
              <a:cxn ang="0">
                <a:pos x="173" y="45"/>
              </a:cxn>
              <a:cxn ang="0">
                <a:pos x="179" y="49"/>
              </a:cxn>
              <a:cxn ang="0">
                <a:pos x="203" y="71"/>
              </a:cxn>
              <a:cxn ang="0">
                <a:pos x="217" y="78"/>
              </a:cxn>
              <a:cxn ang="0">
                <a:pos x="208" y="85"/>
              </a:cxn>
              <a:cxn ang="0">
                <a:pos x="217" y="96"/>
              </a:cxn>
              <a:cxn ang="0">
                <a:pos x="224" y="108"/>
              </a:cxn>
              <a:cxn ang="0">
                <a:pos x="233" y="113"/>
              </a:cxn>
              <a:cxn ang="0">
                <a:pos x="237" y="118"/>
              </a:cxn>
              <a:cxn ang="0">
                <a:pos x="242" y="119"/>
              </a:cxn>
              <a:cxn ang="0">
                <a:pos x="247" y="124"/>
              </a:cxn>
              <a:cxn ang="0">
                <a:pos x="255" y="126"/>
              </a:cxn>
              <a:cxn ang="0">
                <a:pos x="250" y="133"/>
              </a:cxn>
              <a:cxn ang="0">
                <a:pos x="247" y="133"/>
              </a:cxn>
              <a:cxn ang="0">
                <a:pos x="239" y="127"/>
              </a:cxn>
              <a:cxn ang="0">
                <a:pos x="227" y="127"/>
              </a:cxn>
              <a:cxn ang="0">
                <a:pos x="210" y="116"/>
              </a:cxn>
              <a:cxn ang="0">
                <a:pos x="206" y="113"/>
              </a:cxn>
              <a:cxn ang="0">
                <a:pos x="175" y="92"/>
              </a:cxn>
              <a:cxn ang="0">
                <a:pos x="158" y="103"/>
              </a:cxn>
              <a:cxn ang="0">
                <a:pos x="156" y="113"/>
              </a:cxn>
              <a:cxn ang="0">
                <a:pos x="139" y="113"/>
              </a:cxn>
              <a:cxn ang="0">
                <a:pos x="113" y="100"/>
              </a:cxn>
              <a:cxn ang="0">
                <a:pos x="107" y="102"/>
              </a:cxn>
              <a:cxn ang="0">
                <a:pos x="98" y="102"/>
              </a:cxn>
              <a:cxn ang="0">
                <a:pos x="90" y="99"/>
              </a:cxn>
              <a:cxn ang="0">
                <a:pos x="101" y="90"/>
              </a:cxn>
              <a:cxn ang="0">
                <a:pos x="96" y="71"/>
              </a:cxn>
              <a:cxn ang="0">
                <a:pos x="77" y="59"/>
              </a:cxn>
              <a:cxn ang="0">
                <a:pos x="53" y="54"/>
              </a:cxn>
              <a:cxn ang="0">
                <a:pos x="37" y="45"/>
              </a:cxn>
              <a:cxn ang="0">
                <a:pos x="37" y="41"/>
              </a:cxn>
              <a:cxn ang="0">
                <a:pos x="30" y="49"/>
              </a:cxn>
              <a:cxn ang="0">
                <a:pos x="26" y="48"/>
              </a:cxn>
              <a:cxn ang="0">
                <a:pos x="24" y="38"/>
              </a:cxn>
              <a:cxn ang="0">
                <a:pos x="16" y="33"/>
              </a:cxn>
              <a:cxn ang="0">
                <a:pos x="38" y="25"/>
              </a:cxn>
              <a:cxn ang="0">
                <a:pos x="35" y="25"/>
              </a:cxn>
              <a:cxn ang="0">
                <a:pos x="23" y="27"/>
              </a:cxn>
              <a:cxn ang="0">
                <a:pos x="16" y="26"/>
              </a:cxn>
              <a:cxn ang="0">
                <a:pos x="14" y="22"/>
              </a:cxn>
              <a:cxn ang="0">
                <a:pos x="0" y="12"/>
              </a:cxn>
              <a:cxn ang="0">
                <a:pos x="6" y="8"/>
              </a:cxn>
              <a:cxn ang="0">
                <a:pos x="23" y="0"/>
              </a:cxn>
              <a:cxn ang="0">
                <a:pos x="44" y="9"/>
              </a:cxn>
              <a:cxn ang="0">
                <a:pos x="44" y="25"/>
              </a:cxn>
              <a:cxn ang="0">
                <a:pos x="50" y="29"/>
              </a:cxn>
              <a:cxn ang="0">
                <a:pos x="59" y="38"/>
              </a:cxn>
              <a:cxn ang="0">
                <a:pos x="67" y="30"/>
              </a:cxn>
              <a:cxn ang="0">
                <a:pos x="78" y="25"/>
              </a:cxn>
              <a:cxn ang="0">
                <a:pos x="92" y="14"/>
              </a:cxn>
              <a:cxn ang="0">
                <a:pos x="98" y="17"/>
              </a:cxn>
              <a:cxn ang="0">
                <a:pos x="109" y="25"/>
              </a:cxn>
              <a:cxn ang="0">
                <a:pos x="121" y="25"/>
              </a:cxn>
              <a:cxn ang="0">
                <a:pos x="130" y="29"/>
              </a:cxn>
              <a:cxn ang="0">
                <a:pos x="130" y="30"/>
              </a:cxn>
              <a:cxn ang="0">
                <a:pos x="128" y="28"/>
              </a:cxn>
            </a:cxnLst>
            <a:rect l="0" t="0" r="r" b="b"/>
            <a:pathLst>
              <a:path w="255" h="133">
                <a:moveTo>
                  <a:pt x="128" y="28"/>
                </a:moveTo>
                <a:cubicBezTo>
                  <a:pt x="133" y="33"/>
                  <a:pt x="149" y="39"/>
                  <a:pt x="160" y="39"/>
                </a:cubicBezTo>
                <a:cubicBezTo>
                  <a:pt x="165" y="39"/>
                  <a:pt x="168" y="45"/>
                  <a:pt x="173" y="45"/>
                </a:cubicBezTo>
                <a:cubicBezTo>
                  <a:pt x="173" y="48"/>
                  <a:pt x="176" y="49"/>
                  <a:pt x="179" y="49"/>
                </a:cubicBezTo>
                <a:cubicBezTo>
                  <a:pt x="193" y="54"/>
                  <a:pt x="192" y="66"/>
                  <a:pt x="203" y="71"/>
                </a:cubicBezTo>
                <a:cubicBezTo>
                  <a:pt x="207" y="73"/>
                  <a:pt x="217" y="68"/>
                  <a:pt x="217" y="78"/>
                </a:cubicBezTo>
                <a:cubicBezTo>
                  <a:pt x="217" y="83"/>
                  <a:pt x="208" y="81"/>
                  <a:pt x="208" y="85"/>
                </a:cubicBezTo>
                <a:cubicBezTo>
                  <a:pt x="208" y="87"/>
                  <a:pt x="216" y="95"/>
                  <a:pt x="217" y="96"/>
                </a:cubicBezTo>
                <a:cubicBezTo>
                  <a:pt x="221" y="100"/>
                  <a:pt x="220" y="103"/>
                  <a:pt x="224" y="108"/>
                </a:cubicBezTo>
                <a:cubicBezTo>
                  <a:pt x="225" y="111"/>
                  <a:pt x="230" y="113"/>
                  <a:pt x="233" y="113"/>
                </a:cubicBezTo>
                <a:cubicBezTo>
                  <a:pt x="235" y="113"/>
                  <a:pt x="236" y="116"/>
                  <a:pt x="237" y="118"/>
                </a:cubicBezTo>
                <a:cubicBezTo>
                  <a:pt x="238" y="120"/>
                  <a:pt x="240" y="118"/>
                  <a:pt x="242" y="119"/>
                </a:cubicBezTo>
                <a:cubicBezTo>
                  <a:pt x="245" y="119"/>
                  <a:pt x="246" y="122"/>
                  <a:pt x="247" y="124"/>
                </a:cubicBezTo>
                <a:cubicBezTo>
                  <a:pt x="247" y="126"/>
                  <a:pt x="254" y="125"/>
                  <a:pt x="255" y="126"/>
                </a:cubicBezTo>
                <a:cubicBezTo>
                  <a:pt x="253" y="127"/>
                  <a:pt x="250" y="130"/>
                  <a:pt x="250" y="133"/>
                </a:cubicBezTo>
                <a:cubicBezTo>
                  <a:pt x="249" y="133"/>
                  <a:pt x="248" y="133"/>
                  <a:pt x="247" y="133"/>
                </a:cubicBezTo>
                <a:cubicBezTo>
                  <a:pt x="246" y="133"/>
                  <a:pt x="240" y="128"/>
                  <a:pt x="239" y="127"/>
                </a:cubicBezTo>
                <a:cubicBezTo>
                  <a:pt x="227" y="127"/>
                  <a:pt x="227" y="127"/>
                  <a:pt x="227" y="127"/>
                </a:cubicBezTo>
                <a:cubicBezTo>
                  <a:pt x="221" y="126"/>
                  <a:pt x="210" y="121"/>
                  <a:pt x="210" y="116"/>
                </a:cubicBezTo>
                <a:cubicBezTo>
                  <a:pt x="210" y="115"/>
                  <a:pt x="207" y="114"/>
                  <a:pt x="206" y="113"/>
                </a:cubicBezTo>
                <a:cubicBezTo>
                  <a:pt x="197" y="104"/>
                  <a:pt x="189" y="92"/>
                  <a:pt x="175" y="92"/>
                </a:cubicBezTo>
                <a:cubicBezTo>
                  <a:pt x="164" y="92"/>
                  <a:pt x="165" y="100"/>
                  <a:pt x="158" y="103"/>
                </a:cubicBezTo>
                <a:cubicBezTo>
                  <a:pt x="160" y="108"/>
                  <a:pt x="156" y="110"/>
                  <a:pt x="156" y="113"/>
                </a:cubicBezTo>
                <a:cubicBezTo>
                  <a:pt x="146" y="113"/>
                  <a:pt x="144" y="113"/>
                  <a:pt x="139" y="113"/>
                </a:cubicBezTo>
                <a:cubicBezTo>
                  <a:pt x="128" y="113"/>
                  <a:pt x="125" y="100"/>
                  <a:pt x="113" y="100"/>
                </a:cubicBezTo>
                <a:cubicBezTo>
                  <a:pt x="112" y="100"/>
                  <a:pt x="107" y="100"/>
                  <a:pt x="107" y="102"/>
                </a:cubicBezTo>
                <a:cubicBezTo>
                  <a:pt x="98" y="102"/>
                  <a:pt x="98" y="102"/>
                  <a:pt x="98" y="102"/>
                </a:cubicBezTo>
                <a:cubicBezTo>
                  <a:pt x="94" y="102"/>
                  <a:pt x="90" y="102"/>
                  <a:pt x="90" y="99"/>
                </a:cubicBezTo>
                <a:cubicBezTo>
                  <a:pt x="90" y="93"/>
                  <a:pt x="99" y="91"/>
                  <a:pt x="101" y="90"/>
                </a:cubicBezTo>
                <a:cubicBezTo>
                  <a:pt x="95" y="84"/>
                  <a:pt x="98" y="78"/>
                  <a:pt x="96" y="71"/>
                </a:cubicBezTo>
                <a:cubicBezTo>
                  <a:pt x="94" y="66"/>
                  <a:pt x="82" y="61"/>
                  <a:pt x="77" y="59"/>
                </a:cubicBezTo>
                <a:cubicBezTo>
                  <a:pt x="72" y="56"/>
                  <a:pt x="60" y="54"/>
                  <a:pt x="53" y="54"/>
                </a:cubicBezTo>
                <a:cubicBezTo>
                  <a:pt x="47" y="54"/>
                  <a:pt x="44" y="43"/>
                  <a:pt x="37" y="45"/>
                </a:cubicBezTo>
                <a:cubicBezTo>
                  <a:pt x="37" y="41"/>
                  <a:pt x="37" y="41"/>
                  <a:pt x="37" y="41"/>
                </a:cubicBezTo>
                <a:cubicBezTo>
                  <a:pt x="36" y="44"/>
                  <a:pt x="34" y="49"/>
                  <a:pt x="30" y="49"/>
                </a:cubicBezTo>
                <a:cubicBezTo>
                  <a:pt x="29" y="49"/>
                  <a:pt x="26" y="49"/>
                  <a:pt x="26" y="48"/>
                </a:cubicBezTo>
                <a:cubicBezTo>
                  <a:pt x="24" y="43"/>
                  <a:pt x="26" y="41"/>
                  <a:pt x="24" y="38"/>
                </a:cubicBezTo>
                <a:cubicBezTo>
                  <a:pt x="22" y="34"/>
                  <a:pt x="17" y="36"/>
                  <a:pt x="16" y="33"/>
                </a:cubicBezTo>
                <a:cubicBezTo>
                  <a:pt x="22" y="29"/>
                  <a:pt x="35" y="30"/>
                  <a:pt x="38" y="25"/>
                </a:cubicBezTo>
                <a:cubicBezTo>
                  <a:pt x="35" y="25"/>
                  <a:pt x="35" y="25"/>
                  <a:pt x="35" y="25"/>
                </a:cubicBezTo>
                <a:cubicBezTo>
                  <a:pt x="30" y="26"/>
                  <a:pt x="27" y="27"/>
                  <a:pt x="23" y="27"/>
                </a:cubicBezTo>
                <a:cubicBezTo>
                  <a:pt x="20" y="27"/>
                  <a:pt x="19" y="26"/>
                  <a:pt x="16" y="26"/>
                </a:cubicBezTo>
                <a:cubicBezTo>
                  <a:pt x="15" y="25"/>
                  <a:pt x="14" y="23"/>
                  <a:pt x="14" y="22"/>
                </a:cubicBezTo>
                <a:cubicBezTo>
                  <a:pt x="11" y="15"/>
                  <a:pt x="0" y="18"/>
                  <a:pt x="0" y="12"/>
                </a:cubicBezTo>
                <a:cubicBezTo>
                  <a:pt x="0" y="9"/>
                  <a:pt x="4" y="8"/>
                  <a:pt x="6" y="8"/>
                </a:cubicBezTo>
                <a:cubicBezTo>
                  <a:pt x="12" y="8"/>
                  <a:pt x="15" y="0"/>
                  <a:pt x="23" y="0"/>
                </a:cubicBezTo>
                <a:cubicBezTo>
                  <a:pt x="30" y="0"/>
                  <a:pt x="36" y="7"/>
                  <a:pt x="44" y="9"/>
                </a:cubicBezTo>
                <a:cubicBezTo>
                  <a:pt x="44" y="15"/>
                  <a:pt x="44" y="22"/>
                  <a:pt x="44" y="25"/>
                </a:cubicBezTo>
                <a:cubicBezTo>
                  <a:pt x="44" y="27"/>
                  <a:pt x="46" y="29"/>
                  <a:pt x="50" y="29"/>
                </a:cubicBezTo>
                <a:cubicBezTo>
                  <a:pt x="50" y="31"/>
                  <a:pt x="56" y="38"/>
                  <a:pt x="59" y="38"/>
                </a:cubicBezTo>
                <a:cubicBezTo>
                  <a:pt x="62" y="38"/>
                  <a:pt x="66" y="31"/>
                  <a:pt x="67" y="30"/>
                </a:cubicBezTo>
                <a:cubicBezTo>
                  <a:pt x="71" y="27"/>
                  <a:pt x="71" y="26"/>
                  <a:pt x="78" y="25"/>
                </a:cubicBezTo>
                <a:cubicBezTo>
                  <a:pt x="82" y="23"/>
                  <a:pt x="87" y="15"/>
                  <a:pt x="92" y="14"/>
                </a:cubicBezTo>
                <a:cubicBezTo>
                  <a:pt x="93" y="17"/>
                  <a:pt x="96" y="16"/>
                  <a:pt x="98" y="17"/>
                </a:cubicBezTo>
                <a:cubicBezTo>
                  <a:pt x="103" y="18"/>
                  <a:pt x="106" y="24"/>
                  <a:pt x="109" y="25"/>
                </a:cubicBezTo>
                <a:cubicBezTo>
                  <a:pt x="121" y="25"/>
                  <a:pt x="121" y="25"/>
                  <a:pt x="121" y="25"/>
                </a:cubicBezTo>
                <a:cubicBezTo>
                  <a:pt x="123" y="27"/>
                  <a:pt x="128" y="29"/>
                  <a:pt x="130" y="29"/>
                </a:cubicBezTo>
                <a:cubicBezTo>
                  <a:pt x="130" y="30"/>
                  <a:pt x="130" y="30"/>
                  <a:pt x="130" y="30"/>
                </a:cubicBezTo>
                <a:lnTo>
                  <a:pt x="128" y="28"/>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grpSp>
        <xdr:nvGrpSpPr>
          <xdr:cNvPr id="157" name="Group 156" hidden="1">
            <a:extLst>
              <a:ext uri="{FF2B5EF4-FFF2-40B4-BE49-F238E27FC236}">
                <a16:creationId xmlns:a16="http://schemas.microsoft.com/office/drawing/2014/main" id="{00000000-0008-0000-0000-00009D000000}"/>
              </a:ext>
            </a:extLst>
          </xdr:cNvPr>
          <xdr:cNvGrpSpPr/>
        </xdr:nvGrpSpPr>
        <xdr:grpSpPr>
          <a:xfrm>
            <a:off x="6275388" y="2917825"/>
            <a:ext cx="966788" cy="806451"/>
            <a:chOff x="6275388" y="2917825"/>
            <a:chExt cx="966788" cy="806451"/>
          </a:xfrm>
          <a:grpFill/>
        </xdr:grpSpPr>
        <xdr:sp macro="" textlink="">
          <xdr:nvSpPr>
            <xdr:cNvPr id="158" name="Freeform 7" hidden="1">
              <a:extLst>
                <a:ext uri="{FF2B5EF4-FFF2-40B4-BE49-F238E27FC236}">
                  <a16:creationId xmlns:a16="http://schemas.microsoft.com/office/drawing/2014/main" id="{00000000-0008-0000-0000-00009E000000}"/>
                </a:ext>
              </a:extLst>
            </xdr:cNvPr>
            <xdr:cNvSpPr>
              <a:spLocks/>
            </xdr:cNvSpPr>
          </xdr:nvSpPr>
          <xdr:spPr bwMode="auto">
            <a:xfrm>
              <a:off x="6623050" y="2968625"/>
              <a:ext cx="11113" cy="25400"/>
            </a:xfrm>
            <a:custGeom>
              <a:avLst/>
              <a:gdLst/>
              <a:ahLst/>
              <a:cxnLst>
                <a:cxn ang="0">
                  <a:pos x="7" y="0"/>
                </a:cxn>
                <a:cxn ang="0">
                  <a:pos x="8" y="5"/>
                </a:cxn>
                <a:cxn ang="0">
                  <a:pos x="5" y="9"/>
                </a:cxn>
                <a:cxn ang="0">
                  <a:pos x="2" y="19"/>
                </a:cxn>
                <a:cxn ang="0">
                  <a:pos x="0" y="15"/>
                </a:cxn>
                <a:cxn ang="0">
                  <a:pos x="4" y="8"/>
                </a:cxn>
                <a:cxn ang="0">
                  <a:pos x="7" y="0"/>
                </a:cxn>
              </a:cxnLst>
              <a:rect l="0" t="0" r="r" b="b"/>
              <a:pathLst>
                <a:path w="8" h="19">
                  <a:moveTo>
                    <a:pt x="7" y="0"/>
                  </a:moveTo>
                  <a:cubicBezTo>
                    <a:pt x="7" y="4"/>
                    <a:pt x="8" y="2"/>
                    <a:pt x="8" y="5"/>
                  </a:cubicBezTo>
                  <a:cubicBezTo>
                    <a:pt x="8" y="8"/>
                    <a:pt x="7" y="9"/>
                    <a:pt x="5" y="9"/>
                  </a:cubicBezTo>
                  <a:cubicBezTo>
                    <a:pt x="5" y="14"/>
                    <a:pt x="6" y="19"/>
                    <a:pt x="2" y="19"/>
                  </a:cubicBezTo>
                  <a:cubicBezTo>
                    <a:pt x="1" y="19"/>
                    <a:pt x="0" y="16"/>
                    <a:pt x="0" y="15"/>
                  </a:cubicBezTo>
                  <a:cubicBezTo>
                    <a:pt x="0" y="11"/>
                    <a:pt x="4" y="10"/>
                    <a:pt x="4" y="8"/>
                  </a:cubicBezTo>
                  <a:cubicBezTo>
                    <a:pt x="4" y="4"/>
                    <a:pt x="3" y="0"/>
                    <a:pt x="7" y="0"/>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59" name="Freeform 8" hidden="1">
              <a:extLst>
                <a:ext uri="{FF2B5EF4-FFF2-40B4-BE49-F238E27FC236}">
                  <a16:creationId xmlns:a16="http://schemas.microsoft.com/office/drawing/2014/main" id="{00000000-0008-0000-0000-00009F000000}"/>
                </a:ext>
              </a:extLst>
            </xdr:cNvPr>
            <xdr:cNvSpPr>
              <a:spLocks/>
            </xdr:cNvSpPr>
          </xdr:nvSpPr>
          <xdr:spPr bwMode="auto">
            <a:xfrm>
              <a:off x="6867525" y="2944813"/>
              <a:ext cx="65088" cy="38100"/>
            </a:xfrm>
            <a:custGeom>
              <a:avLst/>
              <a:gdLst/>
              <a:ahLst/>
              <a:cxnLst>
                <a:cxn ang="0">
                  <a:pos x="13" y="27"/>
                </a:cxn>
                <a:cxn ang="0">
                  <a:pos x="0" y="18"/>
                </a:cxn>
                <a:cxn ang="0">
                  <a:pos x="13" y="18"/>
                </a:cxn>
                <a:cxn ang="0">
                  <a:pos x="18" y="17"/>
                </a:cxn>
                <a:cxn ang="0">
                  <a:pos x="35" y="13"/>
                </a:cxn>
                <a:cxn ang="0">
                  <a:pos x="45" y="0"/>
                </a:cxn>
                <a:cxn ang="0">
                  <a:pos x="49" y="7"/>
                </a:cxn>
                <a:cxn ang="0">
                  <a:pos x="40" y="22"/>
                </a:cxn>
                <a:cxn ang="0">
                  <a:pos x="19" y="29"/>
                </a:cxn>
                <a:cxn ang="0">
                  <a:pos x="11" y="25"/>
                </a:cxn>
                <a:cxn ang="0">
                  <a:pos x="13" y="27"/>
                </a:cxn>
              </a:cxnLst>
              <a:rect l="0" t="0" r="r" b="b"/>
              <a:pathLst>
                <a:path w="49" h="29">
                  <a:moveTo>
                    <a:pt x="13" y="27"/>
                  </a:moveTo>
                  <a:cubicBezTo>
                    <a:pt x="9" y="22"/>
                    <a:pt x="1" y="24"/>
                    <a:pt x="0" y="18"/>
                  </a:cubicBezTo>
                  <a:cubicBezTo>
                    <a:pt x="13" y="18"/>
                    <a:pt x="13" y="18"/>
                    <a:pt x="13" y="18"/>
                  </a:cubicBezTo>
                  <a:cubicBezTo>
                    <a:pt x="14" y="18"/>
                    <a:pt x="18" y="17"/>
                    <a:pt x="18" y="17"/>
                  </a:cubicBezTo>
                  <a:cubicBezTo>
                    <a:pt x="25" y="14"/>
                    <a:pt x="31" y="15"/>
                    <a:pt x="35" y="13"/>
                  </a:cubicBezTo>
                  <a:cubicBezTo>
                    <a:pt x="41" y="10"/>
                    <a:pt x="39" y="0"/>
                    <a:pt x="45" y="0"/>
                  </a:cubicBezTo>
                  <a:cubicBezTo>
                    <a:pt x="48" y="0"/>
                    <a:pt x="49" y="4"/>
                    <a:pt x="49" y="7"/>
                  </a:cubicBezTo>
                  <a:cubicBezTo>
                    <a:pt x="49" y="16"/>
                    <a:pt x="40" y="14"/>
                    <a:pt x="40" y="22"/>
                  </a:cubicBezTo>
                  <a:cubicBezTo>
                    <a:pt x="32" y="24"/>
                    <a:pt x="28" y="29"/>
                    <a:pt x="19" y="29"/>
                  </a:cubicBezTo>
                  <a:cubicBezTo>
                    <a:pt x="17" y="29"/>
                    <a:pt x="11" y="26"/>
                    <a:pt x="11" y="25"/>
                  </a:cubicBezTo>
                  <a:lnTo>
                    <a:pt x="13" y="27"/>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60" name="Freeform 10" hidden="1">
              <a:extLst>
                <a:ext uri="{FF2B5EF4-FFF2-40B4-BE49-F238E27FC236}">
                  <a16:creationId xmlns:a16="http://schemas.microsoft.com/office/drawing/2014/main" id="{00000000-0008-0000-0000-0000A0000000}"/>
                </a:ext>
              </a:extLst>
            </xdr:cNvPr>
            <xdr:cNvSpPr>
              <a:spLocks/>
            </xdr:cNvSpPr>
          </xdr:nvSpPr>
          <xdr:spPr bwMode="auto">
            <a:xfrm>
              <a:off x="6911975" y="2917825"/>
              <a:ext cx="34925" cy="34925"/>
            </a:xfrm>
            <a:custGeom>
              <a:avLst/>
              <a:gdLst/>
              <a:ahLst/>
              <a:cxnLst>
                <a:cxn ang="0">
                  <a:pos x="23" y="25"/>
                </a:cxn>
                <a:cxn ang="0">
                  <a:pos x="19" y="17"/>
                </a:cxn>
                <a:cxn ang="0">
                  <a:pos x="8" y="6"/>
                </a:cxn>
                <a:cxn ang="0">
                  <a:pos x="0" y="0"/>
                </a:cxn>
                <a:cxn ang="0">
                  <a:pos x="18" y="13"/>
                </a:cxn>
                <a:cxn ang="0">
                  <a:pos x="26" y="22"/>
                </a:cxn>
                <a:cxn ang="0">
                  <a:pos x="26" y="25"/>
                </a:cxn>
                <a:cxn ang="0">
                  <a:pos x="23" y="25"/>
                </a:cxn>
              </a:cxnLst>
              <a:rect l="0" t="0" r="r" b="b"/>
              <a:pathLst>
                <a:path w="26" h="26">
                  <a:moveTo>
                    <a:pt x="23" y="25"/>
                  </a:moveTo>
                  <a:cubicBezTo>
                    <a:pt x="18" y="24"/>
                    <a:pt x="18" y="21"/>
                    <a:pt x="19" y="17"/>
                  </a:cubicBezTo>
                  <a:cubicBezTo>
                    <a:pt x="13" y="14"/>
                    <a:pt x="14" y="9"/>
                    <a:pt x="8" y="6"/>
                  </a:cubicBezTo>
                  <a:cubicBezTo>
                    <a:pt x="5" y="4"/>
                    <a:pt x="2" y="4"/>
                    <a:pt x="0" y="0"/>
                  </a:cubicBezTo>
                  <a:cubicBezTo>
                    <a:pt x="9" y="3"/>
                    <a:pt x="13" y="8"/>
                    <a:pt x="18" y="13"/>
                  </a:cubicBezTo>
                  <a:cubicBezTo>
                    <a:pt x="21" y="17"/>
                    <a:pt x="26" y="16"/>
                    <a:pt x="26" y="22"/>
                  </a:cubicBezTo>
                  <a:cubicBezTo>
                    <a:pt x="26" y="23"/>
                    <a:pt x="26" y="24"/>
                    <a:pt x="26" y="25"/>
                  </a:cubicBezTo>
                  <a:cubicBezTo>
                    <a:pt x="25" y="25"/>
                    <a:pt x="24" y="26"/>
                    <a:pt x="23" y="25"/>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61" name="Freeform 11" hidden="1">
              <a:extLst>
                <a:ext uri="{FF2B5EF4-FFF2-40B4-BE49-F238E27FC236}">
                  <a16:creationId xmlns:a16="http://schemas.microsoft.com/office/drawing/2014/main" id="{00000000-0008-0000-0000-0000A1000000}"/>
                </a:ext>
              </a:extLst>
            </xdr:cNvPr>
            <xdr:cNvSpPr>
              <a:spLocks/>
            </xdr:cNvSpPr>
          </xdr:nvSpPr>
          <xdr:spPr bwMode="auto">
            <a:xfrm>
              <a:off x="6972300" y="2967038"/>
              <a:ext cx="17463" cy="20638"/>
            </a:xfrm>
            <a:custGeom>
              <a:avLst/>
              <a:gdLst/>
              <a:ahLst/>
              <a:cxnLst>
                <a:cxn ang="0">
                  <a:pos x="7" y="9"/>
                </a:cxn>
                <a:cxn ang="0">
                  <a:pos x="1" y="0"/>
                </a:cxn>
                <a:cxn ang="0">
                  <a:pos x="13" y="12"/>
                </a:cxn>
                <a:cxn ang="0">
                  <a:pos x="10" y="16"/>
                </a:cxn>
                <a:cxn ang="0">
                  <a:pos x="7" y="13"/>
                </a:cxn>
                <a:cxn ang="0">
                  <a:pos x="7" y="9"/>
                </a:cxn>
              </a:cxnLst>
              <a:rect l="0" t="0" r="r" b="b"/>
              <a:pathLst>
                <a:path w="13" h="16">
                  <a:moveTo>
                    <a:pt x="7" y="9"/>
                  </a:moveTo>
                  <a:cubicBezTo>
                    <a:pt x="2" y="9"/>
                    <a:pt x="0" y="4"/>
                    <a:pt x="1" y="0"/>
                  </a:cubicBezTo>
                  <a:cubicBezTo>
                    <a:pt x="4" y="1"/>
                    <a:pt x="13" y="11"/>
                    <a:pt x="13" y="12"/>
                  </a:cubicBezTo>
                  <a:cubicBezTo>
                    <a:pt x="13" y="14"/>
                    <a:pt x="11" y="16"/>
                    <a:pt x="10" y="16"/>
                  </a:cubicBezTo>
                  <a:cubicBezTo>
                    <a:pt x="9" y="16"/>
                    <a:pt x="7" y="14"/>
                    <a:pt x="7" y="13"/>
                  </a:cubicBezTo>
                  <a:cubicBezTo>
                    <a:pt x="7" y="12"/>
                    <a:pt x="7" y="11"/>
                    <a:pt x="7" y="9"/>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62" name="Freeform 12" hidden="1">
              <a:extLst>
                <a:ext uri="{FF2B5EF4-FFF2-40B4-BE49-F238E27FC236}">
                  <a16:creationId xmlns:a16="http://schemas.microsoft.com/office/drawing/2014/main" id="{00000000-0008-0000-0000-0000A2000000}"/>
                </a:ext>
              </a:extLst>
            </xdr:cNvPr>
            <xdr:cNvSpPr>
              <a:spLocks/>
            </xdr:cNvSpPr>
          </xdr:nvSpPr>
          <xdr:spPr bwMode="auto">
            <a:xfrm>
              <a:off x="7086600" y="3046413"/>
              <a:ext cx="9525" cy="11113"/>
            </a:xfrm>
            <a:custGeom>
              <a:avLst/>
              <a:gdLst/>
              <a:ahLst/>
              <a:cxnLst>
                <a:cxn ang="0">
                  <a:pos x="7" y="6"/>
                </a:cxn>
                <a:cxn ang="0">
                  <a:pos x="7" y="9"/>
                </a:cxn>
                <a:cxn ang="0">
                  <a:pos x="0" y="0"/>
                </a:cxn>
                <a:cxn ang="0">
                  <a:pos x="7" y="6"/>
                </a:cxn>
              </a:cxnLst>
              <a:rect l="0" t="0" r="r" b="b"/>
              <a:pathLst>
                <a:path w="7" h="9">
                  <a:moveTo>
                    <a:pt x="7" y="6"/>
                  </a:moveTo>
                  <a:cubicBezTo>
                    <a:pt x="7" y="7"/>
                    <a:pt x="7" y="8"/>
                    <a:pt x="7" y="9"/>
                  </a:cubicBezTo>
                  <a:cubicBezTo>
                    <a:pt x="3" y="9"/>
                    <a:pt x="0" y="2"/>
                    <a:pt x="0" y="0"/>
                  </a:cubicBezTo>
                  <a:cubicBezTo>
                    <a:pt x="4" y="2"/>
                    <a:pt x="7" y="3"/>
                    <a:pt x="7" y="6"/>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63" name="Freeform 13" hidden="1">
              <a:extLst>
                <a:ext uri="{FF2B5EF4-FFF2-40B4-BE49-F238E27FC236}">
                  <a16:creationId xmlns:a16="http://schemas.microsoft.com/office/drawing/2014/main" id="{00000000-0008-0000-0000-0000A3000000}"/>
                </a:ext>
              </a:extLst>
            </xdr:cNvPr>
            <xdr:cNvSpPr>
              <a:spLocks/>
            </xdr:cNvSpPr>
          </xdr:nvSpPr>
          <xdr:spPr bwMode="auto">
            <a:xfrm>
              <a:off x="7061200" y="3036888"/>
              <a:ext cx="20638" cy="9525"/>
            </a:xfrm>
            <a:custGeom>
              <a:avLst/>
              <a:gdLst/>
              <a:ahLst/>
              <a:cxnLst>
                <a:cxn ang="0">
                  <a:pos x="15" y="6"/>
                </a:cxn>
                <a:cxn ang="0">
                  <a:pos x="12" y="7"/>
                </a:cxn>
                <a:cxn ang="0">
                  <a:pos x="0" y="0"/>
                </a:cxn>
                <a:cxn ang="0">
                  <a:pos x="15" y="6"/>
                </a:cxn>
              </a:cxnLst>
              <a:rect l="0" t="0" r="r" b="b"/>
              <a:pathLst>
                <a:path w="15" h="7">
                  <a:moveTo>
                    <a:pt x="15" y="6"/>
                  </a:moveTo>
                  <a:cubicBezTo>
                    <a:pt x="14" y="6"/>
                    <a:pt x="13" y="7"/>
                    <a:pt x="12" y="7"/>
                  </a:cubicBezTo>
                  <a:cubicBezTo>
                    <a:pt x="7" y="7"/>
                    <a:pt x="0" y="5"/>
                    <a:pt x="0" y="0"/>
                  </a:cubicBezTo>
                  <a:cubicBezTo>
                    <a:pt x="7" y="0"/>
                    <a:pt x="11" y="1"/>
                    <a:pt x="15" y="6"/>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64" name="Freeform 14" hidden="1">
              <a:extLst>
                <a:ext uri="{FF2B5EF4-FFF2-40B4-BE49-F238E27FC236}">
                  <a16:creationId xmlns:a16="http://schemas.microsoft.com/office/drawing/2014/main" id="{00000000-0008-0000-0000-0000A4000000}"/>
                </a:ext>
              </a:extLst>
            </xdr:cNvPr>
            <xdr:cNvSpPr>
              <a:spLocks/>
            </xdr:cNvSpPr>
          </xdr:nvSpPr>
          <xdr:spPr bwMode="auto">
            <a:xfrm>
              <a:off x="7064375" y="3013075"/>
              <a:ext cx="17463" cy="19050"/>
            </a:xfrm>
            <a:custGeom>
              <a:avLst/>
              <a:gdLst/>
              <a:ahLst/>
              <a:cxnLst>
                <a:cxn ang="0">
                  <a:pos x="13" y="14"/>
                </a:cxn>
                <a:cxn ang="0">
                  <a:pos x="0" y="0"/>
                </a:cxn>
                <a:cxn ang="0">
                  <a:pos x="13" y="14"/>
                </a:cxn>
              </a:cxnLst>
              <a:rect l="0" t="0" r="r" b="b"/>
              <a:pathLst>
                <a:path w="13" h="14">
                  <a:moveTo>
                    <a:pt x="13" y="14"/>
                  </a:moveTo>
                  <a:cubicBezTo>
                    <a:pt x="9" y="14"/>
                    <a:pt x="1" y="3"/>
                    <a:pt x="0" y="0"/>
                  </a:cubicBezTo>
                  <a:cubicBezTo>
                    <a:pt x="6" y="3"/>
                    <a:pt x="11" y="7"/>
                    <a:pt x="13" y="14"/>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65" name="Freeform 15" hidden="1">
              <a:extLst>
                <a:ext uri="{FF2B5EF4-FFF2-40B4-BE49-F238E27FC236}">
                  <a16:creationId xmlns:a16="http://schemas.microsoft.com/office/drawing/2014/main" id="{00000000-0008-0000-0000-0000A5000000}"/>
                </a:ext>
              </a:extLst>
            </xdr:cNvPr>
            <xdr:cNvSpPr>
              <a:spLocks/>
            </xdr:cNvSpPr>
          </xdr:nvSpPr>
          <xdr:spPr bwMode="auto">
            <a:xfrm>
              <a:off x="7027863" y="2998788"/>
              <a:ext cx="23813" cy="14288"/>
            </a:xfrm>
            <a:custGeom>
              <a:avLst/>
              <a:gdLst/>
              <a:ahLst/>
              <a:cxnLst>
                <a:cxn ang="0">
                  <a:pos x="2" y="0"/>
                </a:cxn>
                <a:cxn ang="0">
                  <a:pos x="17" y="9"/>
                </a:cxn>
                <a:cxn ang="0">
                  <a:pos x="14" y="10"/>
                </a:cxn>
                <a:cxn ang="0">
                  <a:pos x="0" y="1"/>
                </a:cxn>
                <a:cxn ang="0">
                  <a:pos x="1" y="1"/>
                </a:cxn>
                <a:cxn ang="0">
                  <a:pos x="2" y="0"/>
                </a:cxn>
              </a:cxnLst>
              <a:rect l="0" t="0" r="r" b="b"/>
              <a:pathLst>
                <a:path w="17" h="10">
                  <a:moveTo>
                    <a:pt x="2" y="0"/>
                  </a:moveTo>
                  <a:cubicBezTo>
                    <a:pt x="6" y="2"/>
                    <a:pt x="15" y="5"/>
                    <a:pt x="17" y="9"/>
                  </a:cubicBezTo>
                  <a:cubicBezTo>
                    <a:pt x="17" y="9"/>
                    <a:pt x="15" y="10"/>
                    <a:pt x="14" y="10"/>
                  </a:cubicBezTo>
                  <a:cubicBezTo>
                    <a:pt x="10" y="10"/>
                    <a:pt x="0" y="6"/>
                    <a:pt x="0" y="1"/>
                  </a:cubicBezTo>
                  <a:cubicBezTo>
                    <a:pt x="1" y="1"/>
                    <a:pt x="1" y="1"/>
                    <a:pt x="1" y="1"/>
                  </a:cubicBezTo>
                  <a:lnTo>
                    <a:pt x="2" y="0"/>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66" name="Freeform 16" hidden="1">
              <a:extLst>
                <a:ext uri="{FF2B5EF4-FFF2-40B4-BE49-F238E27FC236}">
                  <a16:creationId xmlns:a16="http://schemas.microsoft.com/office/drawing/2014/main" id="{00000000-0008-0000-0000-0000A6000000}"/>
                </a:ext>
              </a:extLst>
            </xdr:cNvPr>
            <xdr:cNvSpPr>
              <a:spLocks/>
            </xdr:cNvSpPr>
          </xdr:nvSpPr>
          <xdr:spPr bwMode="auto">
            <a:xfrm>
              <a:off x="7002463" y="2984500"/>
              <a:ext cx="14288" cy="7938"/>
            </a:xfrm>
            <a:custGeom>
              <a:avLst/>
              <a:gdLst/>
              <a:ahLst/>
              <a:cxnLst>
                <a:cxn ang="0">
                  <a:pos x="0" y="0"/>
                </a:cxn>
                <a:cxn ang="0">
                  <a:pos x="11" y="6"/>
                </a:cxn>
                <a:cxn ang="0">
                  <a:pos x="7" y="6"/>
                </a:cxn>
                <a:cxn ang="0">
                  <a:pos x="0" y="2"/>
                </a:cxn>
                <a:cxn ang="0">
                  <a:pos x="3" y="1"/>
                </a:cxn>
                <a:cxn ang="0">
                  <a:pos x="0" y="0"/>
                </a:cxn>
              </a:cxnLst>
              <a:rect l="0" t="0" r="r" b="b"/>
              <a:pathLst>
                <a:path w="11" h="6">
                  <a:moveTo>
                    <a:pt x="0" y="0"/>
                  </a:moveTo>
                  <a:cubicBezTo>
                    <a:pt x="5" y="3"/>
                    <a:pt x="8" y="2"/>
                    <a:pt x="11" y="6"/>
                  </a:cubicBezTo>
                  <a:cubicBezTo>
                    <a:pt x="7" y="6"/>
                    <a:pt x="7" y="6"/>
                    <a:pt x="7" y="6"/>
                  </a:cubicBezTo>
                  <a:cubicBezTo>
                    <a:pt x="0" y="2"/>
                    <a:pt x="0" y="2"/>
                    <a:pt x="0" y="2"/>
                  </a:cubicBezTo>
                  <a:cubicBezTo>
                    <a:pt x="1" y="2"/>
                    <a:pt x="3" y="2"/>
                    <a:pt x="3" y="1"/>
                  </a:cubicBezTo>
                  <a:lnTo>
                    <a:pt x="0" y="0"/>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67" name="Freeform 17" hidden="1">
              <a:extLst>
                <a:ext uri="{FF2B5EF4-FFF2-40B4-BE49-F238E27FC236}">
                  <a16:creationId xmlns:a16="http://schemas.microsoft.com/office/drawing/2014/main" id="{00000000-0008-0000-0000-0000A7000000}"/>
                </a:ext>
              </a:extLst>
            </xdr:cNvPr>
            <xdr:cNvSpPr>
              <a:spLocks/>
            </xdr:cNvSpPr>
          </xdr:nvSpPr>
          <xdr:spPr bwMode="auto">
            <a:xfrm>
              <a:off x="6800850" y="3594100"/>
              <a:ext cx="63500" cy="65088"/>
            </a:xfrm>
            <a:custGeom>
              <a:avLst/>
              <a:gdLst/>
              <a:ahLst/>
              <a:cxnLst>
                <a:cxn ang="0">
                  <a:pos x="24" y="7"/>
                </a:cxn>
                <a:cxn ang="0">
                  <a:pos x="43" y="3"/>
                </a:cxn>
                <a:cxn ang="0">
                  <a:pos x="48" y="16"/>
                </a:cxn>
                <a:cxn ang="0">
                  <a:pos x="27" y="49"/>
                </a:cxn>
                <a:cxn ang="0">
                  <a:pos x="0" y="7"/>
                </a:cxn>
                <a:cxn ang="0">
                  <a:pos x="24" y="7"/>
                </a:cxn>
              </a:cxnLst>
              <a:rect l="0" t="0" r="r" b="b"/>
              <a:pathLst>
                <a:path w="48" h="49">
                  <a:moveTo>
                    <a:pt x="24" y="7"/>
                  </a:moveTo>
                  <a:cubicBezTo>
                    <a:pt x="30" y="7"/>
                    <a:pt x="37" y="5"/>
                    <a:pt x="43" y="3"/>
                  </a:cubicBezTo>
                  <a:cubicBezTo>
                    <a:pt x="45" y="8"/>
                    <a:pt x="48" y="11"/>
                    <a:pt x="48" y="16"/>
                  </a:cubicBezTo>
                  <a:cubicBezTo>
                    <a:pt x="48" y="26"/>
                    <a:pt x="36" y="49"/>
                    <a:pt x="27" y="49"/>
                  </a:cubicBezTo>
                  <a:cubicBezTo>
                    <a:pt x="14" y="49"/>
                    <a:pt x="0" y="16"/>
                    <a:pt x="0" y="7"/>
                  </a:cubicBezTo>
                  <a:cubicBezTo>
                    <a:pt x="0" y="0"/>
                    <a:pt x="24" y="7"/>
                    <a:pt x="24" y="7"/>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68" name="Freeform 18" hidden="1">
              <a:extLst>
                <a:ext uri="{FF2B5EF4-FFF2-40B4-BE49-F238E27FC236}">
                  <a16:creationId xmlns:a16="http://schemas.microsoft.com/office/drawing/2014/main" id="{00000000-0008-0000-0000-0000A8000000}"/>
                </a:ext>
              </a:extLst>
            </xdr:cNvPr>
            <xdr:cNvSpPr>
              <a:spLocks/>
            </xdr:cNvSpPr>
          </xdr:nvSpPr>
          <xdr:spPr bwMode="auto">
            <a:xfrm>
              <a:off x="6275388" y="3057525"/>
              <a:ext cx="676275" cy="509588"/>
            </a:xfrm>
            <a:custGeom>
              <a:avLst/>
              <a:gdLst/>
              <a:ahLst/>
              <a:cxnLst>
                <a:cxn ang="0">
                  <a:pos x="508" y="232"/>
                </a:cxn>
                <a:cxn ang="0">
                  <a:pos x="501" y="272"/>
                </a:cxn>
                <a:cxn ang="0">
                  <a:pos x="478" y="312"/>
                </a:cxn>
                <a:cxn ang="0">
                  <a:pos x="465" y="351"/>
                </a:cxn>
                <a:cxn ang="0">
                  <a:pos x="398" y="370"/>
                </a:cxn>
                <a:cxn ang="0">
                  <a:pos x="335" y="350"/>
                </a:cxn>
                <a:cxn ang="0">
                  <a:pos x="329" y="330"/>
                </a:cxn>
                <a:cxn ang="0">
                  <a:pos x="314" y="333"/>
                </a:cxn>
                <a:cxn ang="0">
                  <a:pos x="313" y="315"/>
                </a:cxn>
                <a:cxn ang="0">
                  <a:pos x="301" y="329"/>
                </a:cxn>
                <a:cxn ang="0">
                  <a:pos x="310" y="292"/>
                </a:cxn>
                <a:cxn ang="0">
                  <a:pos x="278" y="315"/>
                </a:cxn>
                <a:cxn ang="0">
                  <a:pos x="214" y="276"/>
                </a:cxn>
                <a:cxn ang="0">
                  <a:pos x="131" y="308"/>
                </a:cxn>
                <a:cxn ang="0">
                  <a:pos x="93" y="311"/>
                </a:cxn>
                <a:cxn ang="0">
                  <a:pos x="22" y="310"/>
                </a:cxn>
                <a:cxn ang="0">
                  <a:pos x="23" y="262"/>
                </a:cxn>
                <a:cxn ang="0">
                  <a:pos x="2" y="204"/>
                </a:cxn>
                <a:cxn ang="0">
                  <a:pos x="9" y="204"/>
                </a:cxn>
                <a:cxn ang="0">
                  <a:pos x="3" y="176"/>
                </a:cxn>
                <a:cxn ang="0">
                  <a:pos x="8" y="145"/>
                </a:cxn>
                <a:cxn ang="0">
                  <a:pos x="32" y="132"/>
                </a:cxn>
                <a:cxn ang="0">
                  <a:pos x="114" y="95"/>
                </a:cxn>
                <a:cxn ang="0">
                  <a:pos x="119" y="76"/>
                </a:cxn>
                <a:cxn ang="0">
                  <a:pos x="131" y="71"/>
                </a:cxn>
                <a:cxn ang="0">
                  <a:pos x="150" y="50"/>
                </a:cxn>
                <a:cxn ang="0">
                  <a:pos x="187" y="58"/>
                </a:cxn>
                <a:cxn ang="0">
                  <a:pos x="203" y="56"/>
                </a:cxn>
                <a:cxn ang="0">
                  <a:pos x="211" y="30"/>
                </a:cxn>
                <a:cxn ang="0">
                  <a:pos x="244" y="17"/>
                </a:cxn>
                <a:cxn ang="0">
                  <a:pos x="276" y="19"/>
                </a:cxn>
                <a:cxn ang="0">
                  <a:pos x="297" y="23"/>
                </a:cxn>
                <a:cxn ang="0">
                  <a:pos x="281" y="54"/>
                </a:cxn>
                <a:cxn ang="0">
                  <a:pos x="295" y="68"/>
                </a:cxn>
                <a:cxn ang="0">
                  <a:pos x="341" y="90"/>
                </a:cxn>
                <a:cxn ang="0">
                  <a:pos x="359" y="15"/>
                </a:cxn>
                <a:cxn ang="0">
                  <a:pos x="381" y="28"/>
                </a:cxn>
                <a:cxn ang="0">
                  <a:pos x="400" y="50"/>
                </a:cxn>
                <a:cxn ang="0">
                  <a:pos x="419" y="104"/>
                </a:cxn>
                <a:cxn ang="0">
                  <a:pos x="457" y="146"/>
                </a:cxn>
                <a:cxn ang="0">
                  <a:pos x="497" y="185"/>
                </a:cxn>
              </a:cxnLst>
              <a:rect l="0" t="0" r="r" b="b"/>
              <a:pathLst>
                <a:path w="508" h="383">
                  <a:moveTo>
                    <a:pt x="496" y="186"/>
                  </a:moveTo>
                  <a:cubicBezTo>
                    <a:pt x="503" y="195"/>
                    <a:pt x="508" y="219"/>
                    <a:pt x="508" y="232"/>
                  </a:cubicBezTo>
                  <a:cubicBezTo>
                    <a:pt x="508" y="242"/>
                    <a:pt x="505" y="256"/>
                    <a:pt x="501" y="260"/>
                  </a:cubicBezTo>
                  <a:cubicBezTo>
                    <a:pt x="501" y="272"/>
                    <a:pt x="501" y="272"/>
                    <a:pt x="501" y="272"/>
                  </a:cubicBezTo>
                  <a:cubicBezTo>
                    <a:pt x="499" y="276"/>
                    <a:pt x="500" y="277"/>
                    <a:pt x="498" y="281"/>
                  </a:cubicBezTo>
                  <a:cubicBezTo>
                    <a:pt x="490" y="293"/>
                    <a:pt x="482" y="298"/>
                    <a:pt x="478" y="312"/>
                  </a:cubicBezTo>
                  <a:cubicBezTo>
                    <a:pt x="474" y="322"/>
                    <a:pt x="465" y="336"/>
                    <a:pt x="465" y="352"/>
                  </a:cubicBezTo>
                  <a:cubicBezTo>
                    <a:pt x="465" y="351"/>
                    <a:pt x="465" y="351"/>
                    <a:pt x="465" y="351"/>
                  </a:cubicBezTo>
                  <a:cubicBezTo>
                    <a:pt x="460" y="371"/>
                    <a:pt x="424" y="362"/>
                    <a:pt x="420" y="383"/>
                  </a:cubicBezTo>
                  <a:cubicBezTo>
                    <a:pt x="417" y="382"/>
                    <a:pt x="399" y="372"/>
                    <a:pt x="398" y="370"/>
                  </a:cubicBezTo>
                  <a:cubicBezTo>
                    <a:pt x="388" y="371"/>
                    <a:pt x="392" y="379"/>
                    <a:pt x="381" y="379"/>
                  </a:cubicBezTo>
                  <a:cubicBezTo>
                    <a:pt x="363" y="379"/>
                    <a:pt x="335" y="368"/>
                    <a:pt x="335" y="350"/>
                  </a:cubicBezTo>
                  <a:cubicBezTo>
                    <a:pt x="335" y="343"/>
                    <a:pt x="329" y="338"/>
                    <a:pt x="329" y="332"/>
                  </a:cubicBezTo>
                  <a:cubicBezTo>
                    <a:pt x="329" y="332"/>
                    <a:pt x="329" y="330"/>
                    <a:pt x="329" y="330"/>
                  </a:cubicBezTo>
                  <a:cubicBezTo>
                    <a:pt x="325" y="332"/>
                    <a:pt x="323" y="332"/>
                    <a:pt x="320" y="333"/>
                  </a:cubicBezTo>
                  <a:cubicBezTo>
                    <a:pt x="314" y="333"/>
                    <a:pt x="314" y="333"/>
                    <a:pt x="314" y="333"/>
                  </a:cubicBezTo>
                  <a:cubicBezTo>
                    <a:pt x="316" y="330"/>
                    <a:pt x="318" y="328"/>
                    <a:pt x="318" y="323"/>
                  </a:cubicBezTo>
                  <a:cubicBezTo>
                    <a:pt x="318" y="318"/>
                    <a:pt x="315" y="316"/>
                    <a:pt x="313" y="315"/>
                  </a:cubicBezTo>
                  <a:cubicBezTo>
                    <a:pt x="313" y="316"/>
                    <a:pt x="312" y="318"/>
                    <a:pt x="312" y="319"/>
                  </a:cubicBezTo>
                  <a:cubicBezTo>
                    <a:pt x="308" y="321"/>
                    <a:pt x="308" y="329"/>
                    <a:pt x="301" y="329"/>
                  </a:cubicBezTo>
                  <a:cubicBezTo>
                    <a:pt x="299" y="329"/>
                    <a:pt x="297" y="326"/>
                    <a:pt x="297" y="324"/>
                  </a:cubicBezTo>
                  <a:cubicBezTo>
                    <a:pt x="308" y="322"/>
                    <a:pt x="310" y="299"/>
                    <a:pt x="310" y="292"/>
                  </a:cubicBezTo>
                  <a:cubicBezTo>
                    <a:pt x="302" y="300"/>
                    <a:pt x="291" y="323"/>
                    <a:pt x="281" y="323"/>
                  </a:cubicBezTo>
                  <a:cubicBezTo>
                    <a:pt x="276" y="323"/>
                    <a:pt x="278" y="315"/>
                    <a:pt x="278" y="315"/>
                  </a:cubicBezTo>
                  <a:cubicBezTo>
                    <a:pt x="275" y="315"/>
                    <a:pt x="265" y="294"/>
                    <a:pt x="262" y="289"/>
                  </a:cubicBezTo>
                  <a:cubicBezTo>
                    <a:pt x="254" y="280"/>
                    <a:pt x="228" y="276"/>
                    <a:pt x="214" y="276"/>
                  </a:cubicBezTo>
                  <a:cubicBezTo>
                    <a:pt x="198" y="276"/>
                    <a:pt x="195" y="283"/>
                    <a:pt x="185" y="286"/>
                  </a:cubicBezTo>
                  <a:cubicBezTo>
                    <a:pt x="163" y="293"/>
                    <a:pt x="135" y="285"/>
                    <a:pt x="131" y="308"/>
                  </a:cubicBezTo>
                  <a:cubicBezTo>
                    <a:pt x="122" y="309"/>
                    <a:pt x="115" y="311"/>
                    <a:pt x="105" y="311"/>
                  </a:cubicBezTo>
                  <a:cubicBezTo>
                    <a:pt x="98" y="307"/>
                    <a:pt x="98" y="311"/>
                    <a:pt x="93" y="311"/>
                  </a:cubicBezTo>
                  <a:cubicBezTo>
                    <a:pt x="77" y="311"/>
                    <a:pt x="71" y="326"/>
                    <a:pt x="51" y="326"/>
                  </a:cubicBezTo>
                  <a:cubicBezTo>
                    <a:pt x="43" y="326"/>
                    <a:pt x="22" y="316"/>
                    <a:pt x="22" y="310"/>
                  </a:cubicBezTo>
                  <a:cubicBezTo>
                    <a:pt x="22" y="303"/>
                    <a:pt x="32" y="300"/>
                    <a:pt x="32" y="290"/>
                  </a:cubicBezTo>
                  <a:cubicBezTo>
                    <a:pt x="32" y="277"/>
                    <a:pt x="26" y="270"/>
                    <a:pt x="23" y="262"/>
                  </a:cubicBezTo>
                  <a:cubicBezTo>
                    <a:pt x="18" y="243"/>
                    <a:pt x="17" y="237"/>
                    <a:pt x="11" y="220"/>
                  </a:cubicBezTo>
                  <a:cubicBezTo>
                    <a:pt x="9" y="213"/>
                    <a:pt x="0" y="211"/>
                    <a:pt x="2" y="204"/>
                  </a:cubicBezTo>
                  <a:cubicBezTo>
                    <a:pt x="3" y="202"/>
                    <a:pt x="3" y="201"/>
                    <a:pt x="5" y="198"/>
                  </a:cubicBezTo>
                  <a:cubicBezTo>
                    <a:pt x="6" y="201"/>
                    <a:pt x="7" y="203"/>
                    <a:pt x="9" y="204"/>
                  </a:cubicBezTo>
                  <a:cubicBezTo>
                    <a:pt x="10" y="202"/>
                    <a:pt x="9" y="201"/>
                    <a:pt x="9" y="198"/>
                  </a:cubicBezTo>
                  <a:cubicBezTo>
                    <a:pt x="9" y="192"/>
                    <a:pt x="3" y="187"/>
                    <a:pt x="3" y="176"/>
                  </a:cubicBezTo>
                  <a:cubicBezTo>
                    <a:pt x="3" y="162"/>
                    <a:pt x="3" y="161"/>
                    <a:pt x="3" y="150"/>
                  </a:cubicBezTo>
                  <a:cubicBezTo>
                    <a:pt x="3" y="146"/>
                    <a:pt x="7" y="146"/>
                    <a:pt x="8" y="145"/>
                  </a:cubicBezTo>
                  <a:cubicBezTo>
                    <a:pt x="9" y="146"/>
                    <a:pt x="9" y="148"/>
                    <a:pt x="9" y="149"/>
                  </a:cubicBezTo>
                  <a:cubicBezTo>
                    <a:pt x="17" y="148"/>
                    <a:pt x="27" y="137"/>
                    <a:pt x="32" y="132"/>
                  </a:cubicBezTo>
                  <a:cubicBezTo>
                    <a:pt x="37" y="127"/>
                    <a:pt x="53" y="126"/>
                    <a:pt x="62" y="125"/>
                  </a:cubicBezTo>
                  <a:cubicBezTo>
                    <a:pt x="78" y="122"/>
                    <a:pt x="114" y="110"/>
                    <a:pt x="114" y="95"/>
                  </a:cubicBezTo>
                  <a:cubicBezTo>
                    <a:pt x="114" y="92"/>
                    <a:pt x="114" y="90"/>
                    <a:pt x="114" y="87"/>
                  </a:cubicBezTo>
                  <a:cubicBezTo>
                    <a:pt x="114" y="83"/>
                    <a:pt x="115" y="79"/>
                    <a:pt x="119" y="76"/>
                  </a:cubicBezTo>
                  <a:cubicBezTo>
                    <a:pt x="122" y="80"/>
                    <a:pt x="124" y="82"/>
                    <a:pt x="126" y="85"/>
                  </a:cubicBezTo>
                  <a:cubicBezTo>
                    <a:pt x="131" y="82"/>
                    <a:pt x="129" y="75"/>
                    <a:pt x="131" y="71"/>
                  </a:cubicBezTo>
                  <a:cubicBezTo>
                    <a:pt x="134" y="72"/>
                    <a:pt x="137" y="74"/>
                    <a:pt x="140" y="74"/>
                  </a:cubicBezTo>
                  <a:cubicBezTo>
                    <a:pt x="140" y="62"/>
                    <a:pt x="149" y="60"/>
                    <a:pt x="150" y="50"/>
                  </a:cubicBezTo>
                  <a:cubicBezTo>
                    <a:pt x="162" y="50"/>
                    <a:pt x="164" y="41"/>
                    <a:pt x="173" y="41"/>
                  </a:cubicBezTo>
                  <a:cubicBezTo>
                    <a:pt x="181" y="41"/>
                    <a:pt x="186" y="50"/>
                    <a:pt x="187" y="58"/>
                  </a:cubicBezTo>
                  <a:cubicBezTo>
                    <a:pt x="189" y="55"/>
                    <a:pt x="192" y="53"/>
                    <a:pt x="196" y="53"/>
                  </a:cubicBezTo>
                  <a:cubicBezTo>
                    <a:pt x="198" y="53"/>
                    <a:pt x="202" y="56"/>
                    <a:pt x="203" y="56"/>
                  </a:cubicBezTo>
                  <a:cubicBezTo>
                    <a:pt x="205" y="52"/>
                    <a:pt x="204" y="49"/>
                    <a:pt x="204" y="45"/>
                  </a:cubicBezTo>
                  <a:cubicBezTo>
                    <a:pt x="204" y="39"/>
                    <a:pt x="211" y="36"/>
                    <a:pt x="211" y="30"/>
                  </a:cubicBezTo>
                  <a:cubicBezTo>
                    <a:pt x="211" y="24"/>
                    <a:pt x="228" y="20"/>
                    <a:pt x="236" y="20"/>
                  </a:cubicBezTo>
                  <a:cubicBezTo>
                    <a:pt x="239" y="20"/>
                    <a:pt x="243" y="17"/>
                    <a:pt x="244" y="17"/>
                  </a:cubicBezTo>
                  <a:cubicBezTo>
                    <a:pt x="241" y="13"/>
                    <a:pt x="237" y="11"/>
                    <a:pt x="236" y="7"/>
                  </a:cubicBezTo>
                  <a:cubicBezTo>
                    <a:pt x="251" y="13"/>
                    <a:pt x="260" y="19"/>
                    <a:pt x="276" y="19"/>
                  </a:cubicBezTo>
                  <a:cubicBezTo>
                    <a:pt x="281" y="19"/>
                    <a:pt x="283" y="15"/>
                    <a:pt x="288" y="15"/>
                  </a:cubicBezTo>
                  <a:cubicBezTo>
                    <a:pt x="291" y="15"/>
                    <a:pt x="297" y="20"/>
                    <a:pt x="297" y="23"/>
                  </a:cubicBezTo>
                  <a:cubicBezTo>
                    <a:pt x="297" y="29"/>
                    <a:pt x="290" y="30"/>
                    <a:pt x="287" y="32"/>
                  </a:cubicBezTo>
                  <a:cubicBezTo>
                    <a:pt x="281" y="54"/>
                    <a:pt x="281" y="54"/>
                    <a:pt x="281" y="54"/>
                  </a:cubicBezTo>
                  <a:cubicBezTo>
                    <a:pt x="281" y="58"/>
                    <a:pt x="288" y="57"/>
                    <a:pt x="290" y="59"/>
                  </a:cubicBezTo>
                  <a:cubicBezTo>
                    <a:pt x="293" y="60"/>
                    <a:pt x="293" y="67"/>
                    <a:pt x="295" y="68"/>
                  </a:cubicBezTo>
                  <a:cubicBezTo>
                    <a:pt x="306" y="72"/>
                    <a:pt x="313" y="74"/>
                    <a:pt x="324" y="79"/>
                  </a:cubicBezTo>
                  <a:cubicBezTo>
                    <a:pt x="330" y="81"/>
                    <a:pt x="333" y="90"/>
                    <a:pt x="341" y="90"/>
                  </a:cubicBezTo>
                  <a:cubicBezTo>
                    <a:pt x="355" y="90"/>
                    <a:pt x="357" y="64"/>
                    <a:pt x="359" y="54"/>
                  </a:cubicBezTo>
                  <a:cubicBezTo>
                    <a:pt x="359" y="15"/>
                    <a:pt x="359" y="15"/>
                    <a:pt x="359" y="15"/>
                  </a:cubicBezTo>
                  <a:cubicBezTo>
                    <a:pt x="366" y="9"/>
                    <a:pt x="364" y="4"/>
                    <a:pt x="372" y="0"/>
                  </a:cubicBezTo>
                  <a:cubicBezTo>
                    <a:pt x="373" y="11"/>
                    <a:pt x="379" y="19"/>
                    <a:pt x="381" y="28"/>
                  </a:cubicBezTo>
                  <a:cubicBezTo>
                    <a:pt x="383" y="34"/>
                    <a:pt x="381" y="42"/>
                    <a:pt x="386" y="45"/>
                  </a:cubicBezTo>
                  <a:cubicBezTo>
                    <a:pt x="390" y="47"/>
                    <a:pt x="399" y="49"/>
                    <a:pt x="400" y="50"/>
                  </a:cubicBezTo>
                  <a:cubicBezTo>
                    <a:pt x="406" y="54"/>
                    <a:pt x="406" y="68"/>
                    <a:pt x="408" y="75"/>
                  </a:cubicBezTo>
                  <a:cubicBezTo>
                    <a:pt x="412" y="87"/>
                    <a:pt x="415" y="93"/>
                    <a:pt x="419" y="104"/>
                  </a:cubicBezTo>
                  <a:cubicBezTo>
                    <a:pt x="422" y="114"/>
                    <a:pt x="441" y="118"/>
                    <a:pt x="449" y="126"/>
                  </a:cubicBezTo>
                  <a:cubicBezTo>
                    <a:pt x="454" y="131"/>
                    <a:pt x="455" y="139"/>
                    <a:pt x="457" y="146"/>
                  </a:cubicBezTo>
                  <a:cubicBezTo>
                    <a:pt x="459" y="151"/>
                    <a:pt x="466" y="151"/>
                    <a:pt x="471" y="151"/>
                  </a:cubicBezTo>
                  <a:cubicBezTo>
                    <a:pt x="471" y="169"/>
                    <a:pt x="488" y="176"/>
                    <a:pt x="497" y="185"/>
                  </a:cubicBezTo>
                  <a:lnTo>
                    <a:pt x="496" y="186"/>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69" name="Freeform 19" hidden="1">
              <a:extLst>
                <a:ext uri="{FF2B5EF4-FFF2-40B4-BE49-F238E27FC236}">
                  <a16:creationId xmlns:a16="http://schemas.microsoft.com/office/drawing/2014/main" id="{00000000-0008-0000-0000-0000A9000000}"/>
                </a:ext>
              </a:extLst>
            </xdr:cNvPr>
            <xdr:cNvSpPr>
              <a:spLocks/>
            </xdr:cNvSpPr>
          </xdr:nvSpPr>
          <xdr:spPr bwMode="auto">
            <a:xfrm>
              <a:off x="7043738" y="3598863"/>
              <a:ext cx="127000" cy="125413"/>
            </a:xfrm>
            <a:custGeom>
              <a:avLst/>
              <a:gdLst/>
              <a:ahLst/>
              <a:cxnLst>
                <a:cxn ang="0">
                  <a:pos x="58" y="26"/>
                </a:cxn>
                <a:cxn ang="0">
                  <a:pos x="59" y="22"/>
                </a:cxn>
                <a:cxn ang="0">
                  <a:pos x="67" y="17"/>
                </a:cxn>
                <a:cxn ang="0">
                  <a:pos x="67" y="14"/>
                </a:cxn>
                <a:cxn ang="0">
                  <a:pos x="78" y="0"/>
                </a:cxn>
                <a:cxn ang="0">
                  <a:pos x="81" y="4"/>
                </a:cxn>
                <a:cxn ang="0">
                  <a:pos x="83" y="10"/>
                </a:cxn>
                <a:cxn ang="0">
                  <a:pos x="90" y="6"/>
                </a:cxn>
                <a:cxn ang="0">
                  <a:pos x="94" y="8"/>
                </a:cxn>
                <a:cxn ang="0">
                  <a:pos x="96" y="15"/>
                </a:cxn>
                <a:cxn ang="0">
                  <a:pos x="79" y="37"/>
                </a:cxn>
                <a:cxn ang="0">
                  <a:pos x="79" y="50"/>
                </a:cxn>
                <a:cxn ang="0">
                  <a:pos x="63" y="53"/>
                </a:cxn>
                <a:cxn ang="0">
                  <a:pos x="49" y="84"/>
                </a:cxn>
                <a:cxn ang="0">
                  <a:pos x="32" y="94"/>
                </a:cxn>
                <a:cxn ang="0">
                  <a:pos x="23" y="92"/>
                </a:cxn>
                <a:cxn ang="0">
                  <a:pos x="3" y="83"/>
                </a:cxn>
                <a:cxn ang="0">
                  <a:pos x="0" y="81"/>
                </a:cxn>
                <a:cxn ang="0">
                  <a:pos x="18" y="57"/>
                </a:cxn>
                <a:cxn ang="0">
                  <a:pos x="25" y="51"/>
                </a:cxn>
                <a:cxn ang="0">
                  <a:pos x="50" y="37"/>
                </a:cxn>
                <a:cxn ang="0">
                  <a:pos x="58" y="26"/>
                </a:cxn>
              </a:cxnLst>
              <a:rect l="0" t="0" r="r" b="b"/>
              <a:pathLst>
                <a:path w="96" h="94">
                  <a:moveTo>
                    <a:pt x="58" y="26"/>
                  </a:moveTo>
                  <a:cubicBezTo>
                    <a:pt x="58" y="26"/>
                    <a:pt x="58" y="23"/>
                    <a:pt x="59" y="22"/>
                  </a:cubicBezTo>
                  <a:cubicBezTo>
                    <a:pt x="60" y="18"/>
                    <a:pt x="63" y="17"/>
                    <a:pt x="67" y="17"/>
                  </a:cubicBezTo>
                  <a:cubicBezTo>
                    <a:pt x="67" y="16"/>
                    <a:pt x="67" y="15"/>
                    <a:pt x="67" y="14"/>
                  </a:cubicBezTo>
                  <a:cubicBezTo>
                    <a:pt x="67" y="8"/>
                    <a:pt x="74" y="2"/>
                    <a:pt x="78" y="0"/>
                  </a:cubicBezTo>
                  <a:cubicBezTo>
                    <a:pt x="78" y="3"/>
                    <a:pt x="79" y="4"/>
                    <a:pt x="81" y="4"/>
                  </a:cubicBezTo>
                  <a:cubicBezTo>
                    <a:pt x="81" y="7"/>
                    <a:pt x="80" y="10"/>
                    <a:pt x="83" y="10"/>
                  </a:cubicBezTo>
                  <a:cubicBezTo>
                    <a:pt x="86" y="10"/>
                    <a:pt x="88" y="7"/>
                    <a:pt x="90" y="6"/>
                  </a:cubicBezTo>
                  <a:cubicBezTo>
                    <a:pt x="91" y="8"/>
                    <a:pt x="92" y="8"/>
                    <a:pt x="94" y="8"/>
                  </a:cubicBezTo>
                  <a:cubicBezTo>
                    <a:pt x="94" y="12"/>
                    <a:pt x="94" y="14"/>
                    <a:pt x="96" y="15"/>
                  </a:cubicBezTo>
                  <a:cubicBezTo>
                    <a:pt x="95" y="21"/>
                    <a:pt x="86" y="37"/>
                    <a:pt x="79" y="37"/>
                  </a:cubicBezTo>
                  <a:cubicBezTo>
                    <a:pt x="78" y="43"/>
                    <a:pt x="80" y="45"/>
                    <a:pt x="79" y="50"/>
                  </a:cubicBezTo>
                  <a:cubicBezTo>
                    <a:pt x="77" y="50"/>
                    <a:pt x="66" y="53"/>
                    <a:pt x="63" y="53"/>
                  </a:cubicBezTo>
                  <a:cubicBezTo>
                    <a:pt x="61" y="58"/>
                    <a:pt x="49" y="84"/>
                    <a:pt x="49" y="84"/>
                  </a:cubicBezTo>
                  <a:cubicBezTo>
                    <a:pt x="45" y="88"/>
                    <a:pt x="37" y="94"/>
                    <a:pt x="32" y="94"/>
                  </a:cubicBezTo>
                  <a:cubicBezTo>
                    <a:pt x="30" y="94"/>
                    <a:pt x="25" y="92"/>
                    <a:pt x="23" y="92"/>
                  </a:cubicBezTo>
                  <a:cubicBezTo>
                    <a:pt x="20" y="92"/>
                    <a:pt x="3" y="85"/>
                    <a:pt x="3" y="83"/>
                  </a:cubicBezTo>
                  <a:cubicBezTo>
                    <a:pt x="2" y="83"/>
                    <a:pt x="0" y="82"/>
                    <a:pt x="0" y="81"/>
                  </a:cubicBezTo>
                  <a:cubicBezTo>
                    <a:pt x="0" y="70"/>
                    <a:pt x="14" y="64"/>
                    <a:pt x="18" y="57"/>
                  </a:cubicBezTo>
                  <a:cubicBezTo>
                    <a:pt x="20" y="54"/>
                    <a:pt x="22" y="51"/>
                    <a:pt x="25" y="51"/>
                  </a:cubicBezTo>
                  <a:cubicBezTo>
                    <a:pt x="36" y="51"/>
                    <a:pt x="42" y="40"/>
                    <a:pt x="50" y="37"/>
                  </a:cubicBezTo>
                  <a:cubicBezTo>
                    <a:pt x="52" y="36"/>
                    <a:pt x="58" y="26"/>
                    <a:pt x="58" y="26"/>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70" name="Freeform 20" hidden="1">
              <a:extLst>
                <a:ext uri="{FF2B5EF4-FFF2-40B4-BE49-F238E27FC236}">
                  <a16:creationId xmlns:a16="http://schemas.microsoft.com/office/drawing/2014/main" id="{00000000-0008-0000-0000-0000AA000000}"/>
                </a:ext>
              </a:extLst>
            </xdr:cNvPr>
            <xdr:cNvSpPr>
              <a:spLocks/>
            </xdr:cNvSpPr>
          </xdr:nvSpPr>
          <xdr:spPr bwMode="auto">
            <a:xfrm>
              <a:off x="7148513" y="3476625"/>
              <a:ext cx="93663" cy="139700"/>
            </a:xfrm>
            <a:custGeom>
              <a:avLst/>
              <a:gdLst/>
              <a:ahLst/>
              <a:cxnLst>
                <a:cxn ang="0">
                  <a:pos x="22" y="40"/>
                </a:cxn>
                <a:cxn ang="0">
                  <a:pos x="17" y="31"/>
                </a:cxn>
                <a:cxn ang="0">
                  <a:pos x="19" y="27"/>
                </a:cxn>
                <a:cxn ang="0">
                  <a:pos x="0" y="0"/>
                </a:cxn>
                <a:cxn ang="0">
                  <a:pos x="16" y="12"/>
                </a:cxn>
                <a:cxn ang="0">
                  <a:pos x="22" y="19"/>
                </a:cxn>
                <a:cxn ang="0">
                  <a:pos x="20" y="22"/>
                </a:cxn>
                <a:cxn ang="0">
                  <a:pos x="27" y="37"/>
                </a:cxn>
                <a:cxn ang="0">
                  <a:pos x="30" y="37"/>
                </a:cxn>
                <a:cxn ang="0">
                  <a:pos x="34" y="32"/>
                </a:cxn>
                <a:cxn ang="0">
                  <a:pos x="37" y="32"/>
                </a:cxn>
                <a:cxn ang="0">
                  <a:pos x="53" y="50"/>
                </a:cxn>
                <a:cxn ang="0">
                  <a:pos x="68" y="46"/>
                </a:cxn>
                <a:cxn ang="0">
                  <a:pos x="71" y="48"/>
                </a:cxn>
                <a:cxn ang="0">
                  <a:pos x="63" y="71"/>
                </a:cxn>
                <a:cxn ang="0">
                  <a:pos x="61" y="68"/>
                </a:cxn>
                <a:cxn ang="0">
                  <a:pos x="60" y="70"/>
                </a:cxn>
                <a:cxn ang="0">
                  <a:pos x="51" y="75"/>
                </a:cxn>
                <a:cxn ang="0">
                  <a:pos x="52" y="80"/>
                </a:cxn>
                <a:cxn ang="0">
                  <a:pos x="46" y="89"/>
                </a:cxn>
                <a:cxn ang="0">
                  <a:pos x="30" y="104"/>
                </a:cxn>
                <a:cxn ang="0">
                  <a:pos x="23" y="98"/>
                </a:cxn>
                <a:cxn ang="0">
                  <a:pos x="29" y="86"/>
                </a:cxn>
                <a:cxn ang="0">
                  <a:pos x="12" y="72"/>
                </a:cxn>
                <a:cxn ang="0">
                  <a:pos x="19" y="65"/>
                </a:cxn>
                <a:cxn ang="0">
                  <a:pos x="24" y="48"/>
                </a:cxn>
                <a:cxn ang="0">
                  <a:pos x="22" y="38"/>
                </a:cxn>
                <a:cxn ang="0">
                  <a:pos x="22" y="38"/>
                </a:cxn>
                <a:cxn ang="0">
                  <a:pos x="22" y="40"/>
                </a:cxn>
              </a:cxnLst>
              <a:rect l="0" t="0" r="r" b="b"/>
              <a:pathLst>
                <a:path w="71" h="104">
                  <a:moveTo>
                    <a:pt x="22" y="40"/>
                  </a:moveTo>
                  <a:cubicBezTo>
                    <a:pt x="21" y="36"/>
                    <a:pt x="17" y="35"/>
                    <a:pt x="17" y="31"/>
                  </a:cubicBezTo>
                  <a:cubicBezTo>
                    <a:pt x="17" y="30"/>
                    <a:pt x="18" y="28"/>
                    <a:pt x="19" y="27"/>
                  </a:cubicBezTo>
                  <a:cubicBezTo>
                    <a:pt x="8" y="25"/>
                    <a:pt x="2" y="11"/>
                    <a:pt x="0" y="0"/>
                  </a:cubicBezTo>
                  <a:cubicBezTo>
                    <a:pt x="4" y="7"/>
                    <a:pt x="12" y="8"/>
                    <a:pt x="16" y="12"/>
                  </a:cubicBezTo>
                  <a:cubicBezTo>
                    <a:pt x="19" y="15"/>
                    <a:pt x="19" y="18"/>
                    <a:pt x="22" y="19"/>
                  </a:cubicBezTo>
                  <a:cubicBezTo>
                    <a:pt x="21" y="21"/>
                    <a:pt x="20" y="21"/>
                    <a:pt x="20" y="22"/>
                  </a:cubicBezTo>
                  <a:cubicBezTo>
                    <a:pt x="20" y="25"/>
                    <a:pt x="25" y="34"/>
                    <a:pt x="27" y="37"/>
                  </a:cubicBezTo>
                  <a:cubicBezTo>
                    <a:pt x="30" y="37"/>
                    <a:pt x="30" y="37"/>
                    <a:pt x="30" y="37"/>
                  </a:cubicBezTo>
                  <a:cubicBezTo>
                    <a:pt x="30" y="34"/>
                    <a:pt x="32" y="32"/>
                    <a:pt x="34" y="32"/>
                  </a:cubicBezTo>
                  <a:cubicBezTo>
                    <a:pt x="35" y="32"/>
                    <a:pt x="36" y="32"/>
                    <a:pt x="37" y="32"/>
                  </a:cubicBezTo>
                  <a:cubicBezTo>
                    <a:pt x="37" y="44"/>
                    <a:pt x="42" y="50"/>
                    <a:pt x="53" y="50"/>
                  </a:cubicBezTo>
                  <a:cubicBezTo>
                    <a:pt x="61" y="50"/>
                    <a:pt x="61" y="46"/>
                    <a:pt x="68" y="46"/>
                  </a:cubicBezTo>
                  <a:cubicBezTo>
                    <a:pt x="69" y="46"/>
                    <a:pt x="71" y="47"/>
                    <a:pt x="71" y="48"/>
                  </a:cubicBezTo>
                  <a:cubicBezTo>
                    <a:pt x="65" y="55"/>
                    <a:pt x="67" y="64"/>
                    <a:pt x="63" y="71"/>
                  </a:cubicBezTo>
                  <a:cubicBezTo>
                    <a:pt x="61" y="68"/>
                    <a:pt x="61" y="68"/>
                    <a:pt x="61" y="68"/>
                  </a:cubicBezTo>
                  <a:cubicBezTo>
                    <a:pt x="60" y="68"/>
                    <a:pt x="60" y="70"/>
                    <a:pt x="60" y="70"/>
                  </a:cubicBezTo>
                  <a:cubicBezTo>
                    <a:pt x="55" y="71"/>
                    <a:pt x="51" y="72"/>
                    <a:pt x="51" y="75"/>
                  </a:cubicBezTo>
                  <a:cubicBezTo>
                    <a:pt x="51" y="77"/>
                    <a:pt x="52" y="78"/>
                    <a:pt x="52" y="80"/>
                  </a:cubicBezTo>
                  <a:cubicBezTo>
                    <a:pt x="52" y="83"/>
                    <a:pt x="47" y="87"/>
                    <a:pt x="46" y="89"/>
                  </a:cubicBezTo>
                  <a:cubicBezTo>
                    <a:pt x="42" y="95"/>
                    <a:pt x="39" y="104"/>
                    <a:pt x="30" y="104"/>
                  </a:cubicBezTo>
                  <a:cubicBezTo>
                    <a:pt x="26" y="104"/>
                    <a:pt x="23" y="102"/>
                    <a:pt x="23" y="98"/>
                  </a:cubicBezTo>
                  <a:cubicBezTo>
                    <a:pt x="23" y="93"/>
                    <a:pt x="29" y="91"/>
                    <a:pt x="29" y="86"/>
                  </a:cubicBezTo>
                  <a:cubicBezTo>
                    <a:pt x="29" y="77"/>
                    <a:pt x="12" y="80"/>
                    <a:pt x="12" y="72"/>
                  </a:cubicBezTo>
                  <a:cubicBezTo>
                    <a:pt x="12" y="68"/>
                    <a:pt x="16" y="67"/>
                    <a:pt x="19" y="65"/>
                  </a:cubicBezTo>
                  <a:cubicBezTo>
                    <a:pt x="23" y="61"/>
                    <a:pt x="24" y="55"/>
                    <a:pt x="24" y="48"/>
                  </a:cubicBezTo>
                  <a:cubicBezTo>
                    <a:pt x="24" y="44"/>
                    <a:pt x="22" y="40"/>
                    <a:pt x="22" y="38"/>
                  </a:cubicBezTo>
                  <a:cubicBezTo>
                    <a:pt x="22" y="38"/>
                    <a:pt x="22" y="38"/>
                    <a:pt x="22" y="38"/>
                  </a:cubicBezTo>
                  <a:lnTo>
                    <a:pt x="22" y="40"/>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71" name="Freeform 116" hidden="1">
              <a:extLst>
                <a:ext uri="{FF2B5EF4-FFF2-40B4-BE49-F238E27FC236}">
                  <a16:creationId xmlns:a16="http://schemas.microsoft.com/office/drawing/2014/main" id="{00000000-0008-0000-0000-0000AB000000}"/>
                </a:ext>
              </a:extLst>
            </xdr:cNvPr>
            <xdr:cNvSpPr>
              <a:spLocks/>
            </xdr:cNvSpPr>
          </xdr:nvSpPr>
          <xdr:spPr bwMode="auto">
            <a:xfrm>
              <a:off x="6856413" y="3582988"/>
              <a:ext cx="6350" cy="9525"/>
            </a:xfrm>
            <a:custGeom>
              <a:avLst/>
              <a:gdLst/>
              <a:ahLst/>
              <a:cxnLst>
                <a:cxn ang="0">
                  <a:pos x="5" y="0"/>
                </a:cxn>
                <a:cxn ang="0">
                  <a:pos x="4" y="7"/>
                </a:cxn>
                <a:cxn ang="0">
                  <a:pos x="0" y="0"/>
                </a:cxn>
                <a:cxn ang="0">
                  <a:pos x="5" y="0"/>
                </a:cxn>
              </a:cxnLst>
              <a:rect l="0" t="0" r="r" b="b"/>
              <a:pathLst>
                <a:path w="5" h="7">
                  <a:moveTo>
                    <a:pt x="5" y="0"/>
                  </a:moveTo>
                  <a:cubicBezTo>
                    <a:pt x="5" y="4"/>
                    <a:pt x="4" y="5"/>
                    <a:pt x="4" y="7"/>
                  </a:cubicBezTo>
                  <a:cubicBezTo>
                    <a:pt x="0" y="6"/>
                    <a:pt x="0" y="3"/>
                    <a:pt x="0" y="0"/>
                  </a:cubicBezTo>
                  <a:cubicBezTo>
                    <a:pt x="2" y="0"/>
                    <a:pt x="4" y="0"/>
                    <a:pt x="5" y="0"/>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72" name="Freeform 117" hidden="1">
              <a:extLst>
                <a:ext uri="{FF2B5EF4-FFF2-40B4-BE49-F238E27FC236}">
                  <a16:creationId xmlns:a16="http://schemas.microsoft.com/office/drawing/2014/main" id="{00000000-0008-0000-0000-0000AC000000}"/>
                </a:ext>
              </a:extLst>
            </xdr:cNvPr>
            <xdr:cNvSpPr>
              <a:spLocks/>
            </xdr:cNvSpPr>
          </xdr:nvSpPr>
          <xdr:spPr bwMode="auto">
            <a:xfrm>
              <a:off x="6664325" y="3500438"/>
              <a:ext cx="22225" cy="11113"/>
            </a:xfrm>
            <a:custGeom>
              <a:avLst/>
              <a:gdLst/>
              <a:ahLst/>
              <a:cxnLst>
                <a:cxn ang="0">
                  <a:pos x="16" y="4"/>
                </a:cxn>
                <a:cxn ang="0">
                  <a:pos x="0" y="4"/>
                </a:cxn>
                <a:cxn ang="0">
                  <a:pos x="16" y="4"/>
                </a:cxn>
              </a:cxnLst>
              <a:rect l="0" t="0" r="r" b="b"/>
              <a:pathLst>
                <a:path w="16" h="8">
                  <a:moveTo>
                    <a:pt x="16" y="4"/>
                  </a:moveTo>
                  <a:cubicBezTo>
                    <a:pt x="11" y="7"/>
                    <a:pt x="4" y="8"/>
                    <a:pt x="0" y="4"/>
                  </a:cubicBezTo>
                  <a:cubicBezTo>
                    <a:pt x="9" y="0"/>
                    <a:pt x="10" y="0"/>
                    <a:pt x="16" y="4"/>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73" name="Freeform 118" hidden="1">
              <a:extLst>
                <a:ext uri="{FF2B5EF4-FFF2-40B4-BE49-F238E27FC236}">
                  <a16:creationId xmlns:a16="http://schemas.microsoft.com/office/drawing/2014/main" id="{00000000-0008-0000-0000-0000AD000000}"/>
                </a:ext>
              </a:extLst>
            </xdr:cNvPr>
            <xdr:cNvSpPr>
              <a:spLocks/>
            </xdr:cNvSpPr>
          </xdr:nvSpPr>
          <xdr:spPr bwMode="auto">
            <a:xfrm>
              <a:off x="6556375" y="3065463"/>
              <a:ext cx="22225" cy="9525"/>
            </a:xfrm>
            <a:custGeom>
              <a:avLst/>
              <a:gdLst/>
              <a:ahLst/>
              <a:cxnLst>
                <a:cxn ang="0">
                  <a:pos x="17" y="1"/>
                </a:cxn>
                <a:cxn ang="0">
                  <a:pos x="17" y="7"/>
                </a:cxn>
                <a:cxn ang="0">
                  <a:pos x="13" y="7"/>
                </a:cxn>
                <a:cxn ang="0">
                  <a:pos x="0" y="3"/>
                </a:cxn>
                <a:cxn ang="0">
                  <a:pos x="17" y="1"/>
                </a:cxn>
              </a:cxnLst>
              <a:rect l="0" t="0" r="r" b="b"/>
              <a:pathLst>
                <a:path w="17" h="7">
                  <a:moveTo>
                    <a:pt x="17" y="1"/>
                  </a:moveTo>
                  <a:cubicBezTo>
                    <a:pt x="17" y="7"/>
                    <a:pt x="17" y="7"/>
                    <a:pt x="17" y="7"/>
                  </a:cubicBezTo>
                  <a:cubicBezTo>
                    <a:pt x="16" y="7"/>
                    <a:pt x="14" y="7"/>
                    <a:pt x="13" y="7"/>
                  </a:cubicBezTo>
                  <a:cubicBezTo>
                    <a:pt x="8" y="7"/>
                    <a:pt x="2" y="5"/>
                    <a:pt x="0" y="3"/>
                  </a:cubicBezTo>
                  <a:cubicBezTo>
                    <a:pt x="8" y="1"/>
                    <a:pt x="11" y="0"/>
                    <a:pt x="17" y="1"/>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grpSp>
    </xdr:grpSp>
    <xdr:clientData fLocksWithSheet="0"/>
  </xdr:twoCellAnchor>
  <xdr:twoCellAnchor editAs="absolute">
    <xdr:from>
      <xdr:col>9</xdr:col>
      <xdr:colOff>1678940</xdr:colOff>
      <xdr:row>13</xdr:row>
      <xdr:rowOff>220980</xdr:rowOff>
    </xdr:from>
    <xdr:to>
      <xdr:col>10</xdr:col>
      <xdr:colOff>906637</xdr:colOff>
      <xdr:row>17</xdr:row>
      <xdr:rowOff>181127</xdr:rowOff>
    </xdr:to>
    <xdr:grpSp>
      <xdr:nvGrpSpPr>
        <xdr:cNvPr id="174" name="P_4" hidden="1">
          <a:extLst>
            <a:ext uri="{FF2B5EF4-FFF2-40B4-BE49-F238E27FC236}">
              <a16:creationId xmlns:a16="http://schemas.microsoft.com/office/drawing/2014/main" id="{00000000-0008-0000-0000-0000AE000000}"/>
            </a:ext>
          </a:extLst>
        </xdr:cNvPr>
        <xdr:cNvGrpSpPr/>
      </xdr:nvGrpSpPr>
      <xdr:grpSpPr>
        <a:xfrm>
          <a:off x="14582140" y="4334510"/>
          <a:ext cx="1014587" cy="1910867"/>
          <a:chOff x="4219575" y="1089025"/>
          <a:chExt cx="687388" cy="1155701"/>
        </a:xfrm>
        <a:solidFill>
          <a:srgbClr val="FEDD00"/>
        </a:solidFill>
      </xdr:grpSpPr>
      <xdr:sp macro="" textlink="">
        <xdr:nvSpPr>
          <xdr:cNvPr id="175" name="Freeform 36" hidden="1">
            <a:extLst>
              <a:ext uri="{FF2B5EF4-FFF2-40B4-BE49-F238E27FC236}">
                <a16:creationId xmlns:a16="http://schemas.microsoft.com/office/drawing/2014/main" id="{00000000-0008-0000-0000-0000AF000000}"/>
              </a:ext>
            </a:extLst>
          </xdr:cNvPr>
          <xdr:cNvSpPr>
            <a:spLocks/>
          </xdr:cNvSpPr>
        </xdr:nvSpPr>
        <xdr:spPr bwMode="auto">
          <a:xfrm>
            <a:off x="4568825" y="1816100"/>
            <a:ext cx="26988" cy="39688"/>
          </a:xfrm>
          <a:custGeom>
            <a:avLst/>
            <a:gdLst/>
            <a:ahLst/>
            <a:cxnLst>
              <a:cxn ang="0">
                <a:pos x="3" y="27"/>
              </a:cxn>
              <a:cxn ang="0">
                <a:pos x="9" y="21"/>
              </a:cxn>
              <a:cxn ang="0">
                <a:pos x="0" y="14"/>
              </a:cxn>
              <a:cxn ang="0">
                <a:pos x="9" y="0"/>
              </a:cxn>
              <a:cxn ang="0">
                <a:pos x="20" y="12"/>
              </a:cxn>
              <a:cxn ang="0">
                <a:pos x="6" y="30"/>
              </a:cxn>
              <a:cxn ang="0">
                <a:pos x="0" y="27"/>
              </a:cxn>
              <a:cxn ang="0">
                <a:pos x="2" y="25"/>
              </a:cxn>
              <a:cxn ang="0">
                <a:pos x="3" y="27"/>
              </a:cxn>
            </a:cxnLst>
            <a:rect l="0" t="0" r="r" b="b"/>
            <a:pathLst>
              <a:path w="20" h="30">
                <a:moveTo>
                  <a:pt x="3" y="27"/>
                </a:moveTo>
                <a:cubicBezTo>
                  <a:pt x="6" y="26"/>
                  <a:pt x="9" y="23"/>
                  <a:pt x="9" y="21"/>
                </a:cubicBezTo>
                <a:cubicBezTo>
                  <a:pt x="5" y="20"/>
                  <a:pt x="0" y="16"/>
                  <a:pt x="0" y="14"/>
                </a:cubicBezTo>
                <a:cubicBezTo>
                  <a:pt x="0" y="12"/>
                  <a:pt x="5" y="0"/>
                  <a:pt x="9" y="0"/>
                </a:cubicBezTo>
                <a:cubicBezTo>
                  <a:pt x="17" y="0"/>
                  <a:pt x="18" y="4"/>
                  <a:pt x="20" y="12"/>
                </a:cubicBezTo>
                <a:cubicBezTo>
                  <a:pt x="12" y="14"/>
                  <a:pt x="16" y="30"/>
                  <a:pt x="6" y="30"/>
                </a:cubicBezTo>
                <a:cubicBezTo>
                  <a:pt x="3" y="30"/>
                  <a:pt x="1" y="27"/>
                  <a:pt x="0" y="27"/>
                </a:cubicBezTo>
                <a:cubicBezTo>
                  <a:pt x="1" y="26"/>
                  <a:pt x="2" y="25"/>
                  <a:pt x="2" y="25"/>
                </a:cubicBezTo>
                <a:lnTo>
                  <a:pt x="3" y="27"/>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grpSp>
        <xdr:nvGrpSpPr>
          <xdr:cNvPr id="176" name="Group 175" hidden="1">
            <a:extLst>
              <a:ext uri="{FF2B5EF4-FFF2-40B4-BE49-F238E27FC236}">
                <a16:creationId xmlns:a16="http://schemas.microsoft.com/office/drawing/2014/main" id="{00000000-0008-0000-0000-0000B0000000}"/>
              </a:ext>
            </a:extLst>
          </xdr:cNvPr>
          <xdr:cNvGrpSpPr/>
        </xdr:nvGrpSpPr>
        <xdr:grpSpPr>
          <a:xfrm>
            <a:off x="4219575" y="1089025"/>
            <a:ext cx="687388" cy="1155701"/>
            <a:chOff x="4219575" y="1089025"/>
            <a:chExt cx="687388" cy="1155701"/>
          </a:xfrm>
          <a:grpFill/>
        </xdr:grpSpPr>
        <xdr:sp macro="" textlink="">
          <xdr:nvSpPr>
            <xdr:cNvPr id="177" name="Freeform 24" hidden="1">
              <a:extLst>
                <a:ext uri="{FF2B5EF4-FFF2-40B4-BE49-F238E27FC236}">
                  <a16:creationId xmlns:a16="http://schemas.microsoft.com/office/drawing/2014/main" id="{00000000-0008-0000-0000-0000B1000000}"/>
                </a:ext>
              </a:extLst>
            </xdr:cNvPr>
            <xdr:cNvSpPr>
              <a:spLocks/>
            </xdr:cNvSpPr>
          </xdr:nvSpPr>
          <xdr:spPr bwMode="auto">
            <a:xfrm>
              <a:off x="4230687" y="1782763"/>
              <a:ext cx="646113" cy="461963"/>
            </a:xfrm>
            <a:custGeom>
              <a:avLst/>
              <a:gdLst/>
              <a:ahLst/>
              <a:cxnLst>
                <a:cxn ang="0">
                  <a:pos x="473" y="233"/>
                </a:cxn>
                <a:cxn ang="0">
                  <a:pos x="470" y="273"/>
                </a:cxn>
                <a:cxn ang="0">
                  <a:pos x="427" y="274"/>
                </a:cxn>
                <a:cxn ang="0">
                  <a:pos x="401" y="283"/>
                </a:cxn>
                <a:cxn ang="0">
                  <a:pos x="403" y="303"/>
                </a:cxn>
                <a:cxn ang="0">
                  <a:pos x="413" y="322"/>
                </a:cxn>
                <a:cxn ang="0">
                  <a:pos x="401" y="319"/>
                </a:cxn>
                <a:cxn ang="0">
                  <a:pos x="397" y="336"/>
                </a:cxn>
                <a:cxn ang="0">
                  <a:pos x="382" y="315"/>
                </a:cxn>
                <a:cxn ang="0">
                  <a:pos x="358" y="278"/>
                </a:cxn>
                <a:cxn ang="0">
                  <a:pos x="329" y="238"/>
                </a:cxn>
                <a:cxn ang="0">
                  <a:pos x="289" y="213"/>
                </a:cxn>
                <a:cxn ang="0">
                  <a:pos x="270" y="212"/>
                </a:cxn>
                <a:cxn ang="0">
                  <a:pos x="289" y="244"/>
                </a:cxn>
                <a:cxn ang="0">
                  <a:pos x="315" y="264"/>
                </a:cxn>
                <a:cxn ang="0">
                  <a:pos x="330" y="283"/>
                </a:cxn>
                <a:cxn ang="0">
                  <a:pos x="323" y="305"/>
                </a:cxn>
                <a:cxn ang="0">
                  <a:pos x="316" y="303"/>
                </a:cxn>
                <a:cxn ang="0">
                  <a:pos x="291" y="273"/>
                </a:cxn>
                <a:cxn ang="0">
                  <a:pos x="229" y="223"/>
                </a:cxn>
                <a:cxn ang="0">
                  <a:pos x="168" y="237"/>
                </a:cxn>
                <a:cxn ang="0">
                  <a:pos x="135" y="272"/>
                </a:cxn>
                <a:cxn ang="0">
                  <a:pos x="101" y="326"/>
                </a:cxn>
                <a:cxn ang="0">
                  <a:pos x="72" y="338"/>
                </a:cxn>
                <a:cxn ang="0">
                  <a:pos x="10" y="334"/>
                </a:cxn>
                <a:cxn ang="0">
                  <a:pos x="0" y="306"/>
                </a:cxn>
                <a:cxn ang="0">
                  <a:pos x="4" y="246"/>
                </a:cxn>
                <a:cxn ang="0">
                  <a:pos x="48" y="235"/>
                </a:cxn>
                <a:cxn ang="0">
                  <a:pos x="89" y="240"/>
                </a:cxn>
                <a:cxn ang="0">
                  <a:pos x="105" y="206"/>
                </a:cxn>
                <a:cxn ang="0">
                  <a:pos x="103" y="193"/>
                </a:cxn>
                <a:cxn ang="0">
                  <a:pos x="60" y="163"/>
                </a:cxn>
                <a:cxn ang="0">
                  <a:pos x="88" y="157"/>
                </a:cxn>
                <a:cxn ang="0">
                  <a:pos x="96" y="143"/>
                </a:cxn>
                <a:cxn ang="0">
                  <a:pos x="114" y="145"/>
                </a:cxn>
                <a:cxn ang="0">
                  <a:pos x="147" y="118"/>
                </a:cxn>
                <a:cxn ang="0">
                  <a:pos x="176" y="89"/>
                </a:cxn>
                <a:cxn ang="0">
                  <a:pos x="208" y="73"/>
                </a:cxn>
                <a:cxn ang="0">
                  <a:pos x="225" y="54"/>
                </a:cxn>
                <a:cxn ang="0">
                  <a:pos x="245" y="5"/>
                </a:cxn>
                <a:cxn ang="0">
                  <a:pos x="251" y="25"/>
                </a:cxn>
                <a:cxn ang="0">
                  <a:pos x="240" y="54"/>
                </a:cxn>
                <a:cxn ang="0">
                  <a:pos x="254" y="66"/>
                </a:cxn>
                <a:cxn ang="0">
                  <a:pos x="289" y="68"/>
                </a:cxn>
                <a:cxn ang="0">
                  <a:pos x="333" y="50"/>
                </a:cxn>
                <a:cxn ang="0">
                  <a:pos x="378" y="55"/>
                </a:cxn>
                <a:cxn ang="0">
                  <a:pos x="408" y="95"/>
                </a:cxn>
                <a:cxn ang="0">
                  <a:pos x="399" y="153"/>
                </a:cxn>
                <a:cxn ang="0">
                  <a:pos x="470" y="180"/>
                </a:cxn>
                <a:cxn ang="0">
                  <a:pos x="474" y="204"/>
                </a:cxn>
                <a:cxn ang="0">
                  <a:pos x="476" y="216"/>
                </a:cxn>
              </a:cxnLst>
              <a:rect l="0" t="0" r="r" b="b"/>
              <a:pathLst>
                <a:path w="485" h="347">
                  <a:moveTo>
                    <a:pt x="476" y="216"/>
                  </a:moveTo>
                  <a:cubicBezTo>
                    <a:pt x="474" y="223"/>
                    <a:pt x="475" y="219"/>
                    <a:pt x="473" y="222"/>
                  </a:cubicBezTo>
                  <a:cubicBezTo>
                    <a:pt x="473" y="233"/>
                    <a:pt x="473" y="233"/>
                    <a:pt x="473" y="233"/>
                  </a:cubicBezTo>
                  <a:cubicBezTo>
                    <a:pt x="469" y="238"/>
                    <a:pt x="461" y="246"/>
                    <a:pt x="461" y="253"/>
                  </a:cubicBezTo>
                  <a:cubicBezTo>
                    <a:pt x="461" y="261"/>
                    <a:pt x="473" y="268"/>
                    <a:pt x="476" y="272"/>
                  </a:cubicBezTo>
                  <a:cubicBezTo>
                    <a:pt x="474" y="273"/>
                    <a:pt x="472" y="273"/>
                    <a:pt x="470" y="273"/>
                  </a:cubicBezTo>
                  <a:cubicBezTo>
                    <a:pt x="466" y="275"/>
                    <a:pt x="463" y="273"/>
                    <a:pt x="459" y="275"/>
                  </a:cubicBezTo>
                  <a:cubicBezTo>
                    <a:pt x="453" y="277"/>
                    <a:pt x="452" y="283"/>
                    <a:pt x="446" y="283"/>
                  </a:cubicBezTo>
                  <a:cubicBezTo>
                    <a:pt x="439" y="283"/>
                    <a:pt x="435" y="274"/>
                    <a:pt x="427" y="274"/>
                  </a:cubicBezTo>
                  <a:cubicBezTo>
                    <a:pt x="420" y="274"/>
                    <a:pt x="419" y="278"/>
                    <a:pt x="413" y="280"/>
                  </a:cubicBezTo>
                  <a:cubicBezTo>
                    <a:pt x="414" y="284"/>
                    <a:pt x="414" y="286"/>
                    <a:pt x="413" y="290"/>
                  </a:cubicBezTo>
                  <a:cubicBezTo>
                    <a:pt x="406" y="290"/>
                    <a:pt x="405" y="283"/>
                    <a:pt x="401" y="283"/>
                  </a:cubicBezTo>
                  <a:cubicBezTo>
                    <a:pt x="399" y="283"/>
                    <a:pt x="397" y="286"/>
                    <a:pt x="397" y="288"/>
                  </a:cubicBezTo>
                  <a:cubicBezTo>
                    <a:pt x="405" y="298"/>
                    <a:pt x="405" y="298"/>
                    <a:pt x="405" y="298"/>
                  </a:cubicBezTo>
                  <a:cubicBezTo>
                    <a:pt x="405" y="300"/>
                    <a:pt x="403" y="302"/>
                    <a:pt x="403" y="303"/>
                  </a:cubicBezTo>
                  <a:cubicBezTo>
                    <a:pt x="403" y="304"/>
                    <a:pt x="415" y="315"/>
                    <a:pt x="419" y="315"/>
                  </a:cubicBezTo>
                  <a:cubicBezTo>
                    <a:pt x="419" y="317"/>
                    <a:pt x="420" y="318"/>
                    <a:pt x="420" y="319"/>
                  </a:cubicBezTo>
                  <a:cubicBezTo>
                    <a:pt x="418" y="321"/>
                    <a:pt x="414" y="319"/>
                    <a:pt x="413" y="322"/>
                  </a:cubicBezTo>
                  <a:cubicBezTo>
                    <a:pt x="412" y="322"/>
                    <a:pt x="412" y="322"/>
                    <a:pt x="412" y="322"/>
                  </a:cubicBezTo>
                  <a:cubicBezTo>
                    <a:pt x="407" y="321"/>
                    <a:pt x="403" y="317"/>
                    <a:pt x="401" y="315"/>
                  </a:cubicBezTo>
                  <a:cubicBezTo>
                    <a:pt x="401" y="319"/>
                    <a:pt x="401" y="319"/>
                    <a:pt x="401" y="319"/>
                  </a:cubicBezTo>
                  <a:cubicBezTo>
                    <a:pt x="402" y="321"/>
                    <a:pt x="403" y="323"/>
                    <a:pt x="403" y="326"/>
                  </a:cubicBezTo>
                  <a:cubicBezTo>
                    <a:pt x="403" y="329"/>
                    <a:pt x="399" y="334"/>
                    <a:pt x="403" y="336"/>
                  </a:cubicBezTo>
                  <a:cubicBezTo>
                    <a:pt x="401" y="336"/>
                    <a:pt x="397" y="336"/>
                    <a:pt x="397" y="336"/>
                  </a:cubicBezTo>
                  <a:cubicBezTo>
                    <a:pt x="390" y="336"/>
                    <a:pt x="384" y="329"/>
                    <a:pt x="384" y="322"/>
                  </a:cubicBezTo>
                  <a:cubicBezTo>
                    <a:pt x="384" y="319"/>
                    <a:pt x="388" y="317"/>
                    <a:pt x="390" y="315"/>
                  </a:cubicBezTo>
                  <a:cubicBezTo>
                    <a:pt x="387" y="315"/>
                    <a:pt x="385" y="315"/>
                    <a:pt x="382" y="315"/>
                  </a:cubicBezTo>
                  <a:cubicBezTo>
                    <a:pt x="380" y="315"/>
                    <a:pt x="379" y="311"/>
                    <a:pt x="379" y="310"/>
                  </a:cubicBezTo>
                  <a:cubicBezTo>
                    <a:pt x="378" y="304"/>
                    <a:pt x="374" y="300"/>
                    <a:pt x="370" y="296"/>
                  </a:cubicBezTo>
                  <a:cubicBezTo>
                    <a:pt x="365" y="291"/>
                    <a:pt x="358" y="287"/>
                    <a:pt x="358" y="278"/>
                  </a:cubicBezTo>
                  <a:cubicBezTo>
                    <a:pt x="358" y="272"/>
                    <a:pt x="358" y="270"/>
                    <a:pt x="358" y="266"/>
                  </a:cubicBezTo>
                  <a:cubicBezTo>
                    <a:pt x="358" y="260"/>
                    <a:pt x="348" y="251"/>
                    <a:pt x="342" y="248"/>
                  </a:cubicBezTo>
                  <a:cubicBezTo>
                    <a:pt x="336" y="245"/>
                    <a:pt x="329" y="244"/>
                    <a:pt x="329" y="238"/>
                  </a:cubicBezTo>
                  <a:cubicBezTo>
                    <a:pt x="326" y="238"/>
                    <a:pt x="325" y="238"/>
                    <a:pt x="323" y="238"/>
                  </a:cubicBezTo>
                  <a:cubicBezTo>
                    <a:pt x="313" y="238"/>
                    <a:pt x="302" y="223"/>
                    <a:pt x="302" y="213"/>
                  </a:cubicBezTo>
                  <a:cubicBezTo>
                    <a:pt x="297" y="213"/>
                    <a:pt x="293" y="213"/>
                    <a:pt x="289" y="213"/>
                  </a:cubicBezTo>
                  <a:cubicBezTo>
                    <a:pt x="283" y="213"/>
                    <a:pt x="285" y="204"/>
                    <a:pt x="283" y="201"/>
                  </a:cubicBezTo>
                  <a:cubicBezTo>
                    <a:pt x="278" y="204"/>
                    <a:pt x="268" y="204"/>
                    <a:pt x="268" y="209"/>
                  </a:cubicBezTo>
                  <a:cubicBezTo>
                    <a:pt x="268" y="210"/>
                    <a:pt x="270" y="212"/>
                    <a:pt x="270" y="212"/>
                  </a:cubicBezTo>
                  <a:cubicBezTo>
                    <a:pt x="270" y="214"/>
                    <a:pt x="269" y="217"/>
                    <a:pt x="269" y="220"/>
                  </a:cubicBezTo>
                  <a:cubicBezTo>
                    <a:pt x="269" y="226"/>
                    <a:pt x="273" y="229"/>
                    <a:pt x="278" y="231"/>
                  </a:cubicBezTo>
                  <a:cubicBezTo>
                    <a:pt x="285" y="233"/>
                    <a:pt x="288" y="240"/>
                    <a:pt x="289" y="244"/>
                  </a:cubicBezTo>
                  <a:cubicBezTo>
                    <a:pt x="291" y="250"/>
                    <a:pt x="294" y="257"/>
                    <a:pt x="298" y="259"/>
                  </a:cubicBezTo>
                  <a:cubicBezTo>
                    <a:pt x="304" y="262"/>
                    <a:pt x="309" y="260"/>
                    <a:pt x="315" y="260"/>
                  </a:cubicBezTo>
                  <a:cubicBezTo>
                    <a:pt x="315" y="261"/>
                    <a:pt x="315" y="263"/>
                    <a:pt x="315" y="264"/>
                  </a:cubicBezTo>
                  <a:cubicBezTo>
                    <a:pt x="313" y="269"/>
                    <a:pt x="323" y="271"/>
                    <a:pt x="326" y="272"/>
                  </a:cubicBezTo>
                  <a:cubicBezTo>
                    <a:pt x="335" y="277"/>
                    <a:pt x="345" y="280"/>
                    <a:pt x="344" y="290"/>
                  </a:cubicBezTo>
                  <a:cubicBezTo>
                    <a:pt x="340" y="289"/>
                    <a:pt x="337" y="283"/>
                    <a:pt x="330" y="283"/>
                  </a:cubicBezTo>
                  <a:cubicBezTo>
                    <a:pt x="325" y="283"/>
                    <a:pt x="320" y="286"/>
                    <a:pt x="320" y="290"/>
                  </a:cubicBezTo>
                  <a:cubicBezTo>
                    <a:pt x="320" y="296"/>
                    <a:pt x="328" y="297"/>
                    <a:pt x="328" y="303"/>
                  </a:cubicBezTo>
                  <a:cubicBezTo>
                    <a:pt x="328" y="305"/>
                    <a:pt x="323" y="305"/>
                    <a:pt x="323" y="305"/>
                  </a:cubicBezTo>
                  <a:cubicBezTo>
                    <a:pt x="319" y="309"/>
                    <a:pt x="319" y="318"/>
                    <a:pt x="313" y="318"/>
                  </a:cubicBezTo>
                  <a:cubicBezTo>
                    <a:pt x="310" y="318"/>
                    <a:pt x="308" y="317"/>
                    <a:pt x="308" y="315"/>
                  </a:cubicBezTo>
                  <a:cubicBezTo>
                    <a:pt x="314" y="315"/>
                    <a:pt x="316" y="309"/>
                    <a:pt x="316" y="303"/>
                  </a:cubicBezTo>
                  <a:cubicBezTo>
                    <a:pt x="316" y="297"/>
                    <a:pt x="312" y="295"/>
                    <a:pt x="311" y="291"/>
                  </a:cubicBezTo>
                  <a:cubicBezTo>
                    <a:pt x="310" y="291"/>
                    <a:pt x="300" y="281"/>
                    <a:pt x="299" y="278"/>
                  </a:cubicBezTo>
                  <a:cubicBezTo>
                    <a:pt x="297" y="278"/>
                    <a:pt x="291" y="276"/>
                    <a:pt x="291" y="273"/>
                  </a:cubicBezTo>
                  <a:cubicBezTo>
                    <a:pt x="277" y="270"/>
                    <a:pt x="274" y="266"/>
                    <a:pt x="266" y="259"/>
                  </a:cubicBezTo>
                  <a:cubicBezTo>
                    <a:pt x="263" y="256"/>
                    <a:pt x="257" y="254"/>
                    <a:pt x="256" y="251"/>
                  </a:cubicBezTo>
                  <a:cubicBezTo>
                    <a:pt x="248" y="241"/>
                    <a:pt x="245" y="223"/>
                    <a:pt x="229" y="223"/>
                  </a:cubicBezTo>
                  <a:cubicBezTo>
                    <a:pt x="221" y="223"/>
                    <a:pt x="220" y="228"/>
                    <a:pt x="216" y="230"/>
                  </a:cubicBezTo>
                  <a:cubicBezTo>
                    <a:pt x="208" y="234"/>
                    <a:pt x="202" y="242"/>
                    <a:pt x="192" y="242"/>
                  </a:cubicBezTo>
                  <a:cubicBezTo>
                    <a:pt x="183" y="242"/>
                    <a:pt x="177" y="237"/>
                    <a:pt x="168" y="237"/>
                  </a:cubicBezTo>
                  <a:cubicBezTo>
                    <a:pt x="161" y="237"/>
                    <a:pt x="154" y="242"/>
                    <a:pt x="154" y="248"/>
                  </a:cubicBezTo>
                  <a:cubicBezTo>
                    <a:pt x="157" y="258"/>
                    <a:pt x="157" y="258"/>
                    <a:pt x="157" y="258"/>
                  </a:cubicBezTo>
                  <a:cubicBezTo>
                    <a:pt x="154" y="267"/>
                    <a:pt x="144" y="270"/>
                    <a:pt x="135" y="272"/>
                  </a:cubicBezTo>
                  <a:cubicBezTo>
                    <a:pt x="127" y="274"/>
                    <a:pt x="114" y="292"/>
                    <a:pt x="114" y="302"/>
                  </a:cubicBezTo>
                  <a:cubicBezTo>
                    <a:pt x="114" y="305"/>
                    <a:pt x="117" y="306"/>
                    <a:pt x="119" y="307"/>
                  </a:cubicBezTo>
                  <a:cubicBezTo>
                    <a:pt x="113" y="316"/>
                    <a:pt x="110" y="321"/>
                    <a:pt x="101" y="326"/>
                  </a:cubicBezTo>
                  <a:cubicBezTo>
                    <a:pt x="96" y="328"/>
                    <a:pt x="95" y="340"/>
                    <a:pt x="86" y="337"/>
                  </a:cubicBezTo>
                  <a:cubicBezTo>
                    <a:pt x="86" y="337"/>
                    <a:pt x="86" y="337"/>
                    <a:pt x="86" y="337"/>
                  </a:cubicBezTo>
                  <a:cubicBezTo>
                    <a:pt x="82" y="336"/>
                    <a:pt x="75" y="338"/>
                    <a:pt x="72" y="338"/>
                  </a:cubicBezTo>
                  <a:cubicBezTo>
                    <a:pt x="62" y="338"/>
                    <a:pt x="56" y="347"/>
                    <a:pt x="46" y="347"/>
                  </a:cubicBezTo>
                  <a:cubicBezTo>
                    <a:pt x="40" y="347"/>
                    <a:pt x="39" y="331"/>
                    <a:pt x="29" y="331"/>
                  </a:cubicBezTo>
                  <a:cubicBezTo>
                    <a:pt x="22" y="331"/>
                    <a:pt x="17" y="334"/>
                    <a:pt x="10" y="334"/>
                  </a:cubicBezTo>
                  <a:cubicBezTo>
                    <a:pt x="8" y="334"/>
                    <a:pt x="7" y="332"/>
                    <a:pt x="7" y="330"/>
                  </a:cubicBezTo>
                  <a:cubicBezTo>
                    <a:pt x="7" y="321"/>
                    <a:pt x="7" y="318"/>
                    <a:pt x="7" y="313"/>
                  </a:cubicBezTo>
                  <a:cubicBezTo>
                    <a:pt x="3" y="313"/>
                    <a:pt x="0" y="310"/>
                    <a:pt x="0" y="306"/>
                  </a:cubicBezTo>
                  <a:cubicBezTo>
                    <a:pt x="0" y="301"/>
                    <a:pt x="4" y="299"/>
                    <a:pt x="4" y="296"/>
                  </a:cubicBezTo>
                  <a:cubicBezTo>
                    <a:pt x="4" y="285"/>
                    <a:pt x="8" y="274"/>
                    <a:pt x="8" y="262"/>
                  </a:cubicBezTo>
                  <a:cubicBezTo>
                    <a:pt x="8" y="256"/>
                    <a:pt x="4" y="250"/>
                    <a:pt x="4" y="246"/>
                  </a:cubicBezTo>
                  <a:cubicBezTo>
                    <a:pt x="4" y="243"/>
                    <a:pt x="19" y="234"/>
                    <a:pt x="21" y="234"/>
                  </a:cubicBezTo>
                  <a:cubicBezTo>
                    <a:pt x="23" y="234"/>
                    <a:pt x="25" y="236"/>
                    <a:pt x="28" y="235"/>
                  </a:cubicBezTo>
                  <a:cubicBezTo>
                    <a:pt x="48" y="235"/>
                    <a:pt x="48" y="235"/>
                    <a:pt x="48" y="235"/>
                  </a:cubicBezTo>
                  <a:cubicBezTo>
                    <a:pt x="49" y="237"/>
                    <a:pt x="53" y="238"/>
                    <a:pt x="55" y="238"/>
                  </a:cubicBezTo>
                  <a:cubicBezTo>
                    <a:pt x="76" y="238"/>
                    <a:pt x="76" y="238"/>
                    <a:pt x="76" y="238"/>
                  </a:cubicBezTo>
                  <a:cubicBezTo>
                    <a:pt x="82" y="237"/>
                    <a:pt x="84" y="240"/>
                    <a:pt x="89" y="240"/>
                  </a:cubicBezTo>
                  <a:cubicBezTo>
                    <a:pt x="92" y="240"/>
                    <a:pt x="98" y="238"/>
                    <a:pt x="100" y="238"/>
                  </a:cubicBezTo>
                  <a:cubicBezTo>
                    <a:pt x="100" y="229"/>
                    <a:pt x="105" y="226"/>
                    <a:pt x="105" y="218"/>
                  </a:cubicBezTo>
                  <a:cubicBezTo>
                    <a:pt x="105" y="216"/>
                    <a:pt x="105" y="208"/>
                    <a:pt x="105" y="206"/>
                  </a:cubicBezTo>
                  <a:cubicBezTo>
                    <a:pt x="104" y="206"/>
                    <a:pt x="104" y="206"/>
                    <a:pt x="104" y="206"/>
                  </a:cubicBezTo>
                  <a:cubicBezTo>
                    <a:pt x="105" y="205"/>
                    <a:pt x="106" y="201"/>
                    <a:pt x="106" y="200"/>
                  </a:cubicBezTo>
                  <a:cubicBezTo>
                    <a:pt x="106" y="196"/>
                    <a:pt x="103" y="197"/>
                    <a:pt x="103" y="193"/>
                  </a:cubicBezTo>
                  <a:cubicBezTo>
                    <a:pt x="94" y="193"/>
                    <a:pt x="92" y="185"/>
                    <a:pt x="92" y="178"/>
                  </a:cubicBezTo>
                  <a:cubicBezTo>
                    <a:pt x="89" y="178"/>
                    <a:pt x="89" y="175"/>
                    <a:pt x="87" y="175"/>
                  </a:cubicBezTo>
                  <a:cubicBezTo>
                    <a:pt x="79" y="173"/>
                    <a:pt x="60" y="169"/>
                    <a:pt x="60" y="163"/>
                  </a:cubicBezTo>
                  <a:cubicBezTo>
                    <a:pt x="60" y="163"/>
                    <a:pt x="60" y="161"/>
                    <a:pt x="60" y="161"/>
                  </a:cubicBezTo>
                  <a:cubicBezTo>
                    <a:pt x="60" y="157"/>
                    <a:pt x="72" y="154"/>
                    <a:pt x="76" y="153"/>
                  </a:cubicBezTo>
                  <a:cubicBezTo>
                    <a:pt x="78" y="156"/>
                    <a:pt x="85" y="157"/>
                    <a:pt x="88" y="157"/>
                  </a:cubicBezTo>
                  <a:cubicBezTo>
                    <a:pt x="92" y="157"/>
                    <a:pt x="97" y="156"/>
                    <a:pt x="98" y="155"/>
                  </a:cubicBezTo>
                  <a:cubicBezTo>
                    <a:pt x="98" y="152"/>
                    <a:pt x="98" y="152"/>
                    <a:pt x="98" y="152"/>
                  </a:cubicBezTo>
                  <a:cubicBezTo>
                    <a:pt x="95" y="151"/>
                    <a:pt x="97" y="145"/>
                    <a:pt x="96" y="143"/>
                  </a:cubicBezTo>
                  <a:cubicBezTo>
                    <a:pt x="96" y="140"/>
                    <a:pt x="96" y="140"/>
                    <a:pt x="96" y="140"/>
                  </a:cubicBezTo>
                  <a:cubicBezTo>
                    <a:pt x="101" y="140"/>
                    <a:pt x="101" y="140"/>
                    <a:pt x="101" y="140"/>
                  </a:cubicBezTo>
                  <a:cubicBezTo>
                    <a:pt x="104" y="143"/>
                    <a:pt x="109" y="145"/>
                    <a:pt x="114" y="145"/>
                  </a:cubicBezTo>
                  <a:cubicBezTo>
                    <a:pt x="117" y="145"/>
                    <a:pt x="120" y="142"/>
                    <a:pt x="121" y="139"/>
                  </a:cubicBezTo>
                  <a:cubicBezTo>
                    <a:pt x="135" y="139"/>
                    <a:pt x="138" y="129"/>
                    <a:pt x="141" y="119"/>
                  </a:cubicBezTo>
                  <a:cubicBezTo>
                    <a:pt x="143" y="119"/>
                    <a:pt x="145" y="118"/>
                    <a:pt x="147" y="118"/>
                  </a:cubicBezTo>
                  <a:cubicBezTo>
                    <a:pt x="150" y="117"/>
                    <a:pt x="167" y="110"/>
                    <a:pt x="169" y="108"/>
                  </a:cubicBezTo>
                  <a:cubicBezTo>
                    <a:pt x="173" y="104"/>
                    <a:pt x="171" y="99"/>
                    <a:pt x="171" y="94"/>
                  </a:cubicBezTo>
                  <a:cubicBezTo>
                    <a:pt x="171" y="92"/>
                    <a:pt x="175" y="89"/>
                    <a:pt x="176" y="89"/>
                  </a:cubicBezTo>
                  <a:cubicBezTo>
                    <a:pt x="182" y="83"/>
                    <a:pt x="188" y="76"/>
                    <a:pt x="198" y="76"/>
                  </a:cubicBezTo>
                  <a:cubicBezTo>
                    <a:pt x="204" y="76"/>
                    <a:pt x="201" y="77"/>
                    <a:pt x="204" y="76"/>
                  </a:cubicBezTo>
                  <a:cubicBezTo>
                    <a:pt x="206" y="77"/>
                    <a:pt x="207" y="74"/>
                    <a:pt x="208" y="73"/>
                  </a:cubicBezTo>
                  <a:cubicBezTo>
                    <a:pt x="211" y="70"/>
                    <a:pt x="215" y="72"/>
                    <a:pt x="219" y="72"/>
                  </a:cubicBezTo>
                  <a:cubicBezTo>
                    <a:pt x="221" y="72"/>
                    <a:pt x="229" y="68"/>
                    <a:pt x="229" y="65"/>
                  </a:cubicBezTo>
                  <a:cubicBezTo>
                    <a:pt x="229" y="63"/>
                    <a:pt x="225" y="54"/>
                    <a:pt x="225" y="54"/>
                  </a:cubicBezTo>
                  <a:cubicBezTo>
                    <a:pt x="224" y="42"/>
                    <a:pt x="217" y="38"/>
                    <a:pt x="217" y="28"/>
                  </a:cubicBezTo>
                  <a:cubicBezTo>
                    <a:pt x="217" y="9"/>
                    <a:pt x="234" y="8"/>
                    <a:pt x="245" y="0"/>
                  </a:cubicBezTo>
                  <a:cubicBezTo>
                    <a:pt x="245" y="5"/>
                    <a:pt x="245" y="5"/>
                    <a:pt x="245" y="5"/>
                  </a:cubicBezTo>
                  <a:cubicBezTo>
                    <a:pt x="243" y="10"/>
                    <a:pt x="242" y="12"/>
                    <a:pt x="242" y="17"/>
                  </a:cubicBezTo>
                  <a:cubicBezTo>
                    <a:pt x="242" y="21"/>
                    <a:pt x="247" y="22"/>
                    <a:pt x="251" y="22"/>
                  </a:cubicBezTo>
                  <a:cubicBezTo>
                    <a:pt x="251" y="23"/>
                    <a:pt x="251" y="24"/>
                    <a:pt x="251" y="25"/>
                  </a:cubicBezTo>
                  <a:cubicBezTo>
                    <a:pt x="251" y="27"/>
                    <a:pt x="247" y="28"/>
                    <a:pt x="245" y="29"/>
                  </a:cubicBezTo>
                  <a:cubicBezTo>
                    <a:pt x="241" y="34"/>
                    <a:pt x="236" y="38"/>
                    <a:pt x="236" y="46"/>
                  </a:cubicBezTo>
                  <a:cubicBezTo>
                    <a:pt x="236" y="50"/>
                    <a:pt x="238" y="53"/>
                    <a:pt x="240" y="54"/>
                  </a:cubicBezTo>
                  <a:cubicBezTo>
                    <a:pt x="240" y="56"/>
                    <a:pt x="241" y="57"/>
                    <a:pt x="240" y="59"/>
                  </a:cubicBezTo>
                  <a:cubicBezTo>
                    <a:pt x="245" y="59"/>
                    <a:pt x="247" y="60"/>
                    <a:pt x="251" y="60"/>
                  </a:cubicBezTo>
                  <a:cubicBezTo>
                    <a:pt x="252" y="63"/>
                    <a:pt x="253" y="66"/>
                    <a:pt x="254" y="66"/>
                  </a:cubicBezTo>
                  <a:cubicBezTo>
                    <a:pt x="266" y="66"/>
                    <a:pt x="274" y="56"/>
                    <a:pt x="285" y="57"/>
                  </a:cubicBezTo>
                  <a:cubicBezTo>
                    <a:pt x="284" y="59"/>
                    <a:pt x="282" y="60"/>
                    <a:pt x="282" y="62"/>
                  </a:cubicBezTo>
                  <a:cubicBezTo>
                    <a:pt x="282" y="63"/>
                    <a:pt x="289" y="68"/>
                    <a:pt x="289" y="68"/>
                  </a:cubicBezTo>
                  <a:cubicBezTo>
                    <a:pt x="294" y="68"/>
                    <a:pt x="295" y="65"/>
                    <a:pt x="297" y="64"/>
                  </a:cubicBezTo>
                  <a:cubicBezTo>
                    <a:pt x="304" y="60"/>
                    <a:pt x="310" y="62"/>
                    <a:pt x="317" y="59"/>
                  </a:cubicBezTo>
                  <a:cubicBezTo>
                    <a:pt x="321" y="57"/>
                    <a:pt x="328" y="50"/>
                    <a:pt x="333" y="50"/>
                  </a:cubicBezTo>
                  <a:cubicBezTo>
                    <a:pt x="339" y="50"/>
                    <a:pt x="345" y="51"/>
                    <a:pt x="348" y="52"/>
                  </a:cubicBezTo>
                  <a:cubicBezTo>
                    <a:pt x="347" y="54"/>
                    <a:pt x="346" y="56"/>
                    <a:pt x="346" y="57"/>
                  </a:cubicBezTo>
                  <a:cubicBezTo>
                    <a:pt x="358" y="57"/>
                    <a:pt x="370" y="55"/>
                    <a:pt x="378" y="55"/>
                  </a:cubicBezTo>
                  <a:cubicBezTo>
                    <a:pt x="386" y="55"/>
                    <a:pt x="392" y="54"/>
                    <a:pt x="401" y="54"/>
                  </a:cubicBezTo>
                  <a:cubicBezTo>
                    <a:pt x="410" y="54"/>
                    <a:pt x="414" y="70"/>
                    <a:pt x="414" y="80"/>
                  </a:cubicBezTo>
                  <a:cubicBezTo>
                    <a:pt x="414" y="86"/>
                    <a:pt x="408" y="89"/>
                    <a:pt x="408" y="95"/>
                  </a:cubicBezTo>
                  <a:cubicBezTo>
                    <a:pt x="408" y="104"/>
                    <a:pt x="416" y="110"/>
                    <a:pt x="416" y="118"/>
                  </a:cubicBezTo>
                  <a:cubicBezTo>
                    <a:pt x="416" y="123"/>
                    <a:pt x="408" y="125"/>
                    <a:pt x="406" y="128"/>
                  </a:cubicBezTo>
                  <a:cubicBezTo>
                    <a:pt x="401" y="136"/>
                    <a:pt x="399" y="143"/>
                    <a:pt x="399" y="153"/>
                  </a:cubicBezTo>
                  <a:cubicBezTo>
                    <a:pt x="399" y="166"/>
                    <a:pt x="408" y="163"/>
                    <a:pt x="418" y="163"/>
                  </a:cubicBezTo>
                  <a:cubicBezTo>
                    <a:pt x="432" y="163"/>
                    <a:pt x="439" y="157"/>
                    <a:pt x="450" y="157"/>
                  </a:cubicBezTo>
                  <a:cubicBezTo>
                    <a:pt x="461" y="157"/>
                    <a:pt x="459" y="180"/>
                    <a:pt x="470" y="180"/>
                  </a:cubicBezTo>
                  <a:cubicBezTo>
                    <a:pt x="470" y="198"/>
                    <a:pt x="470" y="198"/>
                    <a:pt x="470" y="198"/>
                  </a:cubicBezTo>
                  <a:cubicBezTo>
                    <a:pt x="470" y="200"/>
                    <a:pt x="471" y="201"/>
                    <a:pt x="472" y="201"/>
                  </a:cubicBezTo>
                  <a:cubicBezTo>
                    <a:pt x="474" y="204"/>
                    <a:pt x="474" y="204"/>
                    <a:pt x="474" y="204"/>
                  </a:cubicBezTo>
                  <a:cubicBezTo>
                    <a:pt x="476" y="204"/>
                    <a:pt x="482" y="202"/>
                    <a:pt x="485" y="201"/>
                  </a:cubicBezTo>
                  <a:cubicBezTo>
                    <a:pt x="485" y="204"/>
                    <a:pt x="485" y="206"/>
                    <a:pt x="485" y="208"/>
                  </a:cubicBezTo>
                  <a:cubicBezTo>
                    <a:pt x="481" y="209"/>
                    <a:pt x="476" y="211"/>
                    <a:pt x="476" y="216"/>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78" name="Freeform 25" hidden="1">
              <a:extLst>
                <a:ext uri="{FF2B5EF4-FFF2-40B4-BE49-F238E27FC236}">
                  <a16:creationId xmlns:a16="http://schemas.microsoft.com/office/drawing/2014/main" id="{00000000-0008-0000-0000-0000B2000000}"/>
                </a:ext>
              </a:extLst>
            </xdr:cNvPr>
            <xdr:cNvSpPr>
              <a:spLocks/>
            </xdr:cNvSpPr>
          </xdr:nvSpPr>
          <xdr:spPr bwMode="auto">
            <a:xfrm>
              <a:off x="4470400" y="1416050"/>
              <a:ext cx="436563" cy="423863"/>
            </a:xfrm>
            <a:custGeom>
              <a:avLst/>
              <a:gdLst/>
              <a:ahLst/>
              <a:cxnLst>
                <a:cxn ang="0">
                  <a:pos x="66" y="236"/>
                </a:cxn>
                <a:cxn ang="0">
                  <a:pos x="4" y="254"/>
                </a:cxn>
                <a:cxn ang="0">
                  <a:pos x="12" y="241"/>
                </a:cxn>
                <a:cxn ang="0">
                  <a:pos x="8" y="231"/>
                </a:cxn>
                <a:cxn ang="0">
                  <a:pos x="10" y="190"/>
                </a:cxn>
                <a:cxn ang="0">
                  <a:pos x="55" y="163"/>
                </a:cxn>
                <a:cxn ang="0">
                  <a:pos x="85" y="129"/>
                </a:cxn>
                <a:cxn ang="0">
                  <a:pos x="97" y="102"/>
                </a:cxn>
                <a:cxn ang="0">
                  <a:pos x="142" y="55"/>
                </a:cxn>
                <a:cxn ang="0">
                  <a:pos x="124" y="57"/>
                </a:cxn>
                <a:cxn ang="0">
                  <a:pos x="124" y="49"/>
                </a:cxn>
                <a:cxn ang="0">
                  <a:pos x="132" y="44"/>
                </a:cxn>
                <a:cxn ang="0">
                  <a:pos x="148" y="57"/>
                </a:cxn>
                <a:cxn ang="0">
                  <a:pos x="149" y="45"/>
                </a:cxn>
                <a:cxn ang="0">
                  <a:pos x="168" y="37"/>
                </a:cxn>
                <a:cxn ang="0">
                  <a:pos x="183" y="28"/>
                </a:cxn>
                <a:cxn ang="0">
                  <a:pos x="199" y="21"/>
                </a:cxn>
                <a:cxn ang="0">
                  <a:pos x="221" y="17"/>
                </a:cxn>
                <a:cxn ang="0">
                  <a:pos x="223" y="5"/>
                </a:cxn>
                <a:cxn ang="0">
                  <a:pos x="256" y="6"/>
                </a:cxn>
                <a:cxn ang="0">
                  <a:pos x="266" y="7"/>
                </a:cxn>
                <a:cxn ang="0">
                  <a:pos x="285" y="2"/>
                </a:cxn>
                <a:cxn ang="0">
                  <a:pos x="296" y="6"/>
                </a:cxn>
                <a:cxn ang="0">
                  <a:pos x="293" y="24"/>
                </a:cxn>
                <a:cxn ang="0">
                  <a:pos x="315" y="32"/>
                </a:cxn>
                <a:cxn ang="0">
                  <a:pos x="309" y="72"/>
                </a:cxn>
                <a:cxn ang="0">
                  <a:pos x="310" y="113"/>
                </a:cxn>
                <a:cxn ang="0">
                  <a:pos x="318" y="148"/>
                </a:cxn>
                <a:cxn ang="0">
                  <a:pos x="327" y="172"/>
                </a:cxn>
                <a:cxn ang="0">
                  <a:pos x="255" y="224"/>
                </a:cxn>
                <a:cxn ang="0">
                  <a:pos x="218" y="225"/>
                </a:cxn>
                <a:cxn ang="0">
                  <a:pos x="206" y="200"/>
                </a:cxn>
                <a:cxn ang="0">
                  <a:pos x="197" y="174"/>
                </a:cxn>
                <a:cxn ang="0">
                  <a:pos x="254" y="130"/>
                </a:cxn>
                <a:cxn ang="0">
                  <a:pos x="202" y="135"/>
                </a:cxn>
                <a:cxn ang="0">
                  <a:pos x="172" y="169"/>
                </a:cxn>
                <a:cxn ang="0">
                  <a:pos x="146" y="201"/>
                </a:cxn>
                <a:cxn ang="0">
                  <a:pos x="150" y="218"/>
                </a:cxn>
                <a:cxn ang="0">
                  <a:pos x="152" y="253"/>
                </a:cxn>
                <a:cxn ang="0">
                  <a:pos x="146" y="283"/>
                </a:cxn>
                <a:cxn ang="0">
                  <a:pos x="121" y="304"/>
                </a:cxn>
                <a:cxn ang="0">
                  <a:pos x="90" y="297"/>
                </a:cxn>
                <a:cxn ang="0">
                  <a:pos x="82" y="269"/>
                </a:cxn>
                <a:cxn ang="0">
                  <a:pos x="76" y="245"/>
                </a:cxn>
              </a:cxnLst>
              <a:rect l="0" t="0" r="r" b="b"/>
              <a:pathLst>
                <a:path w="327" h="318">
                  <a:moveTo>
                    <a:pt x="76" y="247"/>
                  </a:moveTo>
                  <a:cubicBezTo>
                    <a:pt x="70" y="245"/>
                    <a:pt x="69" y="241"/>
                    <a:pt x="66" y="236"/>
                  </a:cubicBezTo>
                  <a:cubicBezTo>
                    <a:pt x="57" y="249"/>
                    <a:pt x="43" y="266"/>
                    <a:pt x="24" y="266"/>
                  </a:cubicBezTo>
                  <a:cubicBezTo>
                    <a:pt x="22" y="266"/>
                    <a:pt x="4" y="256"/>
                    <a:pt x="4" y="254"/>
                  </a:cubicBezTo>
                  <a:cubicBezTo>
                    <a:pt x="4" y="250"/>
                    <a:pt x="10" y="248"/>
                    <a:pt x="12" y="247"/>
                  </a:cubicBezTo>
                  <a:cubicBezTo>
                    <a:pt x="12" y="241"/>
                    <a:pt x="12" y="241"/>
                    <a:pt x="12" y="241"/>
                  </a:cubicBezTo>
                  <a:cubicBezTo>
                    <a:pt x="6" y="241"/>
                    <a:pt x="6" y="241"/>
                    <a:pt x="0" y="243"/>
                  </a:cubicBezTo>
                  <a:cubicBezTo>
                    <a:pt x="0" y="240"/>
                    <a:pt x="5" y="234"/>
                    <a:pt x="8" y="231"/>
                  </a:cubicBezTo>
                  <a:cubicBezTo>
                    <a:pt x="1" y="223"/>
                    <a:pt x="0" y="212"/>
                    <a:pt x="0" y="200"/>
                  </a:cubicBezTo>
                  <a:cubicBezTo>
                    <a:pt x="0" y="193"/>
                    <a:pt x="7" y="194"/>
                    <a:pt x="10" y="190"/>
                  </a:cubicBezTo>
                  <a:cubicBezTo>
                    <a:pt x="15" y="182"/>
                    <a:pt x="20" y="177"/>
                    <a:pt x="30" y="174"/>
                  </a:cubicBezTo>
                  <a:cubicBezTo>
                    <a:pt x="38" y="172"/>
                    <a:pt x="39" y="162"/>
                    <a:pt x="55" y="163"/>
                  </a:cubicBezTo>
                  <a:cubicBezTo>
                    <a:pt x="50" y="162"/>
                    <a:pt x="49" y="161"/>
                    <a:pt x="45" y="160"/>
                  </a:cubicBezTo>
                  <a:cubicBezTo>
                    <a:pt x="64" y="155"/>
                    <a:pt x="71" y="140"/>
                    <a:pt x="85" y="129"/>
                  </a:cubicBezTo>
                  <a:cubicBezTo>
                    <a:pt x="90" y="126"/>
                    <a:pt x="89" y="112"/>
                    <a:pt x="93" y="112"/>
                  </a:cubicBezTo>
                  <a:cubicBezTo>
                    <a:pt x="93" y="112"/>
                    <a:pt x="97" y="102"/>
                    <a:pt x="97" y="102"/>
                  </a:cubicBezTo>
                  <a:cubicBezTo>
                    <a:pt x="102" y="93"/>
                    <a:pt x="109" y="87"/>
                    <a:pt x="118" y="83"/>
                  </a:cubicBezTo>
                  <a:cubicBezTo>
                    <a:pt x="127" y="80"/>
                    <a:pt x="139" y="65"/>
                    <a:pt x="142" y="55"/>
                  </a:cubicBezTo>
                  <a:cubicBezTo>
                    <a:pt x="131" y="58"/>
                    <a:pt x="126" y="63"/>
                    <a:pt x="116" y="63"/>
                  </a:cubicBezTo>
                  <a:cubicBezTo>
                    <a:pt x="118" y="60"/>
                    <a:pt x="123" y="58"/>
                    <a:pt x="124" y="57"/>
                  </a:cubicBezTo>
                  <a:cubicBezTo>
                    <a:pt x="122" y="57"/>
                    <a:pt x="118" y="56"/>
                    <a:pt x="118" y="56"/>
                  </a:cubicBezTo>
                  <a:cubicBezTo>
                    <a:pt x="119" y="51"/>
                    <a:pt x="121" y="49"/>
                    <a:pt x="124" y="49"/>
                  </a:cubicBezTo>
                  <a:cubicBezTo>
                    <a:pt x="126" y="49"/>
                    <a:pt x="127" y="50"/>
                    <a:pt x="128" y="50"/>
                  </a:cubicBezTo>
                  <a:cubicBezTo>
                    <a:pt x="129" y="47"/>
                    <a:pt x="131" y="46"/>
                    <a:pt x="132" y="44"/>
                  </a:cubicBezTo>
                  <a:cubicBezTo>
                    <a:pt x="134" y="47"/>
                    <a:pt x="135" y="49"/>
                    <a:pt x="133" y="52"/>
                  </a:cubicBezTo>
                  <a:cubicBezTo>
                    <a:pt x="140" y="52"/>
                    <a:pt x="142" y="57"/>
                    <a:pt x="148" y="57"/>
                  </a:cubicBezTo>
                  <a:cubicBezTo>
                    <a:pt x="150" y="57"/>
                    <a:pt x="155" y="46"/>
                    <a:pt x="156" y="46"/>
                  </a:cubicBezTo>
                  <a:cubicBezTo>
                    <a:pt x="153" y="45"/>
                    <a:pt x="153" y="44"/>
                    <a:pt x="149" y="45"/>
                  </a:cubicBezTo>
                  <a:cubicBezTo>
                    <a:pt x="151" y="41"/>
                    <a:pt x="154" y="38"/>
                    <a:pt x="159" y="38"/>
                  </a:cubicBezTo>
                  <a:cubicBezTo>
                    <a:pt x="162" y="38"/>
                    <a:pt x="165" y="39"/>
                    <a:pt x="168" y="37"/>
                  </a:cubicBezTo>
                  <a:cubicBezTo>
                    <a:pt x="165" y="35"/>
                    <a:pt x="166" y="35"/>
                    <a:pt x="164" y="33"/>
                  </a:cubicBezTo>
                  <a:cubicBezTo>
                    <a:pt x="169" y="29"/>
                    <a:pt x="176" y="29"/>
                    <a:pt x="183" y="28"/>
                  </a:cubicBezTo>
                  <a:cubicBezTo>
                    <a:pt x="183" y="33"/>
                    <a:pt x="183" y="33"/>
                    <a:pt x="183" y="33"/>
                  </a:cubicBezTo>
                  <a:cubicBezTo>
                    <a:pt x="189" y="32"/>
                    <a:pt x="190" y="22"/>
                    <a:pt x="199" y="21"/>
                  </a:cubicBezTo>
                  <a:cubicBezTo>
                    <a:pt x="199" y="29"/>
                    <a:pt x="199" y="29"/>
                    <a:pt x="199" y="29"/>
                  </a:cubicBezTo>
                  <a:cubicBezTo>
                    <a:pt x="205" y="18"/>
                    <a:pt x="213" y="21"/>
                    <a:pt x="221" y="17"/>
                  </a:cubicBezTo>
                  <a:cubicBezTo>
                    <a:pt x="217" y="15"/>
                    <a:pt x="214" y="14"/>
                    <a:pt x="214" y="11"/>
                  </a:cubicBezTo>
                  <a:cubicBezTo>
                    <a:pt x="214" y="9"/>
                    <a:pt x="222" y="7"/>
                    <a:pt x="223" y="5"/>
                  </a:cubicBezTo>
                  <a:cubicBezTo>
                    <a:pt x="226" y="8"/>
                    <a:pt x="228" y="11"/>
                    <a:pt x="232" y="11"/>
                  </a:cubicBezTo>
                  <a:cubicBezTo>
                    <a:pt x="239" y="11"/>
                    <a:pt x="256" y="0"/>
                    <a:pt x="256" y="6"/>
                  </a:cubicBezTo>
                  <a:cubicBezTo>
                    <a:pt x="256" y="12"/>
                    <a:pt x="248" y="14"/>
                    <a:pt x="247" y="20"/>
                  </a:cubicBezTo>
                  <a:cubicBezTo>
                    <a:pt x="255" y="21"/>
                    <a:pt x="258" y="11"/>
                    <a:pt x="266" y="7"/>
                  </a:cubicBezTo>
                  <a:cubicBezTo>
                    <a:pt x="267" y="10"/>
                    <a:pt x="267" y="12"/>
                    <a:pt x="268" y="15"/>
                  </a:cubicBezTo>
                  <a:cubicBezTo>
                    <a:pt x="274" y="9"/>
                    <a:pt x="277" y="7"/>
                    <a:pt x="285" y="2"/>
                  </a:cubicBezTo>
                  <a:cubicBezTo>
                    <a:pt x="285" y="8"/>
                    <a:pt x="284" y="12"/>
                    <a:pt x="289" y="13"/>
                  </a:cubicBezTo>
                  <a:cubicBezTo>
                    <a:pt x="290" y="9"/>
                    <a:pt x="292" y="6"/>
                    <a:pt x="296" y="6"/>
                  </a:cubicBezTo>
                  <a:cubicBezTo>
                    <a:pt x="298" y="6"/>
                    <a:pt x="307" y="11"/>
                    <a:pt x="311" y="13"/>
                  </a:cubicBezTo>
                  <a:cubicBezTo>
                    <a:pt x="307" y="24"/>
                    <a:pt x="303" y="20"/>
                    <a:pt x="293" y="24"/>
                  </a:cubicBezTo>
                  <a:cubicBezTo>
                    <a:pt x="298" y="27"/>
                    <a:pt x="301" y="28"/>
                    <a:pt x="301" y="30"/>
                  </a:cubicBezTo>
                  <a:cubicBezTo>
                    <a:pt x="305" y="31"/>
                    <a:pt x="314" y="32"/>
                    <a:pt x="315" y="32"/>
                  </a:cubicBezTo>
                  <a:cubicBezTo>
                    <a:pt x="309" y="36"/>
                    <a:pt x="293" y="44"/>
                    <a:pt x="293" y="55"/>
                  </a:cubicBezTo>
                  <a:cubicBezTo>
                    <a:pt x="293" y="63"/>
                    <a:pt x="309" y="62"/>
                    <a:pt x="309" y="72"/>
                  </a:cubicBezTo>
                  <a:cubicBezTo>
                    <a:pt x="309" y="80"/>
                    <a:pt x="301" y="83"/>
                    <a:pt x="301" y="91"/>
                  </a:cubicBezTo>
                  <a:cubicBezTo>
                    <a:pt x="301" y="99"/>
                    <a:pt x="310" y="104"/>
                    <a:pt x="310" y="113"/>
                  </a:cubicBezTo>
                  <a:cubicBezTo>
                    <a:pt x="310" y="118"/>
                    <a:pt x="305" y="121"/>
                    <a:pt x="305" y="126"/>
                  </a:cubicBezTo>
                  <a:cubicBezTo>
                    <a:pt x="305" y="136"/>
                    <a:pt x="318" y="138"/>
                    <a:pt x="318" y="148"/>
                  </a:cubicBezTo>
                  <a:cubicBezTo>
                    <a:pt x="318" y="151"/>
                    <a:pt x="314" y="153"/>
                    <a:pt x="313" y="154"/>
                  </a:cubicBezTo>
                  <a:cubicBezTo>
                    <a:pt x="317" y="161"/>
                    <a:pt x="327" y="163"/>
                    <a:pt x="327" y="172"/>
                  </a:cubicBezTo>
                  <a:cubicBezTo>
                    <a:pt x="327" y="187"/>
                    <a:pt x="297" y="203"/>
                    <a:pt x="288" y="215"/>
                  </a:cubicBezTo>
                  <a:cubicBezTo>
                    <a:pt x="283" y="224"/>
                    <a:pt x="263" y="226"/>
                    <a:pt x="255" y="224"/>
                  </a:cubicBezTo>
                  <a:cubicBezTo>
                    <a:pt x="246" y="227"/>
                    <a:pt x="236" y="231"/>
                    <a:pt x="228" y="231"/>
                  </a:cubicBezTo>
                  <a:cubicBezTo>
                    <a:pt x="222" y="231"/>
                    <a:pt x="218" y="230"/>
                    <a:pt x="218" y="225"/>
                  </a:cubicBezTo>
                  <a:cubicBezTo>
                    <a:pt x="209" y="225"/>
                    <a:pt x="199" y="219"/>
                    <a:pt x="199" y="210"/>
                  </a:cubicBezTo>
                  <a:cubicBezTo>
                    <a:pt x="199" y="205"/>
                    <a:pt x="204" y="202"/>
                    <a:pt x="206" y="200"/>
                  </a:cubicBezTo>
                  <a:cubicBezTo>
                    <a:pt x="201" y="198"/>
                    <a:pt x="197" y="188"/>
                    <a:pt x="197" y="183"/>
                  </a:cubicBezTo>
                  <a:cubicBezTo>
                    <a:pt x="197" y="180"/>
                    <a:pt x="198" y="178"/>
                    <a:pt x="197" y="174"/>
                  </a:cubicBezTo>
                  <a:cubicBezTo>
                    <a:pt x="216" y="174"/>
                    <a:pt x="225" y="150"/>
                    <a:pt x="237" y="144"/>
                  </a:cubicBezTo>
                  <a:cubicBezTo>
                    <a:pt x="243" y="140"/>
                    <a:pt x="254" y="138"/>
                    <a:pt x="254" y="130"/>
                  </a:cubicBezTo>
                  <a:cubicBezTo>
                    <a:pt x="254" y="119"/>
                    <a:pt x="239" y="117"/>
                    <a:pt x="228" y="117"/>
                  </a:cubicBezTo>
                  <a:cubicBezTo>
                    <a:pt x="213" y="117"/>
                    <a:pt x="202" y="122"/>
                    <a:pt x="202" y="135"/>
                  </a:cubicBezTo>
                  <a:cubicBezTo>
                    <a:pt x="202" y="140"/>
                    <a:pt x="203" y="142"/>
                    <a:pt x="202" y="145"/>
                  </a:cubicBezTo>
                  <a:cubicBezTo>
                    <a:pt x="202" y="155"/>
                    <a:pt x="181" y="164"/>
                    <a:pt x="172" y="169"/>
                  </a:cubicBezTo>
                  <a:cubicBezTo>
                    <a:pt x="165" y="174"/>
                    <a:pt x="157" y="175"/>
                    <a:pt x="152" y="183"/>
                  </a:cubicBezTo>
                  <a:cubicBezTo>
                    <a:pt x="149" y="189"/>
                    <a:pt x="153" y="198"/>
                    <a:pt x="146" y="201"/>
                  </a:cubicBezTo>
                  <a:cubicBezTo>
                    <a:pt x="146" y="210"/>
                    <a:pt x="146" y="210"/>
                    <a:pt x="146" y="210"/>
                  </a:cubicBezTo>
                  <a:cubicBezTo>
                    <a:pt x="149" y="212"/>
                    <a:pt x="150" y="215"/>
                    <a:pt x="150" y="218"/>
                  </a:cubicBezTo>
                  <a:cubicBezTo>
                    <a:pt x="158" y="219"/>
                    <a:pt x="170" y="227"/>
                    <a:pt x="170" y="235"/>
                  </a:cubicBezTo>
                  <a:cubicBezTo>
                    <a:pt x="170" y="242"/>
                    <a:pt x="157" y="253"/>
                    <a:pt x="152" y="253"/>
                  </a:cubicBezTo>
                  <a:cubicBezTo>
                    <a:pt x="143" y="253"/>
                    <a:pt x="140" y="266"/>
                    <a:pt x="140" y="275"/>
                  </a:cubicBezTo>
                  <a:cubicBezTo>
                    <a:pt x="140" y="280"/>
                    <a:pt x="144" y="282"/>
                    <a:pt x="146" y="283"/>
                  </a:cubicBezTo>
                  <a:cubicBezTo>
                    <a:pt x="145" y="294"/>
                    <a:pt x="135" y="295"/>
                    <a:pt x="133" y="304"/>
                  </a:cubicBezTo>
                  <a:cubicBezTo>
                    <a:pt x="127" y="304"/>
                    <a:pt x="125" y="304"/>
                    <a:pt x="121" y="304"/>
                  </a:cubicBezTo>
                  <a:cubicBezTo>
                    <a:pt x="114" y="304"/>
                    <a:pt x="111" y="318"/>
                    <a:pt x="100" y="318"/>
                  </a:cubicBezTo>
                  <a:cubicBezTo>
                    <a:pt x="97" y="318"/>
                    <a:pt x="90" y="299"/>
                    <a:pt x="90" y="297"/>
                  </a:cubicBezTo>
                  <a:cubicBezTo>
                    <a:pt x="90" y="296"/>
                    <a:pt x="91" y="294"/>
                    <a:pt x="91" y="293"/>
                  </a:cubicBezTo>
                  <a:cubicBezTo>
                    <a:pt x="84" y="285"/>
                    <a:pt x="85" y="279"/>
                    <a:pt x="82" y="269"/>
                  </a:cubicBezTo>
                  <a:cubicBezTo>
                    <a:pt x="79" y="263"/>
                    <a:pt x="73" y="261"/>
                    <a:pt x="73" y="253"/>
                  </a:cubicBezTo>
                  <a:cubicBezTo>
                    <a:pt x="73" y="250"/>
                    <a:pt x="75" y="246"/>
                    <a:pt x="76" y="245"/>
                  </a:cubicBezTo>
                  <a:lnTo>
                    <a:pt x="76" y="247"/>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79" name="Freeform 26" hidden="1">
              <a:extLst>
                <a:ext uri="{FF2B5EF4-FFF2-40B4-BE49-F238E27FC236}">
                  <a16:creationId xmlns:a16="http://schemas.microsoft.com/office/drawing/2014/main" id="{00000000-0008-0000-0000-0000B3000000}"/>
                </a:ext>
              </a:extLst>
            </xdr:cNvPr>
            <xdr:cNvSpPr>
              <a:spLocks/>
            </xdr:cNvSpPr>
          </xdr:nvSpPr>
          <xdr:spPr bwMode="auto">
            <a:xfrm>
              <a:off x="4559300" y="1109663"/>
              <a:ext cx="234950" cy="128588"/>
            </a:xfrm>
            <a:custGeom>
              <a:avLst/>
              <a:gdLst/>
              <a:ahLst/>
              <a:cxnLst>
                <a:cxn ang="0">
                  <a:pos x="148" y="79"/>
                </a:cxn>
                <a:cxn ang="0">
                  <a:pos x="148" y="71"/>
                </a:cxn>
                <a:cxn ang="0">
                  <a:pos x="128" y="71"/>
                </a:cxn>
                <a:cxn ang="0">
                  <a:pos x="135" y="58"/>
                </a:cxn>
                <a:cxn ang="0">
                  <a:pos x="126" y="46"/>
                </a:cxn>
                <a:cxn ang="0">
                  <a:pos x="132" y="45"/>
                </a:cxn>
                <a:cxn ang="0">
                  <a:pos x="121" y="38"/>
                </a:cxn>
                <a:cxn ang="0">
                  <a:pos x="97" y="69"/>
                </a:cxn>
                <a:cxn ang="0">
                  <a:pos x="90" y="73"/>
                </a:cxn>
                <a:cxn ang="0">
                  <a:pos x="78" y="97"/>
                </a:cxn>
                <a:cxn ang="0">
                  <a:pos x="43" y="69"/>
                </a:cxn>
                <a:cxn ang="0">
                  <a:pos x="60" y="70"/>
                </a:cxn>
                <a:cxn ang="0">
                  <a:pos x="74" y="66"/>
                </a:cxn>
                <a:cxn ang="0">
                  <a:pos x="54" y="64"/>
                </a:cxn>
                <a:cxn ang="0">
                  <a:pos x="38" y="58"/>
                </a:cxn>
                <a:cxn ang="0">
                  <a:pos x="50" y="54"/>
                </a:cxn>
                <a:cxn ang="0">
                  <a:pos x="72" y="43"/>
                </a:cxn>
                <a:cxn ang="0">
                  <a:pos x="61" y="43"/>
                </a:cxn>
                <a:cxn ang="0">
                  <a:pos x="54" y="39"/>
                </a:cxn>
                <a:cxn ang="0">
                  <a:pos x="51" y="39"/>
                </a:cxn>
                <a:cxn ang="0">
                  <a:pos x="38" y="51"/>
                </a:cxn>
                <a:cxn ang="0">
                  <a:pos x="23" y="44"/>
                </a:cxn>
                <a:cxn ang="0">
                  <a:pos x="27" y="43"/>
                </a:cxn>
                <a:cxn ang="0">
                  <a:pos x="15" y="28"/>
                </a:cxn>
                <a:cxn ang="0">
                  <a:pos x="11" y="26"/>
                </a:cxn>
                <a:cxn ang="0">
                  <a:pos x="0" y="16"/>
                </a:cxn>
                <a:cxn ang="0">
                  <a:pos x="16" y="5"/>
                </a:cxn>
                <a:cxn ang="0">
                  <a:pos x="38" y="7"/>
                </a:cxn>
                <a:cxn ang="0">
                  <a:pos x="32" y="13"/>
                </a:cxn>
                <a:cxn ang="0">
                  <a:pos x="44" y="20"/>
                </a:cxn>
                <a:cxn ang="0">
                  <a:pos x="41" y="14"/>
                </a:cxn>
                <a:cxn ang="0">
                  <a:pos x="49" y="7"/>
                </a:cxn>
                <a:cxn ang="0">
                  <a:pos x="68" y="26"/>
                </a:cxn>
                <a:cxn ang="0">
                  <a:pos x="63" y="7"/>
                </a:cxn>
                <a:cxn ang="0">
                  <a:pos x="72" y="0"/>
                </a:cxn>
                <a:cxn ang="0">
                  <a:pos x="90" y="9"/>
                </a:cxn>
                <a:cxn ang="0">
                  <a:pos x="88" y="18"/>
                </a:cxn>
                <a:cxn ang="0">
                  <a:pos x="96" y="12"/>
                </a:cxn>
                <a:cxn ang="0">
                  <a:pos x="102" y="23"/>
                </a:cxn>
                <a:cxn ang="0">
                  <a:pos x="106" y="23"/>
                </a:cxn>
                <a:cxn ang="0">
                  <a:pos x="141" y="41"/>
                </a:cxn>
                <a:cxn ang="0">
                  <a:pos x="137" y="42"/>
                </a:cxn>
                <a:cxn ang="0">
                  <a:pos x="145" y="42"/>
                </a:cxn>
                <a:cxn ang="0">
                  <a:pos x="145" y="49"/>
                </a:cxn>
                <a:cxn ang="0">
                  <a:pos x="159" y="49"/>
                </a:cxn>
                <a:cxn ang="0">
                  <a:pos x="176" y="64"/>
                </a:cxn>
                <a:cxn ang="0">
                  <a:pos x="148" y="79"/>
                </a:cxn>
              </a:cxnLst>
              <a:rect l="0" t="0" r="r" b="b"/>
              <a:pathLst>
                <a:path w="176" h="97">
                  <a:moveTo>
                    <a:pt x="148" y="79"/>
                  </a:moveTo>
                  <a:cubicBezTo>
                    <a:pt x="147" y="76"/>
                    <a:pt x="147" y="74"/>
                    <a:pt x="148" y="71"/>
                  </a:cubicBezTo>
                  <a:cubicBezTo>
                    <a:pt x="143" y="71"/>
                    <a:pt x="134" y="71"/>
                    <a:pt x="128" y="71"/>
                  </a:cubicBezTo>
                  <a:cubicBezTo>
                    <a:pt x="129" y="63"/>
                    <a:pt x="134" y="65"/>
                    <a:pt x="135" y="58"/>
                  </a:cubicBezTo>
                  <a:cubicBezTo>
                    <a:pt x="132" y="57"/>
                    <a:pt x="128" y="49"/>
                    <a:pt x="126" y="46"/>
                  </a:cubicBezTo>
                  <a:cubicBezTo>
                    <a:pt x="128" y="45"/>
                    <a:pt x="130" y="45"/>
                    <a:pt x="132" y="45"/>
                  </a:cubicBezTo>
                  <a:cubicBezTo>
                    <a:pt x="125" y="44"/>
                    <a:pt x="121" y="38"/>
                    <a:pt x="121" y="38"/>
                  </a:cubicBezTo>
                  <a:cubicBezTo>
                    <a:pt x="106" y="38"/>
                    <a:pt x="102" y="58"/>
                    <a:pt x="97" y="69"/>
                  </a:cubicBezTo>
                  <a:cubicBezTo>
                    <a:pt x="96" y="72"/>
                    <a:pt x="93" y="71"/>
                    <a:pt x="90" y="73"/>
                  </a:cubicBezTo>
                  <a:cubicBezTo>
                    <a:pt x="83" y="79"/>
                    <a:pt x="84" y="91"/>
                    <a:pt x="78" y="97"/>
                  </a:cubicBezTo>
                  <a:cubicBezTo>
                    <a:pt x="67" y="90"/>
                    <a:pt x="43" y="84"/>
                    <a:pt x="43" y="69"/>
                  </a:cubicBezTo>
                  <a:cubicBezTo>
                    <a:pt x="49" y="68"/>
                    <a:pt x="60" y="70"/>
                    <a:pt x="60" y="70"/>
                  </a:cubicBezTo>
                  <a:cubicBezTo>
                    <a:pt x="64" y="66"/>
                    <a:pt x="69" y="67"/>
                    <a:pt x="74" y="66"/>
                  </a:cubicBezTo>
                  <a:cubicBezTo>
                    <a:pt x="72" y="64"/>
                    <a:pt x="57" y="64"/>
                    <a:pt x="54" y="64"/>
                  </a:cubicBezTo>
                  <a:cubicBezTo>
                    <a:pt x="49" y="64"/>
                    <a:pt x="38" y="69"/>
                    <a:pt x="38" y="58"/>
                  </a:cubicBezTo>
                  <a:cubicBezTo>
                    <a:pt x="38" y="54"/>
                    <a:pt x="48" y="54"/>
                    <a:pt x="50" y="54"/>
                  </a:cubicBezTo>
                  <a:cubicBezTo>
                    <a:pt x="56" y="52"/>
                    <a:pt x="68" y="47"/>
                    <a:pt x="72" y="43"/>
                  </a:cubicBezTo>
                  <a:cubicBezTo>
                    <a:pt x="66" y="43"/>
                    <a:pt x="63" y="43"/>
                    <a:pt x="61" y="43"/>
                  </a:cubicBezTo>
                  <a:cubicBezTo>
                    <a:pt x="60" y="43"/>
                    <a:pt x="56" y="40"/>
                    <a:pt x="54" y="39"/>
                  </a:cubicBezTo>
                  <a:cubicBezTo>
                    <a:pt x="53" y="39"/>
                    <a:pt x="52" y="39"/>
                    <a:pt x="51" y="39"/>
                  </a:cubicBezTo>
                  <a:cubicBezTo>
                    <a:pt x="47" y="41"/>
                    <a:pt x="47" y="51"/>
                    <a:pt x="38" y="51"/>
                  </a:cubicBezTo>
                  <a:cubicBezTo>
                    <a:pt x="31" y="51"/>
                    <a:pt x="26" y="48"/>
                    <a:pt x="23" y="44"/>
                  </a:cubicBezTo>
                  <a:cubicBezTo>
                    <a:pt x="25" y="43"/>
                    <a:pt x="26" y="43"/>
                    <a:pt x="27" y="43"/>
                  </a:cubicBezTo>
                  <a:cubicBezTo>
                    <a:pt x="19" y="39"/>
                    <a:pt x="13" y="35"/>
                    <a:pt x="15" y="28"/>
                  </a:cubicBezTo>
                  <a:cubicBezTo>
                    <a:pt x="13" y="28"/>
                    <a:pt x="12" y="26"/>
                    <a:pt x="11" y="26"/>
                  </a:cubicBezTo>
                  <a:cubicBezTo>
                    <a:pt x="8" y="26"/>
                    <a:pt x="3" y="19"/>
                    <a:pt x="0" y="16"/>
                  </a:cubicBezTo>
                  <a:cubicBezTo>
                    <a:pt x="2" y="14"/>
                    <a:pt x="11" y="5"/>
                    <a:pt x="16" y="5"/>
                  </a:cubicBezTo>
                  <a:cubicBezTo>
                    <a:pt x="23" y="5"/>
                    <a:pt x="27" y="5"/>
                    <a:pt x="38" y="7"/>
                  </a:cubicBezTo>
                  <a:cubicBezTo>
                    <a:pt x="35" y="10"/>
                    <a:pt x="34" y="11"/>
                    <a:pt x="32" y="13"/>
                  </a:cubicBezTo>
                  <a:cubicBezTo>
                    <a:pt x="37" y="17"/>
                    <a:pt x="41" y="17"/>
                    <a:pt x="44" y="20"/>
                  </a:cubicBezTo>
                  <a:cubicBezTo>
                    <a:pt x="42" y="19"/>
                    <a:pt x="41" y="17"/>
                    <a:pt x="41" y="14"/>
                  </a:cubicBezTo>
                  <a:cubicBezTo>
                    <a:pt x="41" y="10"/>
                    <a:pt x="45" y="7"/>
                    <a:pt x="49" y="7"/>
                  </a:cubicBezTo>
                  <a:cubicBezTo>
                    <a:pt x="60" y="7"/>
                    <a:pt x="57" y="22"/>
                    <a:pt x="68" y="26"/>
                  </a:cubicBezTo>
                  <a:cubicBezTo>
                    <a:pt x="66" y="19"/>
                    <a:pt x="63" y="15"/>
                    <a:pt x="63" y="7"/>
                  </a:cubicBezTo>
                  <a:cubicBezTo>
                    <a:pt x="63" y="0"/>
                    <a:pt x="66" y="0"/>
                    <a:pt x="72" y="0"/>
                  </a:cubicBezTo>
                  <a:cubicBezTo>
                    <a:pt x="78" y="0"/>
                    <a:pt x="90" y="4"/>
                    <a:pt x="90" y="9"/>
                  </a:cubicBezTo>
                  <a:cubicBezTo>
                    <a:pt x="90" y="12"/>
                    <a:pt x="88" y="15"/>
                    <a:pt x="88" y="18"/>
                  </a:cubicBezTo>
                  <a:cubicBezTo>
                    <a:pt x="92" y="16"/>
                    <a:pt x="93" y="12"/>
                    <a:pt x="96" y="12"/>
                  </a:cubicBezTo>
                  <a:cubicBezTo>
                    <a:pt x="103" y="12"/>
                    <a:pt x="102" y="19"/>
                    <a:pt x="102" y="23"/>
                  </a:cubicBezTo>
                  <a:cubicBezTo>
                    <a:pt x="103" y="23"/>
                    <a:pt x="105" y="23"/>
                    <a:pt x="106" y="23"/>
                  </a:cubicBezTo>
                  <a:cubicBezTo>
                    <a:pt x="113" y="23"/>
                    <a:pt x="137" y="36"/>
                    <a:pt x="141" y="41"/>
                  </a:cubicBezTo>
                  <a:cubicBezTo>
                    <a:pt x="140" y="42"/>
                    <a:pt x="138" y="42"/>
                    <a:pt x="137" y="42"/>
                  </a:cubicBezTo>
                  <a:cubicBezTo>
                    <a:pt x="140" y="43"/>
                    <a:pt x="142" y="42"/>
                    <a:pt x="145" y="42"/>
                  </a:cubicBezTo>
                  <a:cubicBezTo>
                    <a:pt x="146" y="44"/>
                    <a:pt x="146" y="47"/>
                    <a:pt x="145" y="49"/>
                  </a:cubicBezTo>
                  <a:cubicBezTo>
                    <a:pt x="151" y="49"/>
                    <a:pt x="154" y="49"/>
                    <a:pt x="159" y="49"/>
                  </a:cubicBezTo>
                  <a:cubicBezTo>
                    <a:pt x="159" y="62"/>
                    <a:pt x="172" y="59"/>
                    <a:pt x="176" y="64"/>
                  </a:cubicBezTo>
                  <a:cubicBezTo>
                    <a:pt x="164" y="68"/>
                    <a:pt x="159" y="76"/>
                    <a:pt x="148" y="79"/>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80" name="Freeform 27" hidden="1">
              <a:extLst>
                <a:ext uri="{FF2B5EF4-FFF2-40B4-BE49-F238E27FC236}">
                  <a16:creationId xmlns:a16="http://schemas.microsoft.com/office/drawing/2014/main" id="{00000000-0008-0000-0000-0000B4000000}"/>
                </a:ext>
              </a:extLst>
            </xdr:cNvPr>
            <xdr:cNvSpPr>
              <a:spLocks/>
            </xdr:cNvSpPr>
          </xdr:nvSpPr>
          <xdr:spPr bwMode="auto">
            <a:xfrm>
              <a:off x="4683125" y="1089025"/>
              <a:ext cx="150813" cy="55563"/>
            </a:xfrm>
            <a:custGeom>
              <a:avLst/>
              <a:gdLst/>
              <a:ahLst/>
              <a:cxnLst>
                <a:cxn ang="0">
                  <a:pos x="114" y="19"/>
                </a:cxn>
                <a:cxn ang="0">
                  <a:pos x="69" y="41"/>
                </a:cxn>
                <a:cxn ang="0">
                  <a:pos x="54" y="34"/>
                </a:cxn>
                <a:cxn ang="0">
                  <a:pos x="28" y="34"/>
                </a:cxn>
                <a:cxn ang="0">
                  <a:pos x="23" y="26"/>
                </a:cxn>
                <a:cxn ang="0">
                  <a:pos x="32" y="26"/>
                </a:cxn>
                <a:cxn ang="0">
                  <a:pos x="43" y="24"/>
                </a:cxn>
                <a:cxn ang="0">
                  <a:pos x="22" y="23"/>
                </a:cxn>
                <a:cxn ang="0">
                  <a:pos x="6" y="18"/>
                </a:cxn>
                <a:cxn ang="0">
                  <a:pos x="0" y="7"/>
                </a:cxn>
                <a:cxn ang="0">
                  <a:pos x="6" y="7"/>
                </a:cxn>
                <a:cxn ang="0">
                  <a:pos x="15" y="8"/>
                </a:cxn>
                <a:cxn ang="0">
                  <a:pos x="15" y="6"/>
                </a:cxn>
                <a:cxn ang="0">
                  <a:pos x="23" y="6"/>
                </a:cxn>
                <a:cxn ang="0">
                  <a:pos x="21" y="2"/>
                </a:cxn>
                <a:cxn ang="0">
                  <a:pos x="33" y="2"/>
                </a:cxn>
                <a:cxn ang="0">
                  <a:pos x="51" y="11"/>
                </a:cxn>
                <a:cxn ang="0">
                  <a:pos x="62" y="0"/>
                </a:cxn>
                <a:cxn ang="0">
                  <a:pos x="67" y="0"/>
                </a:cxn>
                <a:cxn ang="0">
                  <a:pos x="67" y="12"/>
                </a:cxn>
                <a:cxn ang="0">
                  <a:pos x="80" y="7"/>
                </a:cxn>
                <a:cxn ang="0">
                  <a:pos x="95" y="7"/>
                </a:cxn>
                <a:cxn ang="0">
                  <a:pos x="114" y="19"/>
                </a:cxn>
              </a:cxnLst>
              <a:rect l="0" t="0" r="r" b="b"/>
              <a:pathLst>
                <a:path w="114" h="41">
                  <a:moveTo>
                    <a:pt x="114" y="19"/>
                  </a:moveTo>
                  <a:cubicBezTo>
                    <a:pt x="104" y="26"/>
                    <a:pt x="82" y="41"/>
                    <a:pt x="69" y="41"/>
                  </a:cubicBezTo>
                  <a:cubicBezTo>
                    <a:pt x="61" y="41"/>
                    <a:pt x="57" y="39"/>
                    <a:pt x="54" y="34"/>
                  </a:cubicBezTo>
                  <a:cubicBezTo>
                    <a:pt x="28" y="34"/>
                    <a:pt x="28" y="34"/>
                    <a:pt x="28" y="34"/>
                  </a:cubicBezTo>
                  <a:cubicBezTo>
                    <a:pt x="25" y="32"/>
                    <a:pt x="23" y="30"/>
                    <a:pt x="23" y="26"/>
                  </a:cubicBezTo>
                  <a:cubicBezTo>
                    <a:pt x="26" y="26"/>
                    <a:pt x="31" y="26"/>
                    <a:pt x="32" y="26"/>
                  </a:cubicBezTo>
                  <a:cubicBezTo>
                    <a:pt x="36" y="25"/>
                    <a:pt x="40" y="25"/>
                    <a:pt x="43" y="24"/>
                  </a:cubicBezTo>
                  <a:cubicBezTo>
                    <a:pt x="41" y="24"/>
                    <a:pt x="23" y="23"/>
                    <a:pt x="22" y="23"/>
                  </a:cubicBezTo>
                  <a:cubicBezTo>
                    <a:pt x="14" y="23"/>
                    <a:pt x="6" y="28"/>
                    <a:pt x="6" y="18"/>
                  </a:cubicBezTo>
                  <a:cubicBezTo>
                    <a:pt x="3" y="15"/>
                    <a:pt x="0" y="12"/>
                    <a:pt x="0" y="7"/>
                  </a:cubicBezTo>
                  <a:cubicBezTo>
                    <a:pt x="6" y="7"/>
                    <a:pt x="6" y="7"/>
                    <a:pt x="6" y="7"/>
                  </a:cubicBezTo>
                  <a:cubicBezTo>
                    <a:pt x="9" y="9"/>
                    <a:pt x="13" y="10"/>
                    <a:pt x="15" y="8"/>
                  </a:cubicBezTo>
                  <a:cubicBezTo>
                    <a:pt x="15" y="6"/>
                    <a:pt x="15" y="6"/>
                    <a:pt x="15" y="6"/>
                  </a:cubicBezTo>
                  <a:cubicBezTo>
                    <a:pt x="23" y="6"/>
                    <a:pt x="23" y="6"/>
                    <a:pt x="23" y="6"/>
                  </a:cubicBezTo>
                  <a:cubicBezTo>
                    <a:pt x="21" y="2"/>
                    <a:pt x="21" y="2"/>
                    <a:pt x="21" y="2"/>
                  </a:cubicBezTo>
                  <a:cubicBezTo>
                    <a:pt x="33" y="2"/>
                    <a:pt x="33" y="2"/>
                    <a:pt x="33" y="2"/>
                  </a:cubicBezTo>
                  <a:cubicBezTo>
                    <a:pt x="36" y="4"/>
                    <a:pt x="48" y="11"/>
                    <a:pt x="51" y="11"/>
                  </a:cubicBezTo>
                  <a:cubicBezTo>
                    <a:pt x="56" y="11"/>
                    <a:pt x="59" y="2"/>
                    <a:pt x="62" y="0"/>
                  </a:cubicBezTo>
                  <a:cubicBezTo>
                    <a:pt x="67" y="0"/>
                    <a:pt x="67" y="0"/>
                    <a:pt x="67" y="0"/>
                  </a:cubicBezTo>
                  <a:cubicBezTo>
                    <a:pt x="67" y="6"/>
                    <a:pt x="66" y="8"/>
                    <a:pt x="67" y="12"/>
                  </a:cubicBezTo>
                  <a:cubicBezTo>
                    <a:pt x="71" y="12"/>
                    <a:pt x="73" y="7"/>
                    <a:pt x="80" y="7"/>
                  </a:cubicBezTo>
                  <a:cubicBezTo>
                    <a:pt x="91" y="7"/>
                    <a:pt x="88" y="7"/>
                    <a:pt x="95" y="7"/>
                  </a:cubicBezTo>
                  <a:cubicBezTo>
                    <a:pt x="103" y="7"/>
                    <a:pt x="112" y="14"/>
                    <a:pt x="114" y="19"/>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81" name="Freeform 28" hidden="1">
              <a:extLst>
                <a:ext uri="{FF2B5EF4-FFF2-40B4-BE49-F238E27FC236}">
                  <a16:creationId xmlns:a16="http://schemas.microsoft.com/office/drawing/2014/main" id="{00000000-0008-0000-0000-0000B5000000}"/>
                </a:ext>
              </a:extLst>
            </xdr:cNvPr>
            <xdr:cNvSpPr>
              <a:spLocks/>
            </xdr:cNvSpPr>
          </xdr:nvSpPr>
          <xdr:spPr bwMode="auto">
            <a:xfrm>
              <a:off x="4219575" y="1841500"/>
              <a:ext cx="73025" cy="87313"/>
            </a:xfrm>
            <a:custGeom>
              <a:avLst/>
              <a:gdLst/>
              <a:ahLst/>
              <a:cxnLst>
                <a:cxn ang="0">
                  <a:pos x="9" y="19"/>
                </a:cxn>
                <a:cxn ang="0">
                  <a:pos x="22" y="14"/>
                </a:cxn>
                <a:cxn ang="0">
                  <a:pos x="19" y="8"/>
                </a:cxn>
                <a:cxn ang="0">
                  <a:pos x="32" y="0"/>
                </a:cxn>
                <a:cxn ang="0">
                  <a:pos x="40" y="0"/>
                </a:cxn>
                <a:cxn ang="0">
                  <a:pos x="55" y="18"/>
                </a:cxn>
                <a:cxn ang="0">
                  <a:pos x="47" y="24"/>
                </a:cxn>
                <a:cxn ang="0">
                  <a:pos x="47" y="39"/>
                </a:cxn>
                <a:cxn ang="0">
                  <a:pos x="47" y="52"/>
                </a:cxn>
                <a:cxn ang="0">
                  <a:pos x="35" y="54"/>
                </a:cxn>
                <a:cxn ang="0">
                  <a:pos x="19" y="64"/>
                </a:cxn>
                <a:cxn ang="0">
                  <a:pos x="11" y="65"/>
                </a:cxn>
                <a:cxn ang="0">
                  <a:pos x="0" y="55"/>
                </a:cxn>
                <a:cxn ang="0">
                  <a:pos x="13" y="33"/>
                </a:cxn>
                <a:cxn ang="0">
                  <a:pos x="4" y="23"/>
                </a:cxn>
                <a:cxn ang="0">
                  <a:pos x="9" y="19"/>
                </a:cxn>
              </a:cxnLst>
              <a:rect l="0" t="0" r="r" b="b"/>
              <a:pathLst>
                <a:path w="55" h="65">
                  <a:moveTo>
                    <a:pt x="9" y="19"/>
                  </a:moveTo>
                  <a:cubicBezTo>
                    <a:pt x="12" y="19"/>
                    <a:pt x="19" y="16"/>
                    <a:pt x="22" y="14"/>
                  </a:cubicBezTo>
                  <a:cubicBezTo>
                    <a:pt x="20" y="11"/>
                    <a:pt x="19" y="10"/>
                    <a:pt x="19" y="8"/>
                  </a:cubicBezTo>
                  <a:cubicBezTo>
                    <a:pt x="19" y="5"/>
                    <a:pt x="28" y="0"/>
                    <a:pt x="32" y="0"/>
                  </a:cubicBezTo>
                  <a:cubicBezTo>
                    <a:pt x="35" y="0"/>
                    <a:pt x="37" y="0"/>
                    <a:pt x="40" y="0"/>
                  </a:cubicBezTo>
                  <a:cubicBezTo>
                    <a:pt x="50" y="0"/>
                    <a:pt x="55" y="10"/>
                    <a:pt x="55" y="18"/>
                  </a:cubicBezTo>
                  <a:cubicBezTo>
                    <a:pt x="55" y="21"/>
                    <a:pt x="47" y="21"/>
                    <a:pt x="47" y="24"/>
                  </a:cubicBezTo>
                  <a:cubicBezTo>
                    <a:pt x="47" y="27"/>
                    <a:pt x="47" y="39"/>
                    <a:pt x="47" y="39"/>
                  </a:cubicBezTo>
                  <a:cubicBezTo>
                    <a:pt x="47" y="43"/>
                    <a:pt x="50" y="48"/>
                    <a:pt x="47" y="52"/>
                  </a:cubicBezTo>
                  <a:cubicBezTo>
                    <a:pt x="44" y="54"/>
                    <a:pt x="40" y="54"/>
                    <a:pt x="35" y="54"/>
                  </a:cubicBezTo>
                  <a:cubicBezTo>
                    <a:pt x="28" y="54"/>
                    <a:pt x="23" y="61"/>
                    <a:pt x="19" y="64"/>
                  </a:cubicBezTo>
                  <a:cubicBezTo>
                    <a:pt x="17" y="65"/>
                    <a:pt x="13" y="65"/>
                    <a:pt x="11" y="65"/>
                  </a:cubicBezTo>
                  <a:cubicBezTo>
                    <a:pt x="6" y="65"/>
                    <a:pt x="0" y="60"/>
                    <a:pt x="0" y="55"/>
                  </a:cubicBezTo>
                  <a:cubicBezTo>
                    <a:pt x="0" y="44"/>
                    <a:pt x="11" y="43"/>
                    <a:pt x="13" y="33"/>
                  </a:cubicBezTo>
                  <a:cubicBezTo>
                    <a:pt x="8" y="30"/>
                    <a:pt x="4" y="28"/>
                    <a:pt x="4" y="23"/>
                  </a:cubicBezTo>
                  <a:cubicBezTo>
                    <a:pt x="4" y="18"/>
                    <a:pt x="8" y="19"/>
                    <a:pt x="9" y="19"/>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82" name="Freeform 29" hidden="1">
              <a:extLst>
                <a:ext uri="{FF2B5EF4-FFF2-40B4-BE49-F238E27FC236}">
                  <a16:creationId xmlns:a16="http://schemas.microsoft.com/office/drawing/2014/main" id="{00000000-0008-0000-0000-0000B6000000}"/>
                </a:ext>
              </a:extLst>
            </xdr:cNvPr>
            <xdr:cNvSpPr>
              <a:spLocks/>
            </xdr:cNvSpPr>
          </xdr:nvSpPr>
          <xdr:spPr bwMode="auto">
            <a:xfrm>
              <a:off x="4276725" y="1758950"/>
              <a:ext cx="139700" cy="203200"/>
            </a:xfrm>
            <a:custGeom>
              <a:avLst/>
              <a:gdLst/>
              <a:ahLst/>
              <a:cxnLst>
                <a:cxn ang="0">
                  <a:pos x="96" y="102"/>
                </a:cxn>
                <a:cxn ang="0">
                  <a:pos x="91" y="128"/>
                </a:cxn>
                <a:cxn ang="0">
                  <a:pos x="100" y="133"/>
                </a:cxn>
                <a:cxn ang="0">
                  <a:pos x="70" y="139"/>
                </a:cxn>
                <a:cxn ang="0">
                  <a:pos x="39" y="141"/>
                </a:cxn>
                <a:cxn ang="0">
                  <a:pos x="26" y="148"/>
                </a:cxn>
                <a:cxn ang="0">
                  <a:pos x="16" y="152"/>
                </a:cxn>
                <a:cxn ang="0">
                  <a:pos x="32" y="133"/>
                </a:cxn>
                <a:cxn ang="0">
                  <a:pos x="46" y="124"/>
                </a:cxn>
                <a:cxn ang="0">
                  <a:pos x="26" y="123"/>
                </a:cxn>
                <a:cxn ang="0">
                  <a:pos x="19" y="123"/>
                </a:cxn>
                <a:cxn ang="0">
                  <a:pos x="28" y="96"/>
                </a:cxn>
                <a:cxn ang="0">
                  <a:pos x="48" y="81"/>
                </a:cxn>
                <a:cxn ang="0">
                  <a:pos x="40" y="70"/>
                </a:cxn>
                <a:cxn ang="0">
                  <a:pos x="26" y="72"/>
                </a:cxn>
                <a:cxn ang="0">
                  <a:pos x="23" y="59"/>
                </a:cxn>
                <a:cxn ang="0">
                  <a:pos x="16" y="49"/>
                </a:cxn>
                <a:cxn ang="0">
                  <a:pos x="12" y="55"/>
                </a:cxn>
                <a:cxn ang="0">
                  <a:pos x="14" y="45"/>
                </a:cxn>
                <a:cxn ang="0">
                  <a:pos x="8" y="38"/>
                </a:cxn>
                <a:cxn ang="0">
                  <a:pos x="11" y="29"/>
                </a:cxn>
                <a:cxn ang="0">
                  <a:pos x="8" y="20"/>
                </a:cxn>
                <a:cxn ang="0">
                  <a:pos x="12" y="21"/>
                </a:cxn>
                <a:cxn ang="0">
                  <a:pos x="16" y="14"/>
                </a:cxn>
                <a:cxn ang="0">
                  <a:pos x="25" y="0"/>
                </a:cxn>
                <a:cxn ang="0">
                  <a:pos x="42" y="4"/>
                </a:cxn>
                <a:cxn ang="0">
                  <a:pos x="33" y="19"/>
                </a:cxn>
                <a:cxn ang="0">
                  <a:pos x="47" y="46"/>
                </a:cxn>
                <a:cxn ang="0">
                  <a:pos x="53" y="50"/>
                </a:cxn>
                <a:cxn ang="0">
                  <a:pos x="84" y="89"/>
                </a:cxn>
                <a:cxn ang="0">
                  <a:pos x="87" y="102"/>
                </a:cxn>
                <a:cxn ang="0">
                  <a:pos x="92" y="102"/>
                </a:cxn>
              </a:cxnLst>
              <a:rect l="0" t="0" r="r" b="b"/>
              <a:pathLst>
                <a:path w="105" h="152">
                  <a:moveTo>
                    <a:pt x="90" y="103"/>
                  </a:moveTo>
                  <a:cubicBezTo>
                    <a:pt x="93" y="101"/>
                    <a:pt x="92" y="102"/>
                    <a:pt x="96" y="102"/>
                  </a:cubicBezTo>
                  <a:cubicBezTo>
                    <a:pt x="101" y="102"/>
                    <a:pt x="105" y="106"/>
                    <a:pt x="105" y="110"/>
                  </a:cubicBezTo>
                  <a:cubicBezTo>
                    <a:pt x="105" y="118"/>
                    <a:pt x="94" y="122"/>
                    <a:pt x="91" y="128"/>
                  </a:cubicBezTo>
                  <a:cubicBezTo>
                    <a:pt x="95" y="129"/>
                    <a:pt x="97" y="130"/>
                    <a:pt x="100" y="130"/>
                  </a:cubicBezTo>
                  <a:cubicBezTo>
                    <a:pt x="100" y="133"/>
                    <a:pt x="100" y="133"/>
                    <a:pt x="100" y="133"/>
                  </a:cubicBezTo>
                  <a:cubicBezTo>
                    <a:pt x="96" y="137"/>
                    <a:pt x="93" y="139"/>
                    <a:pt x="87" y="139"/>
                  </a:cubicBezTo>
                  <a:cubicBezTo>
                    <a:pt x="82" y="139"/>
                    <a:pt x="72" y="139"/>
                    <a:pt x="70" y="139"/>
                  </a:cubicBezTo>
                  <a:cubicBezTo>
                    <a:pt x="65" y="139"/>
                    <a:pt x="53" y="143"/>
                    <a:pt x="47" y="143"/>
                  </a:cubicBezTo>
                  <a:cubicBezTo>
                    <a:pt x="44" y="143"/>
                    <a:pt x="42" y="141"/>
                    <a:pt x="39" y="141"/>
                  </a:cubicBezTo>
                  <a:cubicBezTo>
                    <a:pt x="34" y="141"/>
                    <a:pt x="32" y="144"/>
                    <a:pt x="32" y="148"/>
                  </a:cubicBezTo>
                  <a:cubicBezTo>
                    <a:pt x="26" y="148"/>
                    <a:pt x="26" y="148"/>
                    <a:pt x="26" y="148"/>
                  </a:cubicBezTo>
                  <a:cubicBezTo>
                    <a:pt x="23" y="148"/>
                    <a:pt x="21" y="150"/>
                    <a:pt x="19" y="152"/>
                  </a:cubicBezTo>
                  <a:cubicBezTo>
                    <a:pt x="16" y="152"/>
                    <a:pt x="16" y="152"/>
                    <a:pt x="16" y="152"/>
                  </a:cubicBezTo>
                  <a:cubicBezTo>
                    <a:pt x="16" y="149"/>
                    <a:pt x="16" y="149"/>
                    <a:pt x="16" y="149"/>
                  </a:cubicBezTo>
                  <a:cubicBezTo>
                    <a:pt x="17" y="147"/>
                    <a:pt x="30" y="133"/>
                    <a:pt x="32" y="133"/>
                  </a:cubicBezTo>
                  <a:cubicBezTo>
                    <a:pt x="38" y="131"/>
                    <a:pt x="47" y="133"/>
                    <a:pt x="47" y="127"/>
                  </a:cubicBezTo>
                  <a:cubicBezTo>
                    <a:pt x="47" y="126"/>
                    <a:pt x="46" y="125"/>
                    <a:pt x="46" y="124"/>
                  </a:cubicBezTo>
                  <a:cubicBezTo>
                    <a:pt x="44" y="126"/>
                    <a:pt x="41" y="128"/>
                    <a:pt x="38" y="128"/>
                  </a:cubicBezTo>
                  <a:cubicBezTo>
                    <a:pt x="32" y="128"/>
                    <a:pt x="30" y="123"/>
                    <a:pt x="26" y="123"/>
                  </a:cubicBezTo>
                  <a:cubicBezTo>
                    <a:pt x="23" y="123"/>
                    <a:pt x="23" y="125"/>
                    <a:pt x="21" y="125"/>
                  </a:cubicBezTo>
                  <a:cubicBezTo>
                    <a:pt x="20" y="125"/>
                    <a:pt x="19" y="124"/>
                    <a:pt x="19" y="123"/>
                  </a:cubicBezTo>
                  <a:cubicBezTo>
                    <a:pt x="19" y="116"/>
                    <a:pt x="31" y="116"/>
                    <a:pt x="31" y="109"/>
                  </a:cubicBezTo>
                  <a:cubicBezTo>
                    <a:pt x="31" y="103"/>
                    <a:pt x="28" y="101"/>
                    <a:pt x="28" y="96"/>
                  </a:cubicBezTo>
                  <a:cubicBezTo>
                    <a:pt x="36" y="96"/>
                    <a:pt x="45" y="92"/>
                    <a:pt x="48" y="88"/>
                  </a:cubicBezTo>
                  <a:cubicBezTo>
                    <a:pt x="48" y="81"/>
                    <a:pt x="48" y="81"/>
                    <a:pt x="48" y="81"/>
                  </a:cubicBezTo>
                  <a:cubicBezTo>
                    <a:pt x="43" y="82"/>
                    <a:pt x="37" y="81"/>
                    <a:pt x="37" y="77"/>
                  </a:cubicBezTo>
                  <a:cubicBezTo>
                    <a:pt x="37" y="73"/>
                    <a:pt x="39" y="72"/>
                    <a:pt x="40" y="70"/>
                  </a:cubicBezTo>
                  <a:cubicBezTo>
                    <a:pt x="39" y="70"/>
                    <a:pt x="38" y="70"/>
                    <a:pt x="36" y="70"/>
                  </a:cubicBezTo>
                  <a:cubicBezTo>
                    <a:pt x="32" y="70"/>
                    <a:pt x="30" y="72"/>
                    <a:pt x="26" y="72"/>
                  </a:cubicBezTo>
                  <a:cubicBezTo>
                    <a:pt x="22" y="72"/>
                    <a:pt x="19" y="72"/>
                    <a:pt x="19" y="69"/>
                  </a:cubicBezTo>
                  <a:cubicBezTo>
                    <a:pt x="19" y="65"/>
                    <a:pt x="23" y="63"/>
                    <a:pt x="23" y="59"/>
                  </a:cubicBezTo>
                  <a:cubicBezTo>
                    <a:pt x="23" y="55"/>
                    <a:pt x="22" y="55"/>
                    <a:pt x="23" y="51"/>
                  </a:cubicBezTo>
                  <a:cubicBezTo>
                    <a:pt x="20" y="51"/>
                    <a:pt x="17" y="50"/>
                    <a:pt x="16" y="49"/>
                  </a:cubicBezTo>
                  <a:cubicBezTo>
                    <a:pt x="14" y="52"/>
                    <a:pt x="15" y="54"/>
                    <a:pt x="16" y="55"/>
                  </a:cubicBezTo>
                  <a:cubicBezTo>
                    <a:pt x="12" y="55"/>
                    <a:pt x="12" y="55"/>
                    <a:pt x="12" y="55"/>
                  </a:cubicBezTo>
                  <a:cubicBezTo>
                    <a:pt x="12" y="52"/>
                    <a:pt x="12" y="51"/>
                    <a:pt x="12" y="48"/>
                  </a:cubicBezTo>
                  <a:cubicBezTo>
                    <a:pt x="12" y="47"/>
                    <a:pt x="13" y="46"/>
                    <a:pt x="14" y="45"/>
                  </a:cubicBezTo>
                  <a:cubicBezTo>
                    <a:pt x="14" y="41"/>
                    <a:pt x="14" y="41"/>
                    <a:pt x="14" y="41"/>
                  </a:cubicBezTo>
                  <a:cubicBezTo>
                    <a:pt x="12" y="41"/>
                    <a:pt x="8" y="40"/>
                    <a:pt x="8" y="38"/>
                  </a:cubicBezTo>
                  <a:cubicBezTo>
                    <a:pt x="8" y="36"/>
                    <a:pt x="11" y="32"/>
                    <a:pt x="11" y="32"/>
                  </a:cubicBezTo>
                  <a:cubicBezTo>
                    <a:pt x="11" y="29"/>
                    <a:pt x="11" y="29"/>
                    <a:pt x="11" y="29"/>
                  </a:cubicBezTo>
                  <a:cubicBezTo>
                    <a:pt x="4" y="27"/>
                    <a:pt x="0" y="26"/>
                    <a:pt x="0" y="20"/>
                  </a:cubicBezTo>
                  <a:cubicBezTo>
                    <a:pt x="8" y="20"/>
                    <a:pt x="8" y="20"/>
                    <a:pt x="8" y="20"/>
                  </a:cubicBezTo>
                  <a:cubicBezTo>
                    <a:pt x="8" y="23"/>
                    <a:pt x="10" y="24"/>
                    <a:pt x="11" y="24"/>
                  </a:cubicBezTo>
                  <a:cubicBezTo>
                    <a:pt x="12" y="24"/>
                    <a:pt x="12" y="22"/>
                    <a:pt x="12" y="21"/>
                  </a:cubicBezTo>
                  <a:cubicBezTo>
                    <a:pt x="12" y="21"/>
                    <a:pt x="10" y="20"/>
                    <a:pt x="10" y="19"/>
                  </a:cubicBezTo>
                  <a:cubicBezTo>
                    <a:pt x="10" y="15"/>
                    <a:pt x="13" y="14"/>
                    <a:pt x="16" y="14"/>
                  </a:cubicBezTo>
                  <a:cubicBezTo>
                    <a:pt x="16" y="10"/>
                    <a:pt x="18" y="8"/>
                    <a:pt x="18" y="6"/>
                  </a:cubicBezTo>
                  <a:cubicBezTo>
                    <a:pt x="18" y="4"/>
                    <a:pt x="23" y="0"/>
                    <a:pt x="25" y="0"/>
                  </a:cubicBezTo>
                  <a:cubicBezTo>
                    <a:pt x="30" y="0"/>
                    <a:pt x="35" y="0"/>
                    <a:pt x="38" y="0"/>
                  </a:cubicBezTo>
                  <a:cubicBezTo>
                    <a:pt x="40" y="0"/>
                    <a:pt x="42" y="3"/>
                    <a:pt x="42" y="4"/>
                  </a:cubicBezTo>
                  <a:cubicBezTo>
                    <a:pt x="42" y="10"/>
                    <a:pt x="33" y="10"/>
                    <a:pt x="31" y="16"/>
                  </a:cubicBezTo>
                  <a:cubicBezTo>
                    <a:pt x="31" y="17"/>
                    <a:pt x="32" y="18"/>
                    <a:pt x="33" y="19"/>
                  </a:cubicBezTo>
                  <a:cubicBezTo>
                    <a:pt x="59" y="19"/>
                    <a:pt x="59" y="19"/>
                    <a:pt x="59" y="19"/>
                  </a:cubicBezTo>
                  <a:cubicBezTo>
                    <a:pt x="60" y="32"/>
                    <a:pt x="47" y="37"/>
                    <a:pt x="47" y="46"/>
                  </a:cubicBezTo>
                  <a:cubicBezTo>
                    <a:pt x="45" y="47"/>
                    <a:pt x="44" y="48"/>
                    <a:pt x="43" y="50"/>
                  </a:cubicBezTo>
                  <a:cubicBezTo>
                    <a:pt x="48" y="51"/>
                    <a:pt x="50" y="49"/>
                    <a:pt x="53" y="50"/>
                  </a:cubicBezTo>
                  <a:cubicBezTo>
                    <a:pt x="62" y="53"/>
                    <a:pt x="60" y="63"/>
                    <a:pt x="66" y="69"/>
                  </a:cubicBezTo>
                  <a:cubicBezTo>
                    <a:pt x="73" y="76"/>
                    <a:pt x="84" y="79"/>
                    <a:pt x="84" y="89"/>
                  </a:cubicBezTo>
                  <a:cubicBezTo>
                    <a:pt x="84" y="93"/>
                    <a:pt x="89" y="95"/>
                    <a:pt x="89" y="99"/>
                  </a:cubicBezTo>
                  <a:cubicBezTo>
                    <a:pt x="89" y="100"/>
                    <a:pt x="88" y="101"/>
                    <a:pt x="87" y="102"/>
                  </a:cubicBezTo>
                  <a:cubicBezTo>
                    <a:pt x="87" y="105"/>
                    <a:pt x="87" y="105"/>
                    <a:pt x="87" y="105"/>
                  </a:cubicBezTo>
                  <a:cubicBezTo>
                    <a:pt x="90" y="104"/>
                    <a:pt x="90" y="103"/>
                    <a:pt x="92" y="102"/>
                  </a:cubicBezTo>
                  <a:lnTo>
                    <a:pt x="90" y="103"/>
                  </a:ln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83" name="Freeform 31" hidden="1">
              <a:extLst>
                <a:ext uri="{FF2B5EF4-FFF2-40B4-BE49-F238E27FC236}">
                  <a16:creationId xmlns:a16="http://schemas.microsoft.com/office/drawing/2014/main" id="{00000000-0008-0000-0000-0000B7000000}"/>
                </a:ext>
              </a:extLst>
            </xdr:cNvPr>
            <xdr:cNvSpPr>
              <a:spLocks/>
            </xdr:cNvSpPr>
          </xdr:nvSpPr>
          <xdr:spPr bwMode="auto">
            <a:xfrm>
              <a:off x="4592638" y="2203450"/>
              <a:ext cx="46038" cy="30163"/>
            </a:xfrm>
            <a:custGeom>
              <a:avLst/>
              <a:gdLst/>
              <a:ahLst/>
              <a:cxnLst>
                <a:cxn ang="0">
                  <a:pos x="0" y="5"/>
                </a:cxn>
                <a:cxn ang="0">
                  <a:pos x="0" y="8"/>
                </a:cxn>
                <a:cxn ang="0">
                  <a:pos x="7" y="10"/>
                </a:cxn>
                <a:cxn ang="0">
                  <a:pos x="27" y="21"/>
                </a:cxn>
                <a:cxn ang="0">
                  <a:pos x="30" y="23"/>
                </a:cxn>
                <a:cxn ang="0">
                  <a:pos x="33" y="20"/>
                </a:cxn>
                <a:cxn ang="0">
                  <a:pos x="31" y="13"/>
                </a:cxn>
                <a:cxn ang="0">
                  <a:pos x="33" y="8"/>
                </a:cxn>
                <a:cxn ang="0">
                  <a:pos x="35" y="3"/>
                </a:cxn>
                <a:cxn ang="0">
                  <a:pos x="20" y="6"/>
                </a:cxn>
                <a:cxn ang="0">
                  <a:pos x="0" y="5"/>
                </a:cxn>
              </a:cxnLst>
              <a:rect l="0" t="0" r="r" b="b"/>
              <a:pathLst>
                <a:path w="35" h="23">
                  <a:moveTo>
                    <a:pt x="0" y="5"/>
                  </a:moveTo>
                  <a:cubicBezTo>
                    <a:pt x="0" y="8"/>
                    <a:pt x="0" y="8"/>
                    <a:pt x="0" y="8"/>
                  </a:cubicBezTo>
                  <a:cubicBezTo>
                    <a:pt x="2" y="10"/>
                    <a:pt x="5" y="10"/>
                    <a:pt x="7" y="10"/>
                  </a:cubicBezTo>
                  <a:cubicBezTo>
                    <a:pt x="14" y="12"/>
                    <a:pt x="19" y="20"/>
                    <a:pt x="27" y="21"/>
                  </a:cubicBezTo>
                  <a:cubicBezTo>
                    <a:pt x="27" y="23"/>
                    <a:pt x="29" y="23"/>
                    <a:pt x="30" y="23"/>
                  </a:cubicBezTo>
                  <a:cubicBezTo>
                    <a:pt x="32" y="23"/>
                    <a:pt x="33" y="21"/>
                    <a:pt x="33" y="20"/>
                  </a:cubicBezTo>
                  <a:cubicBezTo>
                    <a:pt x="33" y="17"/>
                    <a:pt x="31" y="16"/>
                    <a:pt x="31" y="13"/>
                  </a:cubicBezTo>
                  <a:cubicBezTo>
                    <a:pt x="31" y="11"/>
                    <a:pt x="33" y="8"/>
                    <a:pt x="33" y="8"/>
                  </a:cubicBezTo>
                  <a:cubicBezTo>
                    <a:pt x="35" y="3"/>
                    <a:pt x="35" y="3"/>
                    <a:pt x="35" y="3"/>
                  </a:cubicBezTo>
                  <a:cubicBezTo>
                    <a:pt x="28" y="2"/>
                    <a:pt x="25" y="6"/>
                    <a:pt x="20" y="6"/>
                  </a:cubicBezTo>
                  <a:cubicBezTo>
                    <a:pt x="14" y="6"/>
                    <a:pt x="10" y="0"/>
                    <a:pt x="0" y="5"/>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84" name="Freeform 32" hidden="1">
              <a:extLst>
                <a:ext uri="{FF2B5EF4-FFF2-40B4-BE49-F238E27FC236}">
                  <a16:creationId xmlns:a16="http://schemas.microsoft.com/office/drawing/2014/main" id="{00000000-0008-0000-0000-0000B8000000}"/>
                </a:ext>
              </a:extLst>
            </xdr:cNvPr>
            <xdr:cNvSpPr>
              <a:spLocks/>
            </xdr:cNvSpPr>
          </xdr:nvSpPr>
          <xdr:spPr bwMode="auto">
            <a:xfrm>
              <a:off x="4527550" y="2111375"/>
              <a:ext cx="15875" cy="30163"/>
            </a:xfrm>
            <a:custGeom>
              <a:avLst/>
              <a:gdLst/>
              <a:ahLst/>
              <a:cxnLst>
                <a:cxn ang="0">
                  <a:pos x="3" y="5"/>
                </a:cxn>
                <a:cxn ang="0">
                  <a:pos x="10" y="0"/>
                </a:cxn>
                <a:cxn ang="0">
                  <a:pos x="12" y="5"/>
                </a:cxn>
                <a:cxn ang="0">
                  <a:pos x="8" y="23"/>
                </a:cxn>
                <a:cxn ang="0">
                  <a:pos x="0" y="6"/>
                </a:cxn>
                <a:cxn ang="0">
                  <a:pos x="3" y="5"/>
                </a:cxn>
              </a:cxnLst>
              <a:rect l="0" t="0" r="r" b="b"/>
              <a:pathLst>
                <a:path w="12" h="23">
                  <a:moveTo>
                    <a:pt x="3" y="5"/>
                  </a:moveTo>
                  <a:cubicBezTo>
                    <a:pt x="6" y="5"/>
                    <a:pt x="8" y="1"/>
                    <a:pt x="10" y="0"/>
                  </a:cubicBezTo>
                  <a:cubicBezTo>
                    <a:pt x="10" y="3"/>
                    <a:pt x="11" y="5"/>
                    <a:pt x="12" y="5"/>
                  </a:cubicBezTo>
                  <a:cubicBezTo>
                    <a:pt x="11" y="11"/>
                    <a:pt x="10" y="20"/>
                    <a:pt x="8" y="23"/>
                  </a:cubicBezTo>
                  <a:cubicBezTo>
                    <a:pt x="4" y="22"/>
                    <a:pt x="2" y="9"/>
                    <a:pt x="0" y="6"/>
                  </a:cubicBezTo>
                  <a:cubicBezTo>
                    <a:pt x="1" y="6"/>
                    <a:pt x="2" y="5"/>
                    <a:pt x="3" y="5"/>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85" name="Freeform 33" hidden="1">
              <a:extLst>
                <a:ext uri="{FF2B5EF4-FFF2-40B4-BE49-F238E27FC236}">
                  <a16:creationId xmlns:a16="http://schemas.microsoft.com/office/drawing/2014/main" id="{00000000-0008-0000-0000-0000B9000000}"/>
                </a:ext>
              </a:extLst>
            </xdr:cNvPr>
            <xdr:cNvSpPr>
              <a:spLocks/>
            </xdr:cNvSpPr>
          </xdr:nvSpPr>
          <xdr:spPr bwMode="auto">
            <a:xfrm>
              <a:off x="4524375" y="2144713"/>
              <a:ext cx="25400" cy="44450"/>
            </a:xfrm>
            <a:custGeom>
              <a:avLst/>
              <a:gdLst/>
              <a:ahLst/>
              <a:cxnLst>
                <a:cxn ang="0">
                  <a:pos x="5" y="15"/>
                </a:cxn>
                <a:cxn ang="0">
                  <a:pos x="0" y="6"/>
                </a:cxn>
                <a:cxn ang="0">
                  <a:pos x="9" y="0"/>
                </a:cxn>
                <a:cxn ang="0">
                  <a:pos x="15" y="3"/>
                </a:cxn>
                <a:cxn ang="0">
                  <a:pos x="18" y="21"/>
                </a:cxn>
                <a:cxn ang="0">
                  <a:pos x="6" y="33"/>
                </a:cxn>
                <a:cxn ang="0">
                  <a:pos x="2" y="24"/>
                </a:cxn>
                <a:cxn ang="0">
                  <a:pos x="5" y="15"/>
                </a:cxn>
              </a:cxnLst>
              <a:rect l="0" t="0" r="r" b="b"/>
              <a:pathLst>
                <a:path w="19" h="33">
                  <a:moveTo>
                    <a:pt x="5" y="15"/>
                  </a:moveTo>
                  <a:cubicBezTo>
                    <a:pt x="5" y="12"/>
                    <a:pt x="1" y="9"/>
                    <a:pt x="0" y="6"/>
                  </a:cubicBezTo>
                  <a:cubicBezTo>
                    <a:pt x="5" y="4"/>
                    <a:pt x="5" y="0"/>
                    <a:pt x="9" y="0"/>
                  </a:cubicBezTo>
                  <a:cubicBezTo>
                    <a:pt x="13" y="0"/>
                    <a:pt x="14" y="3"/>
                    <a:pt x="15" y="3"/>
                  </a:cubicBezTo>
                  <a:cubicBezTo>
                    <a:pt x="19" y="10"/>
                    <a:pt x="18" y="14"/>
                    <a:pt x="18" y="21"/>
                  </a:cubicBezTo>
                  <a:cubicBezTo>
                    <a:pt x="18" y="27"/>
                    <a:pt x="10" y="33"/>
                    <a:pt x="6" y="33"/>
                  </a:cubicBezTo>
                  <a:cubicBezTo>
                    <a:pt x="2" y="33"/>
                    <a:pt x="2" y="27"/>
                    <a:pt x="2" y="24"/>
                  </a:cubicBezTo>
                  <a:cubicBezTo>
                    <a:pt x="2" y="20"/>
                    <a:pt x="5" y="18"/>
                    <a:pt x="5" y="15"/>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86" name="Freeform 34" hidden="1">
              <a:extLst>
                <a:ext uri="{FF2B5EF4-FFF2-40B4-BE49-F238E27FC236}">
                  <a16:creationId xmlns:a16="http://schemas.microsoft.com/office/drawing/2014/main" id="{00000000-0008-0000-0000-0000BA000000}"/>
                </a:ext>
              </a:extLst>
            </xdr:cNvPr>
            <xdr:cNvSpPr>
              <a:spLocks/>
            </xdr:cNvSpPr>
          </xdr:nvSpPr>
          <xdr:spPr bwMode="auto">
            <a:xfrm>
              <a:off x="4429125" y="2171700"/>
              <a:ext cx="12700" cy="9525"/>
            </a:xfrm>
            <a:custGeom>
              <a:avLst/>
              <a:gdLst/>
              <a:ahLst/>
              <a:cxnLst>
                <a:cxn ang="0">
                  <a:pos x="9" y="5"/>
                </a:cxn>
                <a:cxn ang="0">
                  <a:pos x="6" y="7"/>
                </a:cxn>
                <a:cxn ang="0">
                  <a:pos x="0" y="3"/>
                </a:cxn>
                <a:cxn ang="0">
                  <a:pos x="7" y="0"/>
                </a:cxn>
                <a:cxn ang="0">
                  <a:pos x="9" y="5"/>
                </a:cxn>
              </a:cxnLst>
              <a:rect l="0" t="0" r="r" b="b"/>
              <a:pathLst>
                <a:path w="9" h="7">
                  <a:moveTo>
                    <a:pt x="9" y="5"/>
                  </a:moveTo>
                  <a:cubicBezTo>
                    <a:pt x="9" y="6"/>
                    <a:pt x="7" y="7"/>
                    <a:pt x="6" y="7"/>
                  </a:cubicBezTo>
                  <a:cubicBezTo>
                    <a:pt x="4" y="7"/>
                    <a:pt x="1" y="3"/>
                    <a:pt x="0" y="3"/>
                  </a:cubicBezTo>
                  <a:cubicBezTo>
                    <a:pt x="3" y="2"/>
                    <a:pt x="5" y="0"/>
                    <a:pt x="7" y="0"/>
                  </a:cubicBezTo>
                  <a:cubicBezTo>
                    <a:pt x="7" y="1"/>
                    <a:pt x="9" y="3"/>
                    <a:pt x="9" y="5"/>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87" name="Freeform 35" hidden="1">
              <a:extLst>
                <a:ext uri="{FF2B5EF4-FFF2-40B4-BE49-F238E27FC236}">
                  <a16:creationId xmlns:a16="http://schemas.microsoft.com/office/drawing/2014/main" id="{00000000-0008-0000-0000-0000BB000000}"/>
                </a:ext>
              </a:extLst>
            </xdr:cNvPr>
            <xdr:cNvSpPr>
              <a:spLocks/>
            </xdr:cNvSpPr>
          </xdr:nvSpPr>
          <xdr:spPr bwMode="auto">
            <a:xfrm>
              <a:off x="4551363" y="1833563"/>
              <a:ext cx="15875" cy="19050"/>
            </a:xfrm>
            <a:custGeom>
              <a:avLst/>
              <a:gdLst/>
              <a:ahLst/>
              <a:cxnLst>
                <a:cxn ang="0">
                  <a:pos x="11" y="10"/>
                </a:cxn>
                <a:cxn ang="0">
                  <a:pos x="0" y="5"/>
                </a:cxn>
                <a:cxn ang="0">
                  <a:pos x="0" y="0"/>
                </a:cxn>
                <a:cxn ang="0">
                  <a:pos x="9" y="0"/>
                </a:cxn>
                <a:cxn ang="0">
                  <a:pos x="12" y="9"/>
                </a:cxn>
                <a:cxn ang="0">
                  <a:pos x="11" y="14"/>
                </a:cxn>
                <a:cxn ang="0">
                  <a:pos x="11" y="10"/>
                </a:cxn>
              </a:cxnLst>
              <a:rect l="0" t="0" r="r" b="b"/>
              <a:pathLst>
                <a:path w="12" h="14">
                  <a:moveTo>
                    <a:pt x="11" y="10"/>
                  </a:moveTo>
                  <a:cubicBezTo>
                    <a:pt x="5" y="10"/>
                    <a:pt x="0" y="9"/>
                    <a:pt x="0" y="5"/>
                  </a:cubicBezTo>
                  <a:cubicBezTo>
                    <a:pt x="0" y="3"/>
                    <a:pt x="0" y="2"/>
                    <a:pt x="0" y="0"/>
                  </a:cubicBezTo>
                  <a:cubicBezTo>
                    <a:pt x="9" y="0"/>
                    <a:pt x="9" y="0"/>
                    <a:pt x="9" y="0"/>
                  </a:cubicBezTo>
                  <a:cubicBezTo>
                    <a:pt x="9" y="6"/>
                    <a:pt x="12" y="5"/>
                    <a:pt x="12" y="9"/>
                  </a:cubicBezTo>
                  <a:cubicBezTo>
                    <a:pt x="12" y="13"/>
                    <a:pt x="11" y="12"/>
                    <a:pt x="11" y="14"/>
                  </a:cubicBezTo>
                  <a:cubicBezTo>
                    <a:pt x="11" y="13"/>
                    <a:pt x="11" y="12"/>
                    <a:pt x="11" y="10"/>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88" name="Freeform 37" hidden="1">
              <a:extLst>
                <a:ext uri="{FF2B5EF4-FFF2-40B4-BE49-F238E27FC236}">
                  <a16:creationId xmlns:a16="http://schemas.microsoft.com/office/drawing/2014/main" id="{00000000-0008-0000-0000-0000BC000000}"/>
                </a:ext>
              </a:extLst>
            </xdr:cNvPr>
            <xdr:cNvSpPr>
              <a:spLocks/>
            </xdr:cNvSpPr>
          </xdr:nvSpPr>
          <xdr:spPr bwMode="auto">
            <a:xfrm>
              <a:off x="4684713" y="1773238"/>
              <a:ext cx="15875" cy="23813"/>
            </a:xfrm>
            <a:custGeom>
              <a:avLst/>
              <a:gdLst/>
              <a:ahLst/>
              <a:cxnLst>
                <a:cxn ang="0">
                  <a:pos x="8" y="6"/>
                </a:cxn>
                <a:cxn ang="0">
                  <a:pos x="1" y="17"/>
                </a:cxn>
                <a:cxn ang="0">
                  <a:pos x="1" y="11"/>
                </a:cxn>
                <a:cxn ang="0">
                  <a:pos x="11" y="0"/>
                </a:cxn>
                <a:cxn ang="0">
                  <a:pos x="8" y="6"/>
                </a:cxn>
              </a:cxnLst>
              <a:rect l="0" t="0" r="r" b="b"/>
              <a:pathLst>
                <a:path w="11" h="17">
                  <a:moveTo>
                    <a:pt x="8" y="6"/>
                  </a:moveTo>
                  <a:cubicBezTo>
                    <a:pt x="8" y="11"/>
                    <a:pt x="4" y="13"/>
                    <a:pt x="1" y="17"/>
                  </a:cubicBezTo>
                  <a:cubicBezTo>
                    <a:pt x="0" y="15"/>
                    <a:pt x="1" y="14"/>
                    <a:pt x="1" y="11"/>
                  </a:cubicBezTo>
                  <a:cubicBezTo>
                    <a:pt x="1" y="9"/>
                    <a:pt x="3" y="1"/>
                    <a:pt x="11" y="0"/>
                  </a:cubicBezTo>
                  <a:cubicBezTo>
                    <a:pt x="10" y="2"/>
                    <a:pt x="8" y="4"/>
                    <a:pt x="8" y="6"/>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sp macro="" textlink="">
          <xdr:nvSpPr>
            <xdr:cNvPr id="189" name="Freeform 38" hidden="1">
              <a:extLst>
                <a:ext uri="{FF2B5EF4-FFF2-40B4-BE49-F238E27FC236}">
                  <a16:creationId xmlns:a16="http://schemas.microsoft.com/office/drawing/2014/main" id="{00000000-0008-0000-0000-0000BD000000}"/>
                </a:ext>
              </a:extLst>
            </xdr:cNvPr>
            <xdr:cNvSpPr>
              <a:spLocks/>
            </xdr:cNvSpPr>
          </xdr:nvSpPr>
          <xdr:spPr bwMode="auto">
            <a:xfrm>
              <a:off x="4746625" y="1744663"/>
              <a:ext cx="20638" cy="26988"/>
            </a:xfrm>
            <a:custGeom>
              <a:avLst/>
              <a:gdLst/>
              <a:ahLst/>
              <a:cxnLst>
                <a:cxn ang="0">
                  <a:pos x="12" y="10"/>
                </a:cxn>
                <a:cxn ang="0">
                  <a:pos x="12" y="16"/>
                </a:cxn>
                <a:cxn ang="0">
                  <a:pos x="5" y="20"/>
                </a:cxn>
                <a:cxn ang="0">
                  <a:pos x="0" y="13"/>
                </a:cxn>
                <a:cxn ang="0">
                  <a:pos x="10" y="10"/>
                </a:cxn>
                <a:cxn ang="0">
                  <a:pos x="7" y="5"/>
                </a:cxn>
                <a:cxn ang="0">
                  <a:pos x="11" y="0"/>
                </a:cxn>
                <a:cxn ang="0">
                  <a:pos x="16" y="5"/>
                </a:cxn>
                <a:cxn ang="0">
                  <a:pos x="12" y="10"/>
                </a:cxn>
              </a:cxnLst>
              <a:rect l="0" t="0" r="r" b="b"/>
              <a:pathLst>
                <a:path w="16" h="20">
                  <a:moveTo>
                    <a:pt x="12" y="10"/>
                  </a:moveTo>
                  <a:cubicBezTo>
                    <a:pt x="12" y="12"/>
                    <a:pt x="12" y="14"/>
                    <a:pt x="12" y="16"/>
                  </a:cubicBezTo>
                  <a:cubicBezTo>
                    <a:pt x="12" y="17"/>
                    <a:pt x="6" y="20"/>
                    <a:pt x="5" y="20"/>
                  </a:cubicBezTo>
                  <a:cubicBezTo>
                    <a:pt x="1" y="20"/>
                    <a:pt x="0" y="16"/>
                    <a:pt x="0" y="13"/>
                  </a:cubicBezTo>
                  <a:cubicBezTo>
                    <a:pt x="4" y="13"/>
                    <a:pt x="6" y="10"/>
                    <a:pt x="10" y="10"/>
                  </a:cubicBezTo>
                  <a:cubicBezTo>
                    <a:pt x="9" y="8"/>
                    <a:pt x="7" y="7"/>
                    <a:pt x="7" y="5"/>
                  </a:cubicBezTo>
                  <a:cubicBezTo>
                    <a:pt x="7" y="2"/>
                    <a:pt x="11" y="0"/>
                    <a:pt x="11" y="0"/>
                  </a:cubicBezTo>
                  <a:cubicBezTo>
                    <a:pt x="13" y="3"/>
                    <a:pt x="14" y="4"/>
                    <a:pt x="16" y="5"/>
                  </a:cubicBezTo>
                  <a:cubicBezTo>
                    <a:pt x="15" y="7"/>
                    <a:pt x="13" y="10"/>
                    <a:pt x="12" y="10"/>
                  </a:cubicBezTo>
                  <a:close/>
                </a:path>
              </a:pathLst>
            </a:custGeom>
            <a:grpFill/>
            <a:ln w="9525">
              <a:noFill/>
              <a:round/>
              <a:headEnd/>
              <a:tailEnd/>
            </a:ln>
          </xdr:spPr>
          <xdr:txBody>
            <a:bodyPr vert="horz" wrap="square" lIns="60964" tIns="30482" rIns="60964" bIns="30482" numCol="1" anchor="t" anchorCtr="0" compatLnSpc="1">
              <a:prstTxWarp prst="textNoShape">
                <a:avLst/>
              </a:prstTxWarp>
            </a:bodyPr>
            <a:lstStyle>
              <a:defPPr>
                <a:defRPr lang="en-CR"/>
              </a:defPPr>
              <a:lvl1pPr marL="0" algn="l" defTabSz="914310" rtl="0" eaLnBrk="1" latinLnBrk="0" hangingPunct="1">
                <a:defRPr sz="1800" kern="1200">
                  <a:solidFill>
                    <a:schemeClr val="tx1"/>
                  </a:solidFill>
                  <a:latin typeface="+mn-lt"/>
                  <a:ea typeface="+mn-ea"/>
                  <a:cs typeface="+mn-cs"/>
                </a:defRPr>
              </a:lvl1pPr>
              <a:lvl2pPr marL="457154" algn="l" defTabSz="914310" rtl="0" eaLnBrk="1" latinLnBrk="0" hangingPunct="1">
                <a:defRPr sz="1800" kern="1200">
                  <a:solidFill>
                    <a:schemeClr val="tx1"/>
                  </a:solidFill>
                  <a:latin typeface="+mn-lt"/>
                  <a:ea typeface="+mn-ea"/>
                  <a:cs typeface="+mn-cs"/>
                </a:defRPr>
              </a:lvl2pPr>
              <a:lvl3pPr marL="914310" algn="l" defTabSz="914310" rtl="0" eaLnBrk="1" latinLnBrk="0" hangingPunct="1">
                <a:defRPr sz="1800" kern="1200">
                  <a:solidFill>
                    <a:schemeClr val="tx1"/>
                  </a:solidFill>
                  <a:latin typeface="+mn-lt"/>
                  <a:ea typeface="+mn-ea"/>
                  <a:cs typeface="+mn-cs"/>
                </a:defRPr>
              </a:lvl3pPr>
              <a:lvl4pPr marL="1371464" algn="l" defTabSz="914310" rtl="0" eaLnBrk="1" latinLnBrk="0" hangingPunct="1">
                <a:defRPr sz="1800" kern="1200">
                  <a:solidFill>
                    <a:schemeClr val="tx1"/>
                  </a:solidFill>
                  <a:latin typeface="+mn-lt"/>
                  <a:ea typeface="+mn-ea"/>
                  <a:cs typeface="+mn-cs"/>
                </a:defRPr>
              </a:lvl4pPr>
              <a:lvl5pPr marL="1828618" algn="l" defTabSz="914310" rtl="0" eaLnBrk="1" latinLnBrk="0" hangingPunct="1">
                <a:defRPr sz="1800" kern="1200">
                  <a:solidFill>
                    <a:schemeClr val="tx1"/>
                  </a:solidFill>
                  <a:latin typeface="+mn-lt"/>
                  <a:ea typeface="+mn-ea"/>
                  <a:cs typeface="+mn-cs"/>
                </a:defRPr>
              </a:lvl5pPr>
              <a:lvl6pPr marL="2285772" algn="l" defTabSz="914310" rtl="0" eaLnBrk="1" latinLnBrk="0" hangingPunct="1">
                <a:defRPr sz="1800" kern="1200">
                  <a:solidFill>
                    <a:schemeClr val="tx1"/>
                  </a:solidFill>
                  <a:latin typeface="+mn-lt"/>
                  <a:ea typeface="+mn-ea"/>
                  <a:cs typeface="+mn-cs"/>
                </a:defRPr>
              </a:lvl6pPr>
              <a:lvl7pPr marL="2742926" algn="l" defTabSz="914310" rtl="0" eaLnBrk="1" latinLnBrk="0" hangingPunct="1">
                <a:defRPr sz="1800" kern="1200">
                  <a:solidFill>
                    <a:schemeClr val="tx1"/>
                  </a:solidFill>
                  <a:latin typeface="+mn-lt"/>
                  <a:ea typeface="+mn-ea"/>
                  <a:cs typeface="+mn-cs"/>
                </a:defRPr>
              </a:lvl7pPr>
              <a:lvl8pPr marL="3200080" algn="l" defTabSz="914310" rtl="0" eaLnBrk="1" latinLnBrk="0" hangingPunct="1">
                <a:defRPr sz="1800" kern="1200">
                  <a:solidFill>
                    <a:schemeClr val="tx1"/>
                  </a:solidFill>
                  <a:latin typeface="+mn-lt"/>
                  <a:ea typeface="+mn-ea"/>
                  <a:cs typeface="+mn-cs"/>
                </a:defRPr>
              </a:lvl8pPr>
              <a:lvl9pPr marL="3657234" algn="l" defTabSz="914310" rtl="0" eaLnBrk="1" latinLnBrk="0" hangingPunct="1">
                <a:defRPr sz="1800" kern="1200">
                  <a:solidFill>
                    <a:schemeClr val="tx1"/>
                  </a:solidFill>
                  <a:latin typeface="+mn-lt"/>
                  <a:ea typeface="+mn-ea"/>
                  <a:cs typeface="+mn-cs"/>
                </a:defRPr>
              </a:lvl9pPr>
            </a:lstStyle>
            <a:p>
              <a:endParaRPr lang="en-US" sz="1200">
                <a:latin typeface="Century Gothic" panose="020B0502020202020204" pitchFamily="34" charset="0"/>
                <a:ea typeface="Arial" charset="0"/>
                <a:cs typeface="Arial" charset="0"/>
              </a:endParaRPr>
            </a:p>
          </xdr:txBody>
        </xdr:sp>
      </xdr:grpSp>
    </xdr:grpSp>
    <xdr:clientData fLocksWithSheet="0"/>
  </xdr:twoCellAnchor>
  <xdr:oneCellAnchor>
    <xdr:from>
      <xdr:col>7</xdr:col>
      <xdr:colOff>938530</xdr:colOff>
      <xdr:row>5</xdr:row>
      <xdr:rowOff>156210</xdr:rowOff>
    </xdr:from>
    <xdr:ext cx="7512455" cy="1782989"/>
    <xdr:sp macro="" textlink="">
      <xdr:nvSpPr>
        <xdr:cNvPr id="7" name="bxb_1" hidden="1">
          <a:extLst>
            <a:ext uri="{FF2B5EF4-FFF2-40B4-BE49-F238E27FC236}">
              <a16:creationId xmlns:a16="http://schemas.microsoft.com/office/drawing/2014/main" id="{00000000-0008-0000-0000-000007000000}"/>
            </a:ext>
          </a:extLst>
        </xdr:cNvPr>
        <xdr:cNvSpPr/>
      </xdr:nvSpPr>
      <xdr:spPr>
        <a:xfrm>
          <a:off x="8853170" y="2239010"/>
          <a:ext cx="7512455" cy="1782989"/>
        </a:xfrm>
        <a:prstGeom prst="rect">
          <a:avLst/>
        </a:prstGeom>
        <a:solidFill>
          <a:schemeClr val="accent4">
            <a:lumMod val="20000"/>
            <a:lumOff val="80000"/>
          </a:schemeClr>
        </a:solidFill>
        <a:ln w="92075" cap="sq" cmpd="dbl">
          <a:solidFill>
            <a:schemeClr val="accent4">
              <a:lumMod val="75000"/>
            </a:schemeClr>
          </a:solidFill>
        </a:ln>
        <a:effectLst>
          <a:outerShdw blurRad="76200" dir="13500000" sy="23000" kx="1200000" algn="br" rotWithShape="0">
            <a:prstClr val="black">
              <a:alpha val="20000"/>
            </a:prstClr>
          </a:outerShdw>
        </a:effectLst>
      </xdr:spPr>
      <xdr:txBody>
        <a:bodyPr wrap="square" lIns="91440" tIns="45720" rIns="91440" bIns="45720">
          <a:spAutoFit/>
          <a:scene3d>
            <a:camera prst="orthographicFront"/>
            <a:lightRig rig="soft" dir="t">
              <a:rot lat="0" lon="0" rev="15600000"/>
            </a:lightRig>
          </a:scene3d>
          <a:sp3d extrusionH="57150" prstMaterial="softEdge">
            <a:bevelT w="25400" h="38100"/>
          </a:sp3d>
        </a:bodyPr>
        <a:lstStyle/>
        <a:p>
          <a:pPr algn="ctr"/>
          <a:r>
            <a:rPr lang="en-US" sz="3600" b="1" cap="none" spc="0">
              <a:ln/>
              <a:solidFill>
                <a:schemeClr val="accent4"/>
              </a:solidFill>
              <a:effectLst/>
            </a:rPr>
            <a:t>“It’s not about having enough time, it’s about making enough time.”-Rachael Bermingham</a:t>
          </a:r>
          <a:endParaRPr lang="en-US" sz="3600" b="1" cap="none" spc="0" baseline="0">
            <a:ln/>
            <a:solidFill>
              <a:schemeClr val="accent4"/>
            </a:solidFill>
            <a:effectLst/>
          </a:endParaRPr>
        </a:p>
      </xdr:txBody>
    </xdr:sp>
    <xdr:clientData fLocksWithSheet="0"/>
  </xdr:oneCellAnchor>
  <xdr:twoCellAnchor>
    <xdr:from>
      <xdr:col>9</xdr:col>
      <xdr:colOff>45720</xdr:colOff>
      <xdr:row>6</xdr:row>
      <xdr:rowOff>83820</xdr:rowOff>
    </xdr:from>
    <xdr:to>
      <xdr:col>11</xdr:col>
      <xdr:colOff>2194560</xdr:colOff>
      <xdr:row>8</xdr:row>
      <xdr:rowOff>20320</xdr:rowOff>
    </xdr:to>
    <xdr:sp macro="[0]!syncSP" textlink="">
      <xdr:nvSpPr>
        <xdr:cNvPr id="192" name="TextBox 191">
          <a:extLst>
            <a:ext uri="{FF2B5EF4-FFF2-40B4-BE49-F238E27FC236}">
              <a16:creationId xmlns:a16="http://schemas.microsoft.com/office/drawing/2014/main" id="{00000000-0008-0000-0000-0000C0000000}"/>
            </a:ext>
          </a:extLst>
        </xdr:cNvPr>
        <xdr:cNvSpPr txBox="1"/>
      </xdr:nvSpPr>
      <xdr:spPr>
        <a:xfrm>
          <a:off x="12542520" y="2481580"/>
          <a:ext cx="5664200" cy="546100"/>
        </a:xfrm>
        <a:prstGeom prst="rect">
          <a:avLst/>
        </a:prstGeom>
        <a:solidFill>
          <a:srgbClr val="FEDD00"/>
        </a:solidFill>
        <a:ln w="9525" cmpd="sng">
          <a:solidFill>
            <a:schemeClr val="lt1">
              <a:shade val="50000"/>
            </a:schemeClr>
          </a:solid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latin typeface="PP Eiko Italic Black)"/>
            </a:rPr>
            <a:t>Go to Share Point and Sync files here</a:t>
          </a:r>
        </a:p>
      </xdr:txBody>
    </xdr:sp>
    <xdr:clientData/>
  </xdr:twoCellAnchor>
  <xdr:twoCellAnchor>
    <xdr:from>
      <xdr:col>5</xdr:col>
      <xdr:colOff>243840</xdr:colOff>
      <xdr:row>13</xdr:row>
      <xdr:rowOff>2540</xdr:rowOff>
    </xdr:from>
    <xdr:to>
      <xdr:col>5</xdr:col>
      <xdr:colOff>1595120</xdr:colOff>
      <xdr:row>13</xdr:row>
      <xdr:rowOff>373380</xdr:rowOff>
    </xdr:to>
    <xdr:sp macro="" textlink="">
      <xdr:nvSpPr>
        <xdr:cNvPr id="190" name="Arrow: Left 189">
          <a:extLst>
            <a:ext uri="{FF2B5EF4-FFF2-40B4-BE49-F238E27FC236}">
              <a16:creationId xmlns:a16="http://schemas.microsoft.com/office/drawing/2014/main" id="{00000000-0008-0000-0000-0000BE000000}"/>
            </a:ext>
          </a:extLst>
        </xdr:cNvPr>
        <xdr:cNvSpPr/>
      </xdr:nvSpPr>
      <xdr:spPr>
        <a:xfrm>
          <a:off x="7762240" y="4127500"/>
          <a:ext cx="1351280" cy="370840"/>
        </a:xfrm>
        <a:prstGeom prst="leftArrow">
          <a:avLst/>
        </a:prstGeom>
        <a:solidFill>
          <a:schemeClr val="accent4">
            <a:lumMod val="75000"/>
          </a:schemeClr>
        </a:solidFill>
        <a:ln w="28575">
          <a:solidFill>
            <a:schemeClr val="accent4">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6</xdr:col>
      <xdr:colOff>153065</xdr:colOff>
      <xdr:row>1</xdr:row>
      <xdr:rowOff>106083</xdr:rowOff>
    </xdr:from>
    <xdr:to>
      <xdr:col>6</xdr:col>
      <xdr:colOff>2048390</xdr:colOff>
      <xdr:row>4</xdr:row>
      <xdr:rowOff>364490</xdr:rowOff>
    </xdr:to>
    <mc:AlternateContent xmlns:mc="http://schemas.openxmlformats.org/markup-compatibility/2006" xmlns:sle15="http://schemas.microsoft.com/office/drawing/2012/slicer">
      <mc:Choice Requires="sle15">
        <xdr:graphicFrame macro="">
          <xdr:nvGraphicFramePr>
            <xdr:cNvPr id="2" name="Section">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Section"/>
            </a:graphicData>
          </a:graphic>
        </xdr:graphicFrame>
      </mc:Choice>
      <mc:Fallback xmlns="">
        <xdr:sp macro="" textlink="">
          <xdr:nvSpPr>
            <xdr:cNvPr id="0" name=""/>
            <xdr:cNvSpPr>
              <a:spLocks noTextEdit="1"/>
            </xdr:cNvSpPr>
          </xdr:nvSpPr>
          <xdr:spPr>
            <a:xfrm>
              <a:off x="8786525" y="598843"/>
              <a:ext cx="1900405" cy="190813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5</xdr:col>
      <xdr:colOff>39995</xdr:colOff>
      <xdr:row>1</xdr:row>
      <xdr:rowOff>78778</xdr:rowOff>
    </xdr:from>
    <xdr:to>
      <xdr:col>5</xdr:col>
      <xdr:colOff>1258264</xdr:colOff>
      <xdr:row>4</xdr:row>
      <xdr:rowOff>373380</xdr:rowOff>
    </xdr:to>
    <mc:AlternateContent xmlns:mc="http://schemas.openxmlformats.org/markup-compatibility/2006" xmlns:sle15="http://schemas.microsoft.com/office/drawing/2012/slicer">
      <mc:Choice Requires="sle15">
        <xdr:graphicFrame macro="">
          <xdr:nvGraphicFramePr>
            <xdr:cNvPr id="3" name="Answer">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nswer"/>
            </a:graphicData>
          </a:graphic>
        </xdr:graphicFrame>
      </mc:Choice>
      <mc:Fallback xmlns="">
        <xdr:sp macro="" textlink="">
          <xdr:nvSpPr>
            <xdr:cNvPr id="0" name=""/>
            <xdr:cNvSpPr>
              <a:spLocks noTextEdit="1"/>
            </xdr:cNvSpPr>
          </xdr:nvSpPr>
          <xdr:spPr>
            <a:xfrm>
              <a:off x="5815955" y="596938"/>
              <a:ext cx="1218269" cy="191766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5</xdr:col>
      <xdr:colOff>1333606</xdr:colOff>
      <xdr:row>1</xdr:row>
      <xdr:rowOff>106082</xdr:rowOff>
    </xdr:from>
    <xdr:to>
      <xdr:col>6</xdr:col>
      <xdr:colOff>77985</xdr:colOff>
      <xdr:row>4</xdr:row>
      <xdr:rowOff>364490</xdr:rowOff>
    </xdr:to>
    <mc:AlternateContent xmlns:mc="http://schemas.openxmlformats.org/markup-compatibility/2006" xmlns:sle15="http://schemas.microsoft.com/office/drawing/2012/slicer">
      <mc:Choice Requires="sle15">
        <xdr:graphicFrame macro="">
          <xdr:nvGraphicFramePr>
            <xdr:cNvPr id="4" name="Finding Type">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Finding Type"/>
            </a:graphicData>
          </a:graphic>
        </xdr:graphicFrame>
      </mc:Choice>
      <mc:Fallback xmlns="">
        <xdr:sp macro="" textlink="">
          <xdr:nvSpPr>
            <xdr:cNvPr id="0" name=""/>
            <xdr:cNvSpPr>
              <a:spLocks noTextEdit="1"/>
            </xdr:cNvSpPr>
          </xdr:nvSpPr>
          <xdr:spPr>
            <a:xfrm>
              <a:off x="7109566" y="598842"/>
              <a:ext cx="1601879" cy="192337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xdr:from>
      <xdr:col>2</xdr:col>
      <xdr:colOff>110156</xdr:colOff>
      <xdr:row>0</xdr:row>
      <xdr:rowOff>57935</xdr:rowOff>
    </xdr:from>
    <xdr:to>
      <xdr:col>3</xdr:col>
      <xdr:colOff>544831</xdr:colOff>
      <xdr:row>1</xdr:row>
      <xdr:rowOff>6024</xdr:rowOff>
    </xdr:to>
    <xdr:sp macro="[0]!ResetTool" textlink="">
      <xdr:nvSpPr>
        <xdr:cNvPr id="11" name="Rectangle 10">
          <a:extLst>
            <a:ext uri="{FF2B5EF4-FFF2-40B4-BE49-F238E27FC236}">
              <a16:creationId xmlns:a16="http://schemas.microsoft.com/office/drawing/2014/main" id="{00000000-0008-0000-0100-00000B000000}"/>
            </a:ext>
          </a:extLst>
        </xdr:cNvPr>
        <xdr:cNvSpPr>
          <a:spLocks noChangeAspect="1"/>
        </xdr:cNvSpPr>
      </xdr:nvSpPr>
      <xdr:spPr>
        <a:xfrm>
          <a:off x="110156" y="57935"/>
          <a:ext cx="1455755" cy="473869"/>
        </a:xfrm>
        <a:prstGeom prst="rect">
          <a:avLst/>
        </a:prstGeom>
        <a:solidFill>
          <a:srgbClr val="FFE521"/>
        </a:solidFill>
        <a:ln>
          <a:solidFill>
            <a:schemeClr val="tx1"/>
          </a:solidFill>
        </a:ln>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800" b="1" baseline="0">
              <a:solidFill>
                <a:sysClr val="windowText" lastClr="000000"/>
              </a:solidFill>
            </a:rPr>
            <a:t>Reset tool</a:t>
          </a:r>
          <a:br>
            <a:rPr lang="en-US" sz="800" b="1" baseline="0">
              <a:solidFill>
                <a:sysClr val="windowText" lastClr="000000"/>
              </a:solidFill>
            </a:rPr>
          </a:br>
          <a:r>
            <a:rPr lang="en-US" sz="800" b="1" baseline="0">
              <a:solidFill>
                <a:sysClr val="windowText" lastClr="000000"/>
              </a:solidFill>
            </a:rPr>
            <a:t>(Clear all fields, start over)</a:t>
          </a:r>
          <a:endParaRPr lang="en-US" sz="800" b="1">
            <a:solidFill>
              <a:sysClr val="windowText" lastClr="000000"/>
            </a:solidFill>
          </a:endParaRPr>
        </a:p>
      </xdr:txBody>
    </xdr:sp>
    <xdr:clientData/>
  </xdr:twoCellAnchor>
  <xdr:twoCellAnchor>
    <xdr:from>
      <xdr:col>6</xdr:col>
      <xdr:colOff>2282190</xdr:colOff>
      <xdr:row>3</xdr:row>
      <xdr:rowOff>404809</xdr:rowOff>
    </xdr:from>
    <xdr:to>
      <xdr:col>8</xdr:col>
      <xdr:colOff>226695</xdr:colOff>
      <xdr:row>4</xdr:row>
      <xdr:rowOff>360352</xdr:rowOff>
    </xdr:to>
    <xdr:sp macro="[0]!PrepareEmail2" textlink="">
      <xdr:nvSpPr>
        <xdr:cNvPr id="14" name="Rectangle 13">
          <a:extLst>
            <a:ext uri="{FF2B5EF4-FFF2-40B4-BE49-F238E27FC236}">
              <a16:creationId xmlns:a16="http://schemas.microsoft.com/office/drawing/2014/main" id="{00000000-0008-0000-0100-00000E000000}"/>
            </a:ext>
          </a:extLst>
        </xdr:cNvPr>
        <xdr:cNvSpPr>
          <a:spLocks noChangeAspect="1"/>
        </xdr:cNvSpPr>
      </xdr:nvSpPr>
      <xdr:spPr>
        <a:xfrm>
          <a:off x="11811672" y="1812268"/>
          <a:ext cx="1413847" cy="394813"/>
        </a:xfrm>
        <a:prstGeom prst="rect">
          <a:avLst/>
        </a:prstGeom>
        <a:solidFill>
          <a:srgbClr val="FFE521"/>
        </a:solidFill>
        <a:ln>
          <a:solidFill>
            <a:schemeClr val="tx1"/>
          </a:solidFill>
        </a:ln>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baseline="0">
              <a:solidFill>
                <a:sysClr val="windowText" lastClr="000000"/>
              </a:solidFill>
              <a:effectLst/>
              <a:latin typeface="+mn-lt"/>
              <a:ea typeface="+mn-ea"/>
              <a:cs typeface="+mn-cs"/>
            </a:rPr>
            <a:t>Generate Agent Action List and email</a:t>
          </a:r>
          <a:endParaRPr lang="en-US" sz="800">
            <a:solidFill>
              <a:sysClr val="windowText" lastClr="000000"/>
            </a:solidFill>
            <a:effectLst/>
          </a:endParaRPr>
        </a:p>
        <a:p>
          <a:pPr algn="ctr"/>
          <a:endParaRPr lang="en-US" sz="400" b="1">
            <a:solidFill>
              <a:sysClr val="windowText" lastClr="000000"/>
            </a:solidFill>
          </a:endParaRPr>
        </a:p>
      </xdr:txBody>
    </xdr:sp>
    <xdr:clientData/>
  </xdr:twoCellAnchor>
  <xdr:twoCellAnchor>
    <xdr:from>
      <xdr:col>6</xdr:col>
      <xdr:colOff>2281854</xdr:colOff>
      <xdr:row>2</xdr:row>
      <xdr:rowOff>31599</xdr:rowOff>
    </xdr:from>
    <xdr:to>
      <xdr:col>8</xdr:col>
      <xdr:colOff>224790</xdr:colOff>
      <xdr:row>2</xdr:row>
      <xdr:rowOff>393128</xdr:rowOff>
    </xdr:to>
    <xdr:sp macro="[0]!GenLetter_Email" textlink="">
      <xdr:nvSpPr>
        <xdr:cNvPr id="15" name="Rectangle 14">
          <a:extLst>
            <a:ext uri="{FF2B5EF4-FFF2-40B4-BE49-F238E27FC236}">
              <a16:creationId xmlns:a16="http://schemas.microsoft.com/office/drawing/2014/main" id="{00000000-0008-0000-0100-00000F000000}"/>
            </a:ext>
          </a:extLst>
        </xdr:cNvPr>
        <xdr:cNvSpPr>
          <a:spLocks noChangeAspect="1"/>
        </xdr:cNvSpPr>
      </xdr:nvSpPr>
      <xdr:spPr>
        <a:xfrm>
          <a:off x="11811336" y="999787"/>
          <a:ext cx="1412278" cy="361529"/>
        </a:xfrm>
        <a:prstGeom prst="rect">
          <a:avLst/>
        </a:prstGeom>
        <a:solidFill>
          <a:srgbClr val="FEDD00"/>
        </a:solidFill>
        <a:ln>
          <a:solidFill>
            <a:schemeClr val="tx1">
              <a:lumMod val="95000"/>
              <a:lumOff val="5000"/>
            </a:schemeClr>
          </a:solidFill>
        </a:ln>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800" b="1" baseline="0">
              <a:solidFill>
                <a:sysClr val="windowText" lastClr="000000"/>
              </a:solidFill>
            </a:rPr>
            <a:t>Generate Finding Letter and email</a:t>
          </a:r>
          <a:endParaRPr lang="en-US" sz="800" b="1">
            <a:solidFill>
              <a:sysClr val="windowText" lastClr="000000"/>
            </a:solidFill>
          </a:endParaRPr>
        </a:p>
      </xdr:txBody>
    </xdr:sp>
    <xdr:clientData/>
  </xdr:twoCellAnchor>
  <xdr:twoCellAnchor>
    <xdr:from>
      <xdr:col>6</xdr:col>
      <xdr:colOff>2281854</xdr:colOff>
      <xdr:row>1</xdr:row>
      <xdr:rowOff>70375</xdr:rowOff>
    </xdr:from>
    <xdr:to>
      <xdr:col>8</xdr:col>
      <xdr:colOff>224790</xdr:colOff>
      <xdr:row>1</xdr:row>
      <xdr:rowOff>412704</xdr:rowOff>
    </xdr:to>
    <xdr:sp macro="[0]!documentType" textlink="Q4">
      <xdr:nvSpPr>
        <xdr:cNvPr id="16" name="Rectangle 15">
          <a:extLst>
            <a:ext uri="{FF2B5EF4-FFF2-40B4-BE49-F238E27FC236}">
              <a16:creationId xmlns:a16="http://schemas.microsoft.com/office/drawing/2014/main" id="{00000000-0008-0000-0100-000010000000}"/>
            </a:ext>
          </a:extLst>
        </xdr:cNvPr>
        <xdr:cNvSpPr>
          <a:spLocks noChangeAspect="1"/>
        </xdr:cNvSpPr>
      </xdr:nvSpPr>
      <xdr:spPr>
        <a:xfrm>
          <a:off x="11811336" y="599293"/>
          <a:ext cx="1412278" cy="342329"/>
        </a:xfrm>
        <a:prstGeom prst="rect">
          <a:avLst/>
        </a:prstGeom>
        <a:solidFill>
          <a:srgbClr val="FEDD00"/>
        </a:solidFill>
        <a:ln>
          <a:solidFill>
            <a:schemeClr val="tx1">
              <a:lumMod val="95000"/>
              <a:lumOff val="5000"/>
            </a:schemeClr>
          </a:solidFill>
        </a:ln>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fld id="{D952933E-EA2A-468A-A7AD-9048823A8525}" type="TxLink">
            <a:rPr lang="en-US" sz="800" b="1" i="0" u="none" strike="noStrike">
              <a:solidFill>
                <a:srgbClr val="000000"/>
              </a:solidFill>
              <a:latin typeface="Calibri"/>
              <a:cs typeface="Calibri"/>
            </a:rPr>
            <a:pPr algn="ctr"/>
            <a:t>FL Type: PDF</a:t>
          </a:fld>
          <a:endParaRPr lang="en-US" sz="800" b="1">
            <a:solidFill>
              <a:sysClr val="windowText" lastClr="000000"/>
            </a:solidFill>
          </a:endParaRPr>
        </a:p>
      </xdr:txBody>
    </xdr:sp>
    <xdr:clientData/>
  </xdr:twoCellAnchor>
  <xdr:twoCellAnchor>
    <xdr:from>
      <xdr:col>3</xdr:col>
      <xdr:colOff>676724</xdr:colOff>
      <xdr:row>0</xdr:row>
      <xdr:rowOff>72165</xdr:rowOff>
    </xdr:from>
    <xdr:to>
      <xdr:col>3</xdr:col>
      <xdr:colOff>2223248</xdr:colOff>
      <xdr:row>1</xdr:row>
      <xdr:rowOff>634</xdr:rowOff>
    </xdr:to>
    <xdr:sp macro="[0]!outlookreminder" textlink="R4">
      <xdr:nvSpPr>
        <xdr:cNvPr id="17" name="Rectangle 16">
          <a:extLst>
            <a:ext uri="{FF2B5EF4-FFF2-40B4-BE49-F238E27FC236}">
              <a16:creationId xmlns:a16="http://schemas.microsoft.com/office/drawing/2014/main" id="{00000000-0008-0000-0100-000011000000}"/>
            </a:ext>
          </a:extLst>
        </xdr:cNvPr>
        <xdr:cNvSpPr>
          <a:spLocks noChangeAspect="1"/>
        </xdr:cNvSpPr>
      </xdr:nvSpPr>
      <xdr:spPr>
        <a:xfrm>
          <a:off x="1698700" y="72165"/>
          <a:ext cx="1546524" cy="457387"/>
        </a:xfrm>
        <a:prstGeom prst="rect">
          <a:avLst/>
        </a:prstGeom>
        <a:solidFill>
          <a:srgbClr val="FEDD00"/>
        </a:solidFill>
        <a:ln>
          <a:solidFill>
            <a:schemeClr val="tx1">
              <a:lumMod val="95000"/>
              <a:lumOff val="5000"/>
            </a:schemeClr>
          </a:solidFill>
        </a:ln>
        <a:scene3d>
          <a:camera prst="orthographicFront"/>
          <a:lightRig rig="threePt" dir="t"/>
        </a:scene3d>
        <a:sp3d>
          <a:bevelT/>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fld id="{E45EC237-4385-487C-BB48-88E3336EB06F}" type="TxLink">
            <a:rPr lang="en-US" sz="800" b="1" i="0" u="none" strike="noStrike">
              <a:solidFill>
                <a:srgbClr val="000000"/>
              </a:solidFill>
              <a:latin typeface="Calibri"/>
              <a:cs typeface="Calibri"/>
            </a:rPr>
            <a:pPr algn="ctr"/>
            <a:t>Outlook reminder: No</a:t>
          </a:fld>
          <a:endParaRPr lang="en-US" sz="800" b="1">
            <a:solidFill>
              <a:sysClr val="windowText" lastClr="000000"/>
            </a:solidFill>
          </a:endParaRPr>
        </a:p>
      </xdr:txBody>
    </xdr:sp>
    <xdr:clientData/>
  </xdr:twoCellAnchor>
  <xdr:oneCellAnchor>
    <xdr:from>
      <xdr:col>3</xdr:col>
      <xdr:colOff>3041650</xdr:colOff>
      <xdr:row>6</xdr:row>
      <xdr:rowOff>0</xdr:rowOff>
    </xdr:from>
    <xdr:ext cx="7512455" cy="1782989"/>
    <xdr:sp macro="" textlink="">
      <xdr:nvSpPr>
        <xdr:cNvPr id="5" name="bxb_2" hidden="1">
          <a:extLst>
            <a:ext uri="{FF2B5EF4-FFF2-40B4-BE49-F238E27FC236}">
              <a16:creationId xmlns:a16="http://schemas.microsoft.com/office/drawing/2014/main" id="{00000000-0008-0000-0100-000005000000}"/>
            </a:ext>
          </a:extLst>
        </xdr:cNvPr>
        <xdr:cNvSpPr/>
      </xdr:nvSpPr>
      <xdr:spPr>
        <a:xfrm>
          <a:off x="3910330" y="2865120"/>
          <a:ext cx="7512455" cy="1782989"/>
        </a:xfrm>
        <a:prstGeom prst="rect">
          <a:avLst/>
        </a:prstGeom>
        <a:solidFill>
          <a:srgbClr val="FEDD00"/>
        </a:solidFill>
        <a:ln w="92075" cap="sq" cmpd="dbl">
          <a:solidFill>
            <a:srgbClr val="867600"/>
          </a:solidFill>
        </a:ln>
        <a:effectLst>
          <a:outerShdw blurRad="76200" dir="13500000" sy="23000" kx="1200000" algn="br" rotWithShape="0">
            <a:prstClr val="black">
              <a:alpha val="20000"/>
            </a:prstClr>
          </a:outerShdw>
        </a:effectLst>
      </xdr:spPr>
      <xdr:txBody>
        <a:bodyPr wrap="square" lIns="91440" tIns="45720" rIns="91440" bIns="45720">
          <a:spAutoFit/>
          <a:scene3d>
            <a:camera prst="orthographicFront"/>
            <a:lightRig rig="soft" dir="t">
              <a:rot lat="0" lon="0" rev="15600000"/>
            </a:lightRig>
          </a:scene3d>
          <a:sp3d extrusionH="57150" prstMaterial="softEdge">
            <a:bevelT w="25400" h="38100"/>
          </a:sp3d>
        </a:bodyPr>
        <a:lstStyle/>
        <a:p>
          <a:pPr algn="ctr"/>
          <a:r>
            <a:rPr lang="en-US" sz="3600" b="1" cap="none" spc="0" baseline="0">
              <a:ln/>
              <a:solidFill>
                <a:sysClr val="windowText" lastClr="000000"/>
              </a:solidFill>
              <a:effectLst/>
            </a:rPr>
            <a:t>“When life gives you Monday, dip it in glitter and sparkle all day.” —Ella Woodword</a:t>
          </a:r>
        </a:p>
      </xdr:txBody>
    </xdr:sp>
    <xdr:clientData fLocksWithSheet="0"/>
  </xdr:oneCellAnchor>
  <xdr:twoCellAnchor editAs="oneCell">
    <xdr:from>
      <xdr:col>8</xdr:col>
      <xdr:colOff>1779492</xdr:colOff>
      <xdr:row>0</xdr:row>
      <xdr:rowOff>51546</xdr:rowOff>
    </xdr:from>
    <xdr:to>
      <xdr:col>12</xdr:col>
      <xdr:colOff>0</xdr:colOff>
      <xdr:row>1</xdr:row>
      <xdr:rowOff>1752</xdr:rowOff>
    </xdr:to>
    <xdr:pic>
      <xdr:nvPicPr>
        <xdr:cNvPr id="7" name="WesternUnion_PrimaryLockup_YellowWhite.png">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val="0"/>
            </a:ext>
          </a:extLst>
        </a:blip>
        <a:stretch>
          <a:fillRect/>
        </a:stretch>
      </xdr:blipFill>
      <xdr:spPr>
        <a:xfrm>
          <a:off x="13979112" y="51546"/>
          <a:ext cx="2484534" cy="462131"/>
        </a:xfrm>
        <a:prstGeom prst="rect">
          <a:avLst/>
        </a:prstGeom>
        <a:ln w="12700">
          <a:miter lim="400000"/>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324318</xdr:colOff>
      <xdr:row>0</xdr:row>
      <xdr:rowOff>74296</xdr:rowOff>
    </xdr:from>
    <xdr:to>
      <xdr:col>9</xdr:col>
      <xdr:colOff>3371033</xdr:colOff>
      <xdr:row>0</xdr:row>
      <xdr:rowOff>483871</xdr:rowOff>
    </xdr:to>
    <xdr:pic>
      <xdr:nvPicPr>
        <xdr:cNvPr id="2" name="WesternUnion_HorizontalLockup_Black.png">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9200147" y="74296"/>
          <a:ext cx="3035285" cy="396240"/>
        </a:xfrm>
        <a:prstGeom prst="rect">
          <a:avLst/>
        </a:prstGeom>
        <a:ln w="12700">
          <a:miter lim="400000"/>
        </a:ln>
      </xdr:spPr>
    </xdr:pic>
    <xdr:clientData/>
  </xdr:twoCellAnchor>
  <xdr:twoCellAnchor editAs="absolute">
    <xdr:from>
      <xdr:col>12</xdr:col>
      <xdr:colOff>64171</xdr:colOff>
      <xdr:row>0</xdr:row>
      <xdr:rowOff>102493</xdr:rowOff>
    </xdr:from>
    <xdr:to>
      <xdr:col>14</xdr:col>
      <xdr:colOff>562427</xdr:colOff>
      <xdr:row>5</xdr:row>
      <xdr:rowOff>294550</xdr:rowOff>
    </xdr:to>
    <mc:AlternateContent xmlns:mc="http://schemas.openxmlformats.org/markup-compatibility/2006" xmlns:sle15="http://schemas.microsoft.com/office/drawing/2012/slicer">
      <mc:Choice Requires="sle15">
        <xdr:graphicFrame macro="">
          <xdr:nvGraphicFramePr>
            <xdr:cNvPr id="3" name="Section 1">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Section 1"/>
            </a:graphicData>
          </a:graphic>
        </xdr:graphicFrame>
      </mc:Choice>
      <mc:Fallback xmlns="">
        <xdr:sp macro="" textlink="">
          <xdr:nvSpPr>
            <xdr:cNvPr id="0" name=""/>
            <xdr:cNvSpPr>
              <a:spLocks noTextEdit="1"/>
            </xdr:cNvSpPr>
          </xdr:nvSpPr>
          <xdr:spPr>
            <a:xfrm>
              <a:off x="22634157" y="84713"/>
              <a:ext cx="1813432" cy="272380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15</xdr:col>
      <xdr:colOff>21861</xdr:colOff>
      <xdr:row>2</xdr:row>
      <xdr:rowOff>381000</xdr:rowOff>
    </xdr:from>
    <xdr:to>
      <xdr:col>17</xdr:col>
      <xdr:colOff>629577</xdr:colOff>
      <xdr:row>5</xdr:row>
      <xdr:rowOff>250463</xdr:rowOff>
    </xdr:to>
    <mc:AlternateContent xmlns:mc="http://schemas.openxmlformats.org/markup-compatibility/2006" xmlns:sle15="http://schemas.microsoft.com/office/drawing/2012/slicer">
      <mc:Choice Requires="sle15">
        <xdr:graphicFrame macro="">
          <xdr:nvGraphicFramePr>
            <xdr:cNvPr id="4" name="Answers">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nswers"/>
            </a:graphicData>
          </a:graphic>
        </xdr:graphicFrame>
      </mc:Choice>
      <mc:Fallback xmlns="">
        <xdr:sp macro="" textlink="">
          <xdr:nvSpPr>
            <xdr:cNvPr id="0" name=""/>
            <xdr:cNvSpPr>
              <a:spLocks noTextEdit="1"/>
            </xdr:cNvSpPr>
          </xdr:nvSpPr>
          <xdr:spPr>
            <a:xfrm>
              <a:off x="24569056" y="1426029"/>
              <a:ext cx="1918447" cy="134982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15</xdr:col>
      <xdr:colOff>21636</xdr:colOff>
      <xdr:row>0</xdr:row>
      <xdr:rowOff>104958</xdr:rowOff>
    </xdr:from>
    <xdr:to>
      <xdr:col>18</xdr:col>
      <xdr:colOff>21044</xdr:colOff>
      <xdr:row>2</xdr:row>
      <xdr:rowOff>333556</xdr:rowOff>
    </xdr:to>
    <mc:AlternateContent xmlns:mc="http://schemas.openxmlformats.org/markup-compatibility/2006" xmlns:sle15="http://schemas.microsoft.com/office/drawing/2012/slicer">
      <mc:Choice Requires="sle15">
        <xdr:graphicFrame macro="">
          <xdr:nvGraphicFramePr>
            <xdr:cNvPr id="8" name="Finding Type 1">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Finding Type 1"/>
            </a:graphicData>
          </a:graphic>
        </xdr:graphicFrame>
      </mc:Choice>
      <mc:Fallback xmlns="">
        <xdr:sp macro="" textlink="">
          <xdr:nvSpPr>
            <xdr:cNvPr id="0" name=""/>
            <xdr:cNvSpPr>
              <a:spLocks noTextEdit="1"/>
            </xdr:cNvSpPr>
          </xdr:nvSpPr>
          <xdr:spPr>
            <a:xfrm>
              <a:off x="24565021" y="97973"/>
              <a:ext cx="1941692" cy="127362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wsDr>
</file>

<file path=xl/drawings/drawing4.xml><?xml version="1.0" encoding="utf-8"?>
<xdr:wsDr xmlns:xdr="http://schemas.openxmlformats.org/drawingml/2006/spreadsheetDrawing" xmlns:a="http://schemas.openxmlformats.org/drawingml/2006/main">
  <xdr:twoCellAnchor editAs="oneCell">
    <xdr:from>
      <xdr:col>4</xdr:col>
      <xdr:colOff>513566</xdr:colOff>
      <xdr:row>0</xdr:row>
      <xdr:rowOff>42694</xdr:rowOff>
    </xdr:from>
    <xdr:to>
      <xdr:col>5</xdr:col>
      <xdr:colOff>1012564</xdr:colOff>
      <xdr:row>0</xdr:row>
      <xdr:rowOff>454331</xdr:rowOff>
    </xdr:to>
    <xdr:pic>
      <xdr:nvPicPr>
        <xdr:cNvPr id="2" name="Pict01" descr="A yellow and black logo&#10;&#10;Description automatically generated with low confidence">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37991" y="42694"/>
          <a:ext cx="1226708" cy="398302"/>
        </a:xfrm>
        <a:prstGeom prst="rect">
          <a:avLst/>
        </a:prstGeom>
      </xdr:spPr>
    </xdr:pic>
    <xdr:clientData/>
  </xdr:twoCellAnchor>
  <xdr:twoCellAnchor editAs="oneCell">
    <xdr:from>
      <xdr:col>4</xdr:col>
      <xdr:colOff>526676</xdr:colOff>
      <xdr:row>37</xdr:row>
      <xdr:rowOff>22412</xdr:rowOff>
    </xdr:from>
    <xdr:to>
      <xdr:col>5</xdr:col>
      <xdr:colOff>1025674</xdr:colOff>
      <xdr:row>38</xdr:row>
      <xdr:rowOff>291324</xdr:rowOff>
    </xdr:to>
    <xdr:pic>
      <xdr:nvPicPr>
        <xdr:cNvPr id="3" name="Pict02" descr="A yellow and black logo&#10;&#10;Description automatically generated with low confidence">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51101" y="10261787"/>
          <a:ext cx="1213373" cy="395277"/>
        </a:xfrm>
        <a:prstGeom prst="rect">
          <a:avLst/>
        </a:prstGeom>
      </xdr:spPr>
    </xdr:pic>
    <xdr:clientData/>
  </xdr:twoCellAnchor>
  <xdr:twoCellAnchor editAs="oneCell">
    <xdr:from>
      <xdr:col>4</xdr:col>
      <xdr:colOff>358588</xdr:colOff>
      <xdr:row>62</xdr:row>
      <xdr:rowOff>112059</xdr:rowOff>
    </xdr:from>
    <xdr:to>
      <xdr:col>5</xdr:col>
      <xdr:colOff>862666</xdr:colOff>
      <xdr:row>63</xdr:row>
      <xdr:rowOff>367635</xdr:rowOff>
    </xdr:to>
    <xdr:pic>
      <xdr:nvPicPr>
        <xdr:cNvPr id="4" name="Pict03" descr="A yellow and black logo&#10;&#10;Description automatically generated with low confidence">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283013" y="14618634"/>
          <a:ext cx="1224803" cy="408611"/>
        </a:xfrm>
        <a:prstGeom prst="rect">
          <a:avLst/>
        </a:prstGeom>
      </xdr:spPr>
    </xdr:pic>
    <xdr:clientData/>
  </xdr:twoCellAnchor>
  <xdr:twoCellAnchor editAs="oneCell">
    <xdr:from>
      <xdr:col>4</xdr:col>
      <xdr:colOff>515471</xdr:colOff>
      <xdr:row>88</xdr:row>
      <xdr:rowOff>67235</xdr:rowOff>
    </xdr:from>
    <xdr:to>
      <xdr:col>5</xdr:col>
      <xdr:colOff>1012564</xdr:colOff>
      <xdr:row>88</xdr:row>
      <xdr:rowOff>492207</xdr:rowOff>
    </xdr:to>
    <xdr:pic>
      <xdr:nvPicPr>
        <xdr:cNvPr id="5" name="Pict04" descr="A yellow and black logo&#10;&#10;Description automatically generated with low confidence">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39896" y="19021985"/>
          <a:ext cx="1228613" cy="405922"/>
        </a:xfrm>
        <a:prstGeom prst="rect">
          <a:avLst/>
        </a:prstGeom>
      </xdr:spPr>
    </xdr:pic>
    <xdr:clientData/>
  </xdr:twoCellAnchor>
  <xdr:twoCellAnchor editAs="oneCell">
    <xdr:from>
      <xdr:col>4</xdr:col>
      <xdr:colOff>425824</xdr:colOff>
      <xdr:row>112</xdr:row>
      <xdr:rowOff>11205</xdr:rowOff>
    </xdr:from>
    <xdr:to>
      <xdr:col>5</xdr:col>
      <xdr:colOff>911487</xdr:colOff>
      <xdr:row>113</xdr:row>
      <xdr:rowOff>291548</xdr:rowOff>
    </xdr:to>
    <xdr:pic>
      <xdr:nvPicPr>
        <xdr:cNvPr id="6" name="Pict05" descr="A yellow and black logo&#10;&#10;Description automatically generated with low confidence">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50249" y="23137905"/>
          <a:ext cx="1209563" cy="414328"/>
        </a:xfrm>
        <a:prstGeom prst="rect">
          <a:avLst/>
        </a:prstGeom>
      </xdr:spPr>
    </xdr:pic>
    <xdr:clientData/>
  </xdr:twoCellAnchor>
  <xdr:twoCellAnchor editAs="oneCell">
    <xdr:from>
      <xdr:col>4</xdr:col>
      <xdr:colOff>369794</xdr:colOff>
      <xdr:row>137</xdr:row>
      <xdr:rowOff>44824</xdr:rowOff>
    </xdr:from>
    <xdr:to>
      <xdr:col>5</xdr:col>
      <xdr:colOff>862442</xdr:colOff>
      <xdr:row>138</xdr:row>
      <xdr:rowOff>328750</xdr:rowOff>
    </xdr:to>
    <xdr:pic>
      <xdr:nvPicPr>
        <xdr:cNvPr id="7" name="Pict06" descr="A yellow and black logo&#10;&#10;Description automatically generated with low confidence">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294219" y="27438724"/>
          <a:ext cx="1217183" cy="400766"/>
        </a:xfrm>
        <a:prstGeom prst="rect">
          <a:avLst/>
        </a:prstGeom>
      </xdr:spPr>
    </xdr:pic>
    <xdr:clientData/>
  </xdr:twoCellAnchor>
  <xdr:twoCellAnchor editAs="oneCell">
    <xdr:from>
      <xdr:col>4</xdr:col>
      <xdr:colOff>392206</xdr:colOff>
      <xdr:row>162</xdr:row>
      <xdr:rowOff>89646</xdr:rowOff>
    </xdr:from>
    <xdr:to>
      <xdr:col>5</xdr:col>
      <xdr:colOff>897554</xdr:colOff>
      <xdr:row>163</xdr:row>
      <xdr:rowOff>328526</xdr:rowOff>
    </xdr:to>
    <xdr:pic>
      <xdr:nvPicPr>
        <xdr:cNvPr id="8" name="Pict07" descr="A yellow and black logo&#10;&#10;Description automatically generated with low confidence">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16631" y="31741221"/>
          <a:ext cx="1222898" cy="40144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3152775</xdr:colOff>
      <xdr:row>1</xdr:row>
      <xdr:rowOff>68580</xdr:rowOff>
    </xdr:from>
    <xdr:to>
      <xdr:col>4</xdr:col>
      <xdr:colOff>6010275</xdr:colOff>
      <xdr:row>2</xdr:row>
      <xdr:rowOff>30480</xdr:rowOff>
    </xdr:to>
    <xdr:sp macro="" textlink="" fLocksText="0">
      <xdr:nvSpPr>
        <xdr:cNvPr id="2" name="txtActionCompletedDate">
          <a:extLst>
            <a:ext uri="{FF2B5EF4-FFF2-40B4-BE49-F238E27FC236}">
              <a16:creationId xmlns:a16="http://schemas.microsoft.com/office/drawing/2014/main" id="{00000000-0008-0000-0C00-000002000000}"/>
            </a:ext>
          </a:extLst>
        </xdr:cNvPr>
        <xdr:cNvSpPr/>
      </xdr:nvSpPr>
      <xdr:spPr>
        <a:xfrm>
          <a:off x="3188970" y="247650"/>
          <a:ext cx="0" cy="142875"/>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endParaRPr lang="en-US" sz="1100" b="1">
            <a:solidFill>
              <a:sysClr val="windowText" lastClr="000000"/>
            </a:solidFill>
          </a:endParaRPr>
        </a:p>
      </xdr:txBody>
    </xdr:sp>
    <xdr:clientData fLocksWithSheet="0"/>
  </xdr:twoCellAnchor>
  <xdr:twoCellAnchor>
    <xdr:from>
      <xdr:col>4</xdr:col>
      <xdr:colOff>3152775</xdr:colOff>
      <xdr:row>2</xdr:row>
      <xdr:rowOff>51435</xdr:rowOff>
    </xdr:from>
    <xdr:to>
      <xdr:col>4</xdr:col>
      <xdr:colOff>6010275</xdr:colOff>
      <xdr:row>2</xdr:row>
      <xdr:rowOff>308610</xdr:rowOff>
    </xdr:to>
    <xdr:sp macro="" textlink="" fLocksText="0">
      <xdr:nvSpPr>
        <xdr:cNvPr id="3" name="txtAgentEmailFax">
          <a:extLst>
            <a:ext uri="{FF2B5EF4-FFF2-40B4-BE49-F238E27FC236}">
              <a16:creationId xmlns:a16="http://schemas.microsoft.com/office/drawing/2014/main" id="{00000000-0008-0000-0C00-000003000000}"/>
            </a:ext>
          </a:extLst>
        </xdr:cNvPr>
        <xdr:cNvSpPr/>
      </xdr:nvSpPr>
      <xdr:spPr>
        <a:xfrm>
          <a:off x="3188970" y="417195"/>
          <a:ext cx="0" cy="12192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endParaRPr lang="en-US" sz="1100" b="1">
            <a:solidFill>
              <a:sysClr val="windowText" lastClr="000000"/>
            </a:solidFill>
          </a:endParaRPr>
        </a:p>
      </xdr:txBody>
    </xdr:sp>
    <xdr:clientData fLocksWithSheet="0"/>
  </xdr:twoCellAnchor>
  <xdr:twoCellAnchor>
    <xdr:from>
      <xdr:col>2</xdr:col>
      <xdr:colOff>929640</xdr:colOff>
      <xdr:row>1</xdr:row>
      <xdr:rowOff>38100</xdr:rowOff>
    </xdr:from>
    <xdr:to>
      <xdr:col>4</xdr:col>
      <xdr:colOff>1491502</xdr:colOff>
      <xdr:row>2</xdr:row>
      <xdr:rowOff>7620</xdr:rowOff>
    </xdr:to>
    <xdr:sp macro="" textlink="" fLocksText="0">
      <xdr:nvSpPr>
        <xdr:cNvPr id="4" name="txtAgentName">
          <a:extLst>
            <a:ext uri="{FF2B5EF4-FFF2-40B4-BE49-F238E27FC236}">
              <a16:creationId xmlns:a16="http://schemas.microsoft.com/office/drawing/2014/main" id="{00000000-0008-0000-0C00-000004000000}"/>
            </a:ext>
          </a:extLst>
        </xdr:cNvPr>
        <xdr:cNvSpPr/>
      </xdr:nvSpPr>
      <xdr:spPr>
        <a:xfrm>
          <a:off x="1914525" y="219075"/>
          <a:ext cx="1274332" cy="15240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endParaRPr lang="en-US" sz="1100" b="1">
            <a:solidFill>
              <a:sysClr val="windowText" lastClr="000000"/>
            </a:solidFill>
          </a:endParaRPr>
        </a:p>
      </xdr:txBody>
    </xdr:sp>
    <xdr:clientData fLocksWithSheet="0"/>
  </xdr:twoCellAnchor>
  <xdr:twoCellAnchor>
    <xdr:from>
      <xdr:col>2</xdr:col>
      <xdr:colOff>930088</xdr:colOff>
      <xdr:row>2</xdr:row>
      <xdr:rowOff>28576</xdr:rowOff>
    </xdr:from>
    <xdr:to>
      <xdr:col>4</xdr:col>
      <xdr:colOff>1491503</xdr:colOff>
      <xdr:row>2</xdr:row>
      <xdr:rowOff>297180</xdr:rowOff>
    </xdr:to>
    <xdr:sp macro="" textlink="" fLocksText="0">
      <xdr:nvSpPr>
        <xdr:cNvPr id="5" name="txtAgentNumber">
          <a:extLst>
            <a:ext uri="{FF2B5EF4-FFF2-40B4-BE49-F238E27FC236}">
              <a16:creationId xmlns:a16="http://schemas.microsoft.com/office/drawing/2014/main" id="{00000000-0008-0000-0C00-000005000000}"/>
            </a:ext>
          </a:extLst>
        </xdr:cNvPr>
        <xdr:cNvSpPr/>
      </xdr:nvSpPr>
      <xdr:spPr>
        <a:xfrm>
          <a:off x="1914973" y="388621"/>
          <a:ext cx="1273885" cy="15430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endParaRPr lang="en-US" sz="1100" b="1">
            <a:solidFill>
              <a:sysClr val="windowText" lastClr="000000"/>
            </a:solidFill>
          </a:endParaRPr>
        </a:p>
      </xdr:txBody>
    </xdr:sp>
    <xdr:clientData fLocksWithSheet="0"/>
  </xdr:twoCellAnchor>
  <xdr:twoCellAnchor>
    <xdr:from>
      <xdr:col>1</xdr:col>
      <xdr:colOff>76758</xdr:colOff>
      <xdr:row>1</xdr:row>
      <xdr:rowOff>24092</xdr:rowOff>
    </xdr:from>
    <xdr:to>
      <xdr:col>2</xdr:col>
      <xdr:colOff>939613</xdr:colOff>
      <xdr:row>1</xdr:row>
      <xdr:rowOff>307556</xdr:rowOff>
    </xdr:to>
    <xdr:sp macro="" textlink="$J$2">
      <xdr:nvSpPr>
        <xdr:cNvPr id="6" name="Rectangle 5">
          <a:extLst>
            <a:ext uri="{FF2B5EF4-FFF2-40B4-BE49-F238E27FC236}">
              <a16:creationId xmlns:a16="http://schemas.microsoft.com/office/drawing/2014/main" id="{00000000-0008-0000-0C00-000006000000}"/>
            </a:ext>
          </a:extLst>
        </xdr:cNvPr>
        <xdr:cNvSpPr/>
      </xdr:nvSpPr>
      <xdr:spPr>
        <a:xfrm>
          <a:off x="714933" y="201257"/>
          <a:ext cx="1201945" cy="163449"/>
        </a:xfrm>
        <a:prstGeom prst="rect">
          <a:avLst/>
        </a:prstGeom>
        <a:ln>
          <a:noFill/>
        </a:ln>
      </xdr:spPr>
      <xdr:style>
        <a:lnRef idx="2">
          <a:schemeClr val="dk1"/>
        </a:lnRef>
        <a:fillRef idx="1">
          <a:schemeClr val="lt1"/>
        </a:fillRef>
        <a:effectRef idx="0">
          <a:schemeClr val="dk1"/>
        </a:effectRef>
        <a:fontRef idx="minor">
          <a:schemeClr val="dk1"/>
        </a:fontRef>
      </xdr:style>
      <xdr:txBody>
        <a:bodyPr vertOverflow="overflow" horzOverflow="overflow" wrap="square" lIns="0" tIns="0" rIns="0" bIns="0" rtlCol="0" anchor="ctr"/>
        <a:lstStyle/>
        <a:p>
          <a:pPr algn="l"/>
          <a:fld id="{147905FC-2A61-471E-865C-1F39B7EAE2AE}" type="TxLink">
            <a:rPr lang="en-US" sz="1000" b="1" i="0" u="none" strike="noStrike">
              <a:solidFill>
                <a:srgbClr val="000000"/>
              </a:solidFill>
              <a:latin typeface="Calibri"/>
              <a:cs typeface="Calibri"/>
            </a:rPr>
            <a:pPr algn="l"/>
            <a:t>Nombre del agente:</a:t>
          </a:fld>
          <a:endParaRPr lang="en-US" sz="1000" b="1"/>
        </a:p>
      </xdr:txBody>
    </xdr:sp>
    <xdr:clientData/>
  </xdr:twoCellAnchor>
  <xdr:twoCellAnchor>
    <xdr:from>
      <xdr:col>1</xdr:col>
      <xdr:colOff>85162</xdr:colOff>
      <xdr:row>1</xdr:row>
      <xdr:rowOff>322728</xdr:rowOff>
    </xdr:from>
    <xdr:to>
      <xdr:col>2</xdr:col>
      <xdr:colOff>918882</xdr:colOff>
      <xdr:row>2</xdr:row>
      <xdr:rowOff>282342</xdr:rowOff>
    </xdr:to>
    <xdr:sp macro="" textlink="$J$3">
      <xdr:nvSpPr>
        <xdr:cNvPr id="7" name="Rectangle 6">
          <a:extLst>
            <a:ext uri="{FF2B5EF4-FFF2-40B4-BE49-F238E27FC236}">
              <a16:creationId xmlns:a16="http://schemas.microsoft.com/office/drawing/2014/main" id="{00000000-0008-0000-0C00-000007000000}"/>
            </a:ext>
          </a:extLst>
        </xdr:cNvPr>
        <xdr:cNvSpPr/>
      </xdr:nvSpPr>
      <xdr:spPr>
        <a:xfrm>
          <a:off x="725242" y="364638"/>
          <a:ext cx="1186145" cy="178689"/>
        </a:xfrm>
        <a:prstGeom prst="rect">
          <a:avLst/>
        </a:prstGeom>
        <a:ln>
          <a:noFill/>
        </a:ln>
      </xdr:spPr>
      <xdr:style>
        <a:lnRef idx="2">
          <a:schemeClr val="dk1"/>
        </a:lnRef>
        <a:fillRef idx="1">
          <a:schemeClr val="lt1"/>
        </a:fillRef>
        <a:effectRef idx="0">
          <a:schemeClr val="dk1"/>
        </a:effectRef>
        <a:fontRef idx="minor">
          <a:schemeClr val="dk1"/>
        </a:fontRef>
      </xdr:style>
      <xdr:txBody>
        <a:bodyPr vertOverflow="clip" horzOverflow="clip" wrap="none" lIns="0" tIns="0" rIns="0" bIns="0" rtlCol="0" anchor="ctr"/>
        <a:lstStyle/>
        <a:p>
          <a:pPr algn="l"/>
          <a:fld id="{6431A51E-4F6D-4881-976B-CDEBB5C3C83F}" type="TxLink">
            <a:rPr lang="en-US" sz="1000" b="1" i="0" u="none" strike="noStrike">
              <a:solidFill>
                <a:srgbClr val="000000"/>
              </a:solidFill>
              <a:latin typeface="Calibri"/>
              <a:cs typeface="Calibri"/>
            </a:rPr>
            <a:pPr algn="l"/>
            <a:t>Número de agente:</a:t>
          </a:fld>
          <a:endParaRPr lang="en-US" sz="1000" b="1"/>
        </a:p>
      </xdr:txBody>
    </xdr:sp>
    <xdr:clientData/>
  </xdr:twoCellAnchor>
  <xdr:twoCellAnchor>
    <xdr:from>
      <xdr:col>4</xdr:col>
      <xdr:colOff>1610283</xdr:colOff>
      <xdr:row>1</xdr:row>
      <xdr:rowOff>48185</xdr:rowOff>
    </xdr:from>
    <xdr:to>
      <xdr:col>4</xdr:col>
      <xdr:colOff>2954991</xdr:colOff>
      <xdr:row>2</xdr:row>
      <xdr:rowOff>7799</xdr:rowOff>
    </xdr:to>
    <xdr:sp macro="" textlink="$K$2">
      <xdr:nvSpPr>
        <xdr:cNvPr id="8" name="Rectangle 7">
          <a:extLst>
            <a:ext uri="{FF2B5EF4-FFF2-40B4-BE49-F238E27FC236}">
              <a16:creationId xmlns:a16="http://schemas.microsoft.com/office/drawing/2014/main" id="{00000000-0008-0000-0C00-000008000000}"/>
            </a:ext>
          </a:extLst>
        </xdr:cNvPr>
        <xdr:cNvSpPr/>
      </xdr:nvSpPr>
      <xdr:spPr>
        <a:xfrm>
          <a:off x="3193338" y="231065"/>
          <a:ext cx="0" cy="140589"/>
        </a:xfrm>
        <a:prstGeom prst="rect">
          <a:avLst/>
        </a:prstGeom>
        <a:ln>
          <a:noFill/>
        </a:ln>
      </xdr:spPr>
      <xdr:style>
        <a:lnRef idx="2">
          <a:schemeClr val="dk1"/>
        </a:lnRef>
        <a:fillRef idx="1">
          <a:schemeClr val="lt1"/>
        </a:fillRef>
        <a:effectRef idx="0">
          <a:schemeClr val="dk1"/>
        </a:effectRef>
        <a:fontRef idx="minor">
          <a:schemeClr val="dk1"/>
        </a:fontRef>
      </xdr:style>
      <xdr:txBody>
        <a:bodyPr vertOverflow="overflow" horzOverflow="overflow" wrap="square" lIns="0" tIns="0" rIns="0" bIns="0" rtlCol="0" anchor="ctr"/>
        <a:lstStyle/>
        <a:p>
          <a:pPr algn="l"/>
          <a:fld id="{351AE26F-2A9C-44FC-B77B-A5A5E56407DE}" type="TxLink">
            <a:rPr lang="en-US" sz="1000" b="1" i="0" u="none" strike="noStrike">
              <a:solidFill>
                <a:srgbClr val="000000"/>
              </a:solidFill>
              <a:latin typeface="Calibri"/>
              <a:cs typeface="Calibri"/>
            </a:rPr>
            <a:pPr algn="l"/>
            <a:t>Fecha de finalización:</a:t>
          </a:fld>
          <a:endParaRPr lang="en-US" sz="1000" b="1"/>
        </a:p>
      </xdr:txBody>
    </xdr:sp>
    <xdr:clientData/>
  </xdr:twoCellAnchor>
  <xdr:twoCellAnchor>
    <xdr:from>
      <xdr:col>4</xdr:col>
      <xdr:colOff>1595718</xdr:colOff>
      <xdr:row>2</xdr:row>
      <xdr:rowOff>28015</xdr:rowOff>
    </xdr:from>
    <xdr:to>
      <xdr:col>4</xdr:col>
      <xdr:colOff>3074895</xdr:colOff>
      <xdr:row>2</xdr:row>
      <xdr:rowOff>307040</xdr:rowOff>
    </xdr:to>
    <xdr:sp macro="" textlink="$K$3">
      <xdr:nvSpPr>
        <xdr:cNvPr id="9" name="Rectangle 8">
          <a:extLst>
            <a:ext uri="{FF2B5EF4-FFF2-40B4-BE49-F238E27FC236}">
              <a16:creationId xmlns:a16="http://schemas.microsoft.com/office/drawing/2014/main" id="{00000000-0008-0000-0C00-000009000000}"/>
            </a:ext>
          </a:extLst>
        </xdr:cNvPr>
        <xdr:cNvSpPr/>
      </xdr:nvSpPr>
      <xdr:spPr>
        <a:xfrm>
          <a:off x="3194013" y="388060"/>
          <a:ext cx="0" cy="157105"/>
        </a:xfrm>
        <a:prstGeom prst="rect">
          <a:avLst/>
        </a:prstGeom>
        <a:ln>
          <a:noFill/>
        </a:ln>
      </xdr:spPr>
      <xdr:style>
        <a:lnRef idx="2">
          <a:schemeClr val="dk1"/>
        </a:lnRef>
        <a:fillRef idx="1">
          <a:schemeClr val="lt1"/>
        </a:fillRef>
        <a:effectRef idx="0">
          <a:schemeClr val="dk1"/>
        </a:effectRef>
        <a:fontRef idx="minor">
          <a:schemeClr val="dk1"/>
        </a:fontRef>
      </xdr:style>
      <xdr:txBody>
        <a:bodyPr vertOverflow="overflow" horzOverflow="overflow" wrap="square" lIns="0" tIns="0" rIns="0" bIns="0" rtlCol="0" anchor="ctr"/>
        <a:lstStyle/>
        <a:p>
          <a:pPr algn="l"/>
          <a:fld id="{F96D1D56-3D22-4B0F-8BBD-91F59B90B4DF}" type="TxLink">
            <a:rPr lang="en-US" sz="1000" b="1" i="0" u="none" strike="noStrike">
              <a:solidFill>
                <a:srgbClr val="000000"/>
              </a:solidFill>
              <a:latin typeface="Calibri"/>
              <a:cs typeface="Calibri"/>
            </a:rPr>
            <a:pPr algn="l"/>
            <a:t>Correo electrónico/Fax del agente:</a:t>
          </a:fld>
          <a:endParaRPr lang="en-US" sz="1000" b="1"/>
        </a:p>
      </xdr:txBody>
    </xdr:sp>
    <xdr:clientData/>
  </xdr:twoCellAnchor>
  <mc:AlternateContent xmlns:mc="http://schemas.openxmlformats.org/markup-compatibility/2006">
    <mc:Choice xmlns:a14="http://schemas.microsoft.com/office/drawing/2010/main" Requires="a14">
      <xdr:twoCellAnchor editAs="absolute">
        <xdr:from>
          <xdr:col>6</xdr:col>
          <xdr:colOff>88460</xdr:colOff>
          <xdr:row>4</xdr:row>
          <xdr:rowOff>167049</xdr:rowOff>
        </xdr:from>
        <xdr:to>
          <xdr:col>6</xdr:col>
          <xdr:colOff>353255</xdr:colOff>
          <xdr:row>15</xdr:row>
          <xdr:rowOff>174084</xdr:rowOff>
        </xdr:to>
        <xdr:grpSp>
          <xdr:nvGrpSpPr>
            <xdr:cNvPr id="11" name="Group 10">
              <a:extLst>
                <a:ext uri="{FF2B5EF4-FFF2-40B4-BE49-F238E27FC236}">
                  <a16:creationId xmlns:a16="http://schemas.microsoft.com/office/drawing/2014/main" id="{00000000-0008-0000-0C00-00000B000000}"/>
                </a:ext>
              </a:extLst>
            </xdr:cNvPr>
            <xdr:cNvGrpSpPr>
              <a:grpSpLocks noChangeAspect="1"/>
            </xdr:cNvGrpSpPr>
          </xdr:nvGrpSpPr>
          <xdr:grpSpPr>
            <a:xfrm>
              <a:off x="9997000" y="1533569"/>
              <a:ext cx="264795" cy="2187625"/>
              <a:chOff x="9135940" y="1519600"/>
              <a:chExt cx="238125" cy="2209216"/>
            </a:xfrm>
          </xdr:grpSpPr>
          <xdr:sp macro="" textlink="">
            <xdr:nvSpPr>
              <xdr:cNvPr id="6147" name="Check Box 3" hidden="1">
                <a:extLst>
                  <a:ext uri="{63B3BB69-23CF-44E3-9099-C40C66FF867C}">
                    <a14:compatExt spid="_x0000_s6147"/>
                  </a:ext>
                  <a:ext uri="{FF2B5EF4-FFF2-40B4-BE49-F238E27FC236}">
                    <a16:creationId xmlns:a16="http://schemas.microsoft.com/office/drawing/2014/main" id="{00000000-0008-0000-0C00-000003180000}"/>
                  </a:ext>
                </a:extLst>
              </xdr:cNvPr>
              <xdr:cNvSpPr/>
            </xdr:nvSpPr>
            <xdr:spPr bwMode="auto">
              <a:xfrm>
                <a:off x="9135940" y="1519600"/>
                <a:ext cx="238125" cy="20881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50" name="Check Box 6" hidden="1">
                <a:extLst>
                  <a:ext uri="{63B3BB69-23CF-44E3-9099-C40C66FF867C}">
                    <a14:compatExt spid="_x0000_s6150"/>
                  </a:ext>
                  <a:ext uri="{FF2B5EF4-FFF2-40B4-BE49-F238E27FC236}">
                    <a16:creationId xmlns:a16="http://schemas.microsoft.com/office/drawing/2014/main" id="{00000000-0008-0000-0C00-000006180000}"/>
                  </a:ext>
                </a:extLst>
              </xdr:cNvPr>
              <xdr:cNvSpPr/>
            </xdr:nvSpPr>
            <xdr:spPr bwMode="auto">
              <a:xfrm>
                <a:off x="9135940" y="1695450"/>
                <a:ext cx="238125" cy="20881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C00-000009180000}"/>
                  </a:ext>
                </a:extLst>
              </xdr:cNvPr>
              <xdr:cNvSpPr/>
            </xdr:nvSpPr>
            <xdr:spPr bwMode="auto">
              <a:xfrm>
                <a:off x="9135940" y="1951892"/>
                <a:ext cx="238125"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C00-00000C180000}"/>
                  </a:ext>
                </a:extLst>
              </xdr:cNvPr>
              <xdr:cNvSpPr/>
            </xdr:nvSpPr>
            <xdr:spPr bwMode="auto">
              <a:xfrm>
                <a:off x="9135940" y="2218592"/>
                <a:ext cx="238125" cy="22273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59" name="Check Box 15" hidden="1">
                <a:extLst>
                  <a:ext uri="{63B3BB69-23CF-44E3-9099-C40C66FF867C}">
                    <a14:compatExt spid="_x0000_s6159"/>
                  </a:ext>
                  <a:ext uri="{FF2B5EF4-FFF2-40B4-BE49-F238E27FC236}">
                    <a16:creationId xmlns:a16="http://schemas.microsoft.com/office/drawing/2014/main" id="{00000000-0008-0000-0C00-00000F180000}"/>
                  </a:ext>
                </a:extLst>
              </xdr:cNvPr>
              <xdr:cNvSpPr/>
            </xdr:nvSpPr>
            <xdr:spPr bwMode="auto">
              <a:xfrm>
                <a:off x="9135940" y="2422277"/>
                <a:ext cx="23812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62" name="Check Box 18" hidden="1">
                <a:extLst>
                  <a:ext uri="{63B3BB69-23CF-44E3-9099-C40C66FF867C}">
                    <a14:compatExt spid="_x0000_s6162"/>
                  </a:ext>
                  <a:ext uri="{FF2B5EF4-FFF2-40B4-BE49-F238E27FC236}">
                    <a16:creationId xmlns:a16="http://schemas.microsoft.com/office/drawing/2014/main" id="{00000000-0008-0000-0C00-000012180000}"/>
                  </a:ext>
                </a:extLst>
              </xdr:cNvPr>
              <xdr:cNvSpPr/>
            </xdr:nvSpPr>
            <xdr:spPr bwMode="auto">
              <a:xfrm>
                <a:off x="9135940" y="2765181"/>
                <a:ext cx="238125" cy="21834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0C00-000015180000}"/>
                  </a:ext>
                </a:extLst>
              </xdr:cNvPr>
              <xdr:cNvSpPr/>
            </xdr:nvSpPr>
            <xdr:spPr bwMode="auto">
              <a:xfrm>
                <a:off x="9135940" y="2941027"/>
                <a:ext cx="238125" cy="21834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68" name="Check Box 24" hidden="1">
                <a:extLst>
                  <a:ext uri="{63B3BB69-23CF-44E3-9099-C40C66FF867C}">
                    <a14:compatExt spid="_x0000_s6168"/>
                  </a:ext>
                  <a:ext uri="{FF2B5EF4-FFF2-40B4-BE49-F238E27FC236}">
                    <a16:creationId xmlns:a16="http://schemas.microsoft.com/office/drawing/2014/main" id="{00000000-0008-0000-0C00-000018180000}"/>
                  </a:ext>
                </a:extLst>
              </xdr:cNvPr>
              <xdr:cNvSpPr/>
            </xdr:nvSpPr>
            <xdr:spPr bwMode="auto">
              <a:xfrm>
                <a:off x="9135940" y="3307959"/>
                <a:ext cx="238125" cy="21834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71" name="Check Box 27" hidden="1">
                <a:extLst>
                  <a:ext uri="{63B3BB69-23CF-44E3-9099-C40C66FF867C}">
                    <a14:compatExt spid="_x0000_s6171"/>
                  </a:ext>
                  <a:ext uri="{FF2B5EF4-FFF2-40B4-BE49-F238E27FC236}">
                    <a16:creationId xmlns:a16="http://schemas.microsoft.com/office/drawing/2014/main" id="{00000000-0008-0000-0C00-00001B180000}"/>
                  </a:ext>
                </a:extLst>
              </xdr:cNvPr>
              <xdr:cNvSpPr/>
            </xdr:nvSpPr>
            <xdr:spPr bwMode="auto">
              <a:xfrm>
                <a:off x="9145465" y="3510475"/>
                <a:ext cx="228600" cy="21834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137258</xdr:colOff>
          <xdr:row>4</xdr:row>
          <xdr:rowOff>168871</xdr:rowOff>
        </xdr:from>
        <xdr:to>
          <xdr:col>11</xdr:col>
          <xdr:colOff>240128</xdr:colOff>
          <xdr:row>25</xdr:row>
          <xdr:rowOff>208930</xdr:rowOff>
        </xdr:to>
        <xdr:grpSp>
          <xdr:nvGrpSpPr>
            <xdr:cNvPr id="16" name="Group 15">
              <a:extLst>
                <a:ext uri="{FF2B5EF4-FFF2-40B4-BE49-F238E27FC236}">
                  <a16:creationId xmlns:a16="http://schemas.microsoft.com/office/drawing/2014/main" id="{00000000-0008-0000-0C00-000010000000}"/>
                </a:ext>
              </a:extLst>
            </xdr:cNvPr>
            <xdr:cNvGrpSpPr/>
          </xdr:nvGrpSpPr>
          <xdr:grpSpPr>
            <a:xfrm>
              <a:off x="11991438" y="1536661"/>
              <a:ext cx="283210" cy="4299639"/>
              <a:chOff x="10944958" y="1500552"/>
              <a:chExt cx="266700" cy="4319955"/>
            </a:xfrm>
          </xdr:grpSpPr>
          <xdr:sp macro="" textlink="">
            <xdr:nvSpPr>
              <xdr:cNvPr id="6145" name="Check Box 1" hidden="1">
                <a:extLst>
                  <a:ext uri="{63B3BB69-23CF-44E3-9099-C40C66FF867C}">
                    <a14:compatExt spid="_x0000_s6145"/>
                  </a:ext>
                  <a:ext uri="{FF2B5EF4-FFF2-40B4-BE49-F238E27FC236}">
                    <a16:creationId xmlns:a16="http://schemas.microsoft.com/office/drawing/2014/main" id="{00000000-0008-0000-0C00-000001180000}"/>
                  </a:ext>
                </a:extLst>
              </xdr:cNvPr>
              <xdr:cNvSpPr/>
            </xdr:nvSpPr>
            <xdr:spPr bwMode="auto">
              <a:xfrm>
                <a:off x="10944958" y="1500552"/>
                <a:ext cx="247650" cy="21834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C00-000004180000}"/>
                  </a:ext>
                </a:extLst>
              </xdr:cNvPr>
              <xdr:cNvSpPr/>
            </xdr:nvSpPr>
            <xdr:spPr bwMode="auto">
              <a:xfrm>
                <a:off x="10944958" y="1676400"/>
                <a:ext cx="247650" cy="21834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C00-000007180000}"/>
                  </a:ext>
                </a:extLst>
              </xdr:cNvPr>
              <xdr:cNvSpPr/>
            </xdr:nvSpPr>
            <xdr:spPr bwMode="auto">
              <a:xfrm>
                <a:off x="10944958" y="1932842"/>
                <a:ext cx="247650"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C00-00000A180000}"/>
                  </a:ext>
                </a:extLst>
              </xdr:cNvPr>
              <xdr:cNvSpPr/>
            </xdr:nvSpPr>
            <xdr:spPr bwMode="auto">
              <a:xfrm>
                <a:off x="10944958" y="2199542"/>
                <a:ext cx="247650" cy="22273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C00-00000D180000}"/>
                  </a:ext>
                </a:extLst>
              </xdr:cNvPr>
              <xdr:cNvSpPr/>
            </xdr:nvSpPr>
            <xdr:spPr bwMode="auto">
              <a:xfrm>
                <a:off x="10944958" y="2403231"/>
                <a:ext cx="247650"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60" name="Check Box 16" hidden="1">
                <a:extLst>
                  <a:ext uri="{63B3BB69-23CF-44E3-9099-C40C66FF867C}">
                    <a14:compatExt spid="_x0000_s6160"/>
                  </a:ext>
                  <a:ext uri="{FF2B5EF4-FFF2-40B4-BE49-F238E27FC236}">
                    <a16:creationId xmlns:a16="http://schemas.microsoft.com/office/drawing/2014/main" id="{00000000-0008-0000-0C00-000010180000}"/>
                  </a:ext>
                </a:extLst>
              </xdr:cNvPr>
              <xdr:cNvSpPr/>
            </xdr:nvSpPr>
            <xdr:spPr bwMode="auto">
              <a:xfrm>
                <a:off x="10944958" y="2755656"/>
                <a:ext cx="247650" cy="20881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63" name="Check Box 19" hidden="1">
                <a:extLst>
                  <a:ext uri="{63B3BB69-23CF-44E3-9099-C40C66FF867C}">
                    <a14:compatExt spid="_x0000_s6163"/>
                  </a:ext>
                  <a:ext uri="{FF2B5EF4-FFF2-40B4-BE49-F238E27FC236}">
                    <a16:creationId xmlns:a16="http://schemas.microsoft.com/office/drawing/2014/main" id="{00000000-0008-0000-0C00-000013180000}"/>
                  </a:ext>
                </a:extLst>
              </xdr:cNvPr>
              <xdr:cNvSpPr/>
            </xdr:nvSpPr>
            <xdr:spPr bwMode="auto">
              <a:xfrm>
                <a:off x="10952578" y="2954362"/>
                <a:ext cx="247650" cy="20881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66" name="Check Box 22" hidden="1">
                <a:extLst>
                  <a:ext uri="{63B3BB69-23CF-44E3-9099-C40C66FF867C}">
                    <a14:compatExt spid="_x0000_s6166"/>
                  </a:ext>
                  <a:ext uri="{FF2B5EF4-FFF2-40B4-BE49-F238E27FC236}">
                    <a16:creationId xmlns:a16="http://schemas.microsoft.com/office/drawing/2014/main" id="{00000000-0008-0000-0C00-000016180000}"/>
                  </a:ext>
                </a:extLst>
              </xdr:cNvPr>
              <xdr:cNvSpPr/>
            </xdr:nvSpPr>
            <xdr:spPr bwMode="auto">
              <a:xfrm>
                <a:off x="10954483" y="3298434"/>
                <a:ext cx="247650" cy="21834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69" name="Check Box 25" hidden="1">
                <a:extLst>
                  <a:ext uri="{63B3BB69-23CF-44E3-9099-C40C66FF867C}">
                    <a14:compatExt spid="_x0000_s6169"/>
                  </a:ext>
                  <a:ext uri="{FF2B5EF4-FFF2-40B4-BE49-F238E27FC236}">
                    <a16:creationId xmlns:a16="http://schemas.microsoft.com/office/drawing/2014/main" id="{00000000-0008-0000-0C00-000019180000}"/>
                  </a:ext>
                </a:extLst>
              </xdr:cNvPr>
              <xdr:cNvSpPr/>
            </xdr:nvSpPr>
            <xdr:spPr bwMode="auto">
              <a:xfrm>
                <a:off x="10954483" y="3487615"/>
                <a:ext cx="247650" cy="21834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72" name="Check Box 28" hidden="1">
                <a:extLst>
                  <a:ext uri="{63B3BB69-23CF-44E3-9099-C40C66FF867C}">
                    <a14:compatExt spid="_x0000_s6172"/>
                  </a:ext>
                  <a:ext uri="{FF2B5EF4-FFF2-40B4-BE49-F238E27FC236}">
                    <a16:creationId xmlns:a16="http://schemas.microsoft.com/office/drawing/2014/main" id="{00000000-0008-0000-0C00-00001C180000}"/>
                  </a:ext>
                </a:extLst>
              </xdr:cNvPr>
              <xdr:cNvSpPr/>
            </xdr:nvSpPr>
            <xdr:spPr bwMode="auto">
              <a:xfrm>
                <a:off x="10973533" y="3850737"/>
                <a:ext cx="238125" cy="21394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75" name="Check Box 31" hidden="1">
                <a:extLst>
                  <a:ext uri="{63B3BB69-23CF-44E3-9099-C40C66FF867C}">
                    <a14:compatExt spid="_x0000_s6175"/>
                  </a:ext>
                  <a:ext uri="{FF2B5EF4-FFF2-40B4-BE49-F238E27FC236}">
                    <a16:creationId xmlns:a16="http://schemas.microsoft.com/office/drawing/2014/main" id="{00000000-0008-0000-0C00-00001F180000}"/>
                  </a:ext>
                </a:extLst>
              </xdr:cNvPr>
              <xdr:cNvSpPr/>
            </xdr:nvSpPr>
            <xdr:spPr bwMode="auto">
              <a:xfrm>
                <a:off x="10973533" y="4014568"/>
                <a:ext cx="238125" cy="21834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78" name="Check Box 34" hidden="1">
                <a:extLst>
                  <a:ext uri="{63B3BB69-23CF-44E3-9099-C40C66FF867C}">
                    <a14:compatExt spid="_x0000_s6178"/>
                  </a:ext>
                  <a:ext uri="{FF2B5EF4-FFF2-40B4-BE49-F238E27FC236}">
                    <a16:creationId xmlns:a16="http://schemas.microsoft.com/office/drawing/2014/main" id="{00000000-0008-0000-0C00-000022180000}"/>
                  </a:ext>
                </a:extLst>
              </xdr:cNvPr>
              <xdr:cNvSpPr/>
            </xdr:nvSpPr>
            <xdr:spPr bwMode="auto">
              <a:xfrm>
                <a:off x="10973533" y="4209464"/>
                <a:ext cx="238125" cy="20881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81" name="Check Box 37" hidden="1">
                <a:extLst>
                  <a:ext uri="{63B3BB69-23CF-44E3-9099-C40C66FF867C}">
                    <a14:compatExt spid="_x0000_s6181"/>
                  </a:ext>
                  <a:ext uri="{FF2B5EF4-FFF2-40B4-BE49-F238E27FC236}">
                    <a16:creationId xmlns:a16="http://schemas.microsoft.com/office/drawing/2014/main" id="{00000000-0008-0000-0C00-000025180000}"/>
                  </a:ext>
                </a:extLst>
              </xdr:cNvPr>
              <xdr:cNvSpPr/>
            </xdr:nvSpPr>
            <xdr:spPr bwMode="auto">
              <a:xfrm>
                <a:off x="10973533" y="4385310"/>
                <a:ext cx="238125"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84" name="Check Box 40" hidden="1">
                <a:extLst>
                  <a:ext uri="{63B3BB69-23CF-44E3-9099-C40C66FF867C}">
                    <a14:compatExt spid="_x0000_s6184"/>
                  </a:ext>
                  <a:ext uri="{FF2B5EF4-FFF2-40B4-BE49-F238E27FC236}">
                    <a16:creationId xmlns:a16="http://schemas.microsoft.com/office/drawing/2014/main" id="{00000000-0008-0000-0C00-000028180000}"/>
                  </a:ext>
                </a:extLst>
              </xdr:cNvPr>
              <xdr:cNvSpPr/>
            </xdr:nvSpPr>
            <xdr:spPr bwMode="auto">
              <a:xfrm>
                <a:off x="10973533" y="4580207"/>
                <a:ext cx="238125" cy="2388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87" name="Check Box 43" hidden="1">
                <a:extLst>
                  <a:ext uri="{63B3BB69-23CF-44E3-9099-C40C66FF867C}">
                    <a14:compatExt spid="_x0000_s6187"/>
                  </a:ext>
                  <a:ext uri="{FF2B5EF4-FFF2-40B4-BE49-F238E27FC236}">
                    <a16:creationId xmlns:a16="http://schemas.microsoft.com/office/drawing/2014/main" id="{00000000-0008-0000-0C00-00002B180000}"/>
                  </a:ext>
                </a:extLst>
              </xdr:cNvPr>
              <xdr:cNvSpPr/>
            </xdr:nvSpPr>
            <xdr:spPr bwMode="auto">
              <a:xfrm>
                <a:off x="10973533" y="4800015"/>
                <a:ext cx="238125" cy="23372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90" name="Check Box 46" hidden="1">
                <a:extLst>
                  <a:ext uri="{63B3BB69-23CF-44E3-9099-C40C66FF867C}">
                    <a14:compatExt spid="_x0000_s6190"/>
                  </a:ext>
                  <a:ext uri="{FF2B5EF4-FFF2-40B4-BE49-F238E27FC236}">
                    <a16:creationId xmlns:a16="http://schemas.microsoft.com/office/drawing/2014/main" id="{00000000-0008-0000-0C00-00002E180000}"/>
                  </a:ext>
                </a:extLst>
              </xdr:cNvPr>
              <xdr:cNvSpPr/>
            </xdr:nvSpPr>
            <xdr:spPr bwMode="auto">
              <a:xfrm>
                <a:off x="10973533" y="4990514"/>
                <a:ext cx="238125" cy="2388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93" name="Check Box 49" hidden="1">
                <a:extLst>
                  <a:ext uri="{63B3BB69-23CF-44E3-9099-C40C66FF867C}">
                    <a14:compatExt spid="_x0000_s6193"/>
                  </a:ext>
                  <a:ext uri="{FF2B5EF4-FFF2-40B4-BE49-F238E27FC236}">
                    <a16:creationId xmlns:a16="http://schemas.microsoft.com/office/drawing/2014/main" id="{00000000-0008-0000-0C00-000031180000}"/>
                  </a:ext>
                </a:extLst>
              </xdr:cNvPr>
              <xdr:cNvSpPr/>
            </xdr:nvSpPr>
            <xdr:spPr bwMode="auto">
              <a:xfrm>
                <a:off x="10973533" y="5254137"/>
                <a:ext cx="238125"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96" name="Check Box 52" hidden="1">
                <a:extLst>
                  <a:ext uri="{63B3BB69-23CF-44E3-9099-C40C66FF867C}">
                    <a14:compatExt spid="_x0000_s6196"/>
                  </a:ext>
                  <a:ext uri="{FF2B5EF4-FFF2-40B4-BE49-F238E27FC236}">
                    <a16:creationId xmlns:a16="http://schemas.microsoft.com/office/drawing/2014/main" id="{00000000-0008-0000-0C00-000034180000}"/>
                  </a:ext>
                </a:extLst>
              </xdr:cNvPr>
              <xdr:cNvSpPr/>
            </xdr:nvSpPr>
            <xdr:spPr bwMode="auto">
              <a:xfrm>
                <a:off x="10973533" y="5591907"/>
                <a:ext cx="238125"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107510</xdr:colOff>
          <xdr:row>16</xdr:row>
          <xdr:rowOff>124553</xdr:rowOff>
        </xdr:from>
        <xdr:to>
          <xdr:col>6</xdr:col>
          <xdr:colOff>381830</xdr:colOff>
          <xdr:row>25</xdr:row>
          <xdr:rowOff>235673</xdr:rowOff>
        </xdr:to>
        <xdr:grpSp>
          <xdr:nvGrpSpPr>
            <xdr:cNvPr id="12" name="Group 11">
              <a:extLst>
                <a:ext uri="{FF2B5EF4-FFF2-40B4-BE49-F238E27FC236}">
                  <a16:creationId xmlns:a16="http://schemas.microsoft.com/office/drawing/2014/main" id="{00000000-0008-0000-0C00-00000C000000}"/>
                </a:ext>
              </a:extLst>
            </xdr:cNvPr>
            <xdr:cNvGrpSpPr/>
          </xdr:nvGrpSpPr>
          <xdr:grpSpPr>
            <a:xfrm>
              <a:off x="10012240" y="3853273"/>
              <a:ext cx="275590" cy="2007230"/>
              <a:chOff x="9154990" y="3820277"/>
              <a:chExt cx="247650" cy="2009770"/>
            </a:xfrm>
          </xdr:grpSpPr>
          <xdr:sp macro="" textlink="">
            <xdr:nvSpPr>
              <xdr:cNvPr id="6174" name="Check Box 30" hidden="1">
                <a:extLst>
                  <a:ext uri="{63B3BB69-23CF-44E3-9099-C40C66FF867C}">
                    <a14:compatExt spid="_x0000_s6174"/>
                  </a:ext>
                  <a:ext uri="{FF2B5EF4-FFF2-40B4-BE49-F238E27FC236}">
                    <a16:creationId xmlns:a16="http://schemas.microsoft.com/office/drawing/2014/main" id="{00000000-0008-0000-0C00-00001E180000}"/>
                  </a:ext>
                </a:extLst>
              </xdr:cNvPr>
              <xdr:cNvSpPr/>
            </xdr:nvSpPr>
            <xdr:spPr bwMode="auto">
              <a:xfrm>
                <a:off x="9154990" y="3820277"/>
                <a:ext cx="247650" cy="22347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77" name="Check Box 33" hidden="1">
                <a:extLst>
                  <a:ext uri="{63B3BB69-23CF-44E3-9099-C40C66FF867C}">
                    <a14:compatExt spid="_x0000_s6177"/>
                  </a:ext>
                  <a:ext uri="{FF2B5EF4-FFF2-40B4-BE49-F238E27FC236}">
                    <a16:creationId xmlns:a16="http://schemas.microsoft.com/office/drawing/2014/main" id="{00000000-0008-0000-0C00-000021180000}"/>
                  </a:ext>
                </a:extLst>
              </xdr:cNvPr>
              <xdr:cNvSpPr/>
            </xdr:nvSpPr>
            <xdr:spPr bwMode="auto">
              <a:xfrm>
                <a:off x="9154990" y="4010758"/>
                <a:ext cx="247650" cy="20881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80" name="Check Box 36" hidden="1">
                <a:extLst>
                  <a:ext uri="{63B3BB69-23CF-44E3-9099-C40C66FF867C}">
                    <a14:compatExt spid="_x0000_s6180"/>
                  </a:ext>
                  <a:ext uri="{FF2B5EF4-FFF2-40B4-BE49-F238E27FC236}">
                    <a16:creationId xmlns:a16="http://schemas.microsoft.com/office/drawing/2014/main" id="{00000000-0008-0000-0C00-000024180000}"/>
                  </a:ext>
                </a:extLst>
              </xdr:cNvPr>
              <xdr:cNvSpPr/>
            </xdr:nvSpPr>
            <xdr:spPr bwMode="auto">
              <a:xfrm>
                <a:off x="9154990" y="4186604"/>
                <a:ext cx="247650" cy="21834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83" name="Check Box 39" hidden="1">
                <a:extLst>
                  <a:ext uri="{63B3BB69-23CF-44E3-9099-C40C66FF867C}">
                    <a14:compatExt spid="_x0000_s6183"/>
                  </a:ext>
                  <a:ext uri="{FF2B5EF4-FFF2-40B4-BE49-F238E27FC236}">
                    <a16:creationId xmlns:a16="http://schemas.microsoft.com/office/drawing/2014/main" id="{00000000-0008-0000-0C00-000027180000}"/>
                  </a:ext>
                </a:extLst>
              </xdr:cNvPr>
              <xdr:cNvSpPr/>
            </xdr:nvSpPr>
            <xdr:spPr bwMode="auto">
              <a:xfrm>
                <a:off x="9154990" y="4362450"/>
                <a:ext cx="247650"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86" name="Check Box 42" hidden="1">
                <a:extLst>
                  <a:ext uri="{63B3BB69-23CF-44E3-9099-C40C66FF867C}">
                    <a14:compatExt spid="_x0000_s6186"/>
                  </a:ext>
                  <a:ext uri="{FF2B5EF4-FFF2-40B4-BE49-F238E27FC236}">
                    <a16:creationId xmlns:a16="http://schemas.microsoft.com/office/drawing/2014/main" id="{00000000-0008-0000-0C00-00002A180000}"/>
                  </a:ext>
                </a:extLst>
              </xdr:cNvPr>
              <xdr:cNvSpPr/>
            </xdr:nvSpPr>
            <xdr:spPr bwMode="auto">
              <a:xfrm>
                <a:off x="9154990" y="4581525"/>
                <a:ext cx="247650" cy="23372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89" name="Check Box 45" hidden="1">
                <a:extLst>
                  <a:ext uri="{63B3BB69-23CF-44E3-9099-C40C66FF867C}">
                    <a14:compatExt spid="_x0000_s6189"/>
                  </a:ext>
                  <a:ext uri="{FF2B5EF4-FFF2-40B4-BE49-F238E27FC236}">
                    <a16:creationId xmlns:a16="http://schemas.microsoft.com/office/drawing/2014/main" id="{00000000-0008-0000-0C00-00002D180000}"/>
                  </a:ext>
                </a:extLst>
              </xdr:cNvPr>
              <xdr:cNvSpPr/>
            </xdr:nvSpPr>
            <xdr:spPr bwMode="auto">
              <a:xfrm>
                <a:off x="9154990" y="4796204"/>
                <a:ext cx="247650" cy="2242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92" name="Check Box 48" hidden="1">
                <a:extLst>
                  <a:ext uri="{63B3BB69-23CF-44E3-9099-C40C66FF867C}">
                    <a14:compatExt spid="_x0000_s6192"/>
                  </a:ext>
                  <a:ext uri="{FF2B5EF4-FFF2-40B4-BE49-F238E27FC236}">
                    <a16:creationId xmlns:a16="http://schemas.microsoft.com/office/drawing/2014/main" id="{00000000-0008-0000-0C00-000030180000}"/>
                  </a:ext>
                </a:extLst>
              </xdr:cNvPr>
              <xdr:cNvSpPr/>
            </xdr:nvSpPr>
            <xdr:spPr bwMode="auto">
              <a:xfrm>
                <a:off x="9154990" y="4958129"/>
                <a:ext cx="247650" cy="24838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95" name="Check Box 51" hidden="1">
                <a:extLst>
                  <a:ext uri="{63B3BB69-23CF-44E3-9099-C40C66FF867C}">
                    <a14:compatExt spid="_x0000_s6195"/>
                  </a:ext>
                  <a:ext uri="{FF2B5EF4-FFF2-40B4-BE49-F238E27FC236}">
                    <a16:creationId xmlns:a16="http://schemas.microsoft.com/office/drawing/2014/main" id="{00000000-0008-0000-0C00-000033180000}"/>
                  </a:ext>
                </a:extLst>
              </xdr:cNvPr>
              <xdr:cNvSpPr/>
            </xdr:nvSpPr>
            <xdr:spPr bwMode="auto">
              <a:xfrm>
                <a:off x="9154990" y="5263662"/>
                <a:ext cx="247650"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98" name="Check Box 54" hidden="1">
                <a:extLst>
                  <a:ext uri="{63B3BB69-23CF-44E3-9099-C40C66FF867C}">
                    <a14:compatExt spid="_x0000_s6198"/>
                  </a:ext>
                  <a:ext uri="{FF2B5EF4-FFF2-40B4-BE49-F238E27FC236}">
                    <a16:creationId xmlns:a16="http://schemas.microsoft.com/office/drawing/2014/main" id="{00000000-0008-0000-0C00-000036180000}"/>
                  </a:ext>
                </a:extLst>
              </xdr:cNvPr>
              <xdr:cNvSpPr/>
            </xdr:nvSpPr>
            <xdr:spPr bwMode="auto">
              <a:xfrm>
                <a:off x="9154990" y="5601447"/>
                <a:ext cx="247650"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108683</xdr:colOff>
          <xdr:row>27</xdr:row>
          <xdr:rowOff>41271</xdr:rowOff>
        </xdr:from>
        <xdr:to>
          <xdr:col>11</xdr:col>
          <xdr:colOff>221078</xdr:colOff>
          <xdr:row>42</xdr:row>
          <xdr:rowOff>67490</xdr:rowOff>
        </xdr:to>
        <xdr:grpSp>
          <xdr:nvGrpSpPr>
            <xdr:cNvPr id="17" name="Group 16">
              <a:extLst>
                <a:ext uri="{FF2B5EF4-FFF2-40B4-BE49-F238E27FC236}">
                  <a16:creationId xmlns:a16="http://schemas.microsoft.com/office/drawing/2014/main" id="{00000000-0008-0000-0C00-000011000000}"/>
                </a:ext>
              </a:extLst>
            </xdr:cNvPr>
            <xdr:cNvGrpSpPr/>
          </xdr:nvGrpSpPr>
          <xdr:grpSpPr>
            <a:xfrm>
              <a:off x="11964133" y="6205851"/>
              <a:ext cx="287655" cy="3156769"/>
              <a:chOff x="10916383" y="6181723"/>
              <a:chExt cx="276225" cy="3230418"/>
            </a:xfrm>
          </xdr:grpSpPr>
          <xdr:sp macro="" textlink="">
            <xdr:nvSpPr>
              <xdr:cNvPr id="6199" name="Check Box 55" hidden="1">
                <a:extLst>
                  <a:ext uri="{63B3BB69-23CF-44E3-9099-C40C66FF867C}">
                    <a14:compatExt spid="_x0000_s6199"/>
                  </a:ext>
                  <a:ext uri="{FF2B5EF4-FFF2-40B4-BE49-F238E27FC236}">
                    <a16:creationId xmlns:a16="http://schemas.microsoft.com/office/drawing/2014/main" id="{00000000-0008-0000-0C00-000037180000}"/>
                  </a:ext>
                </a:extLst>
              </xdr:cNvPr>
              <xdr:cNvSpPr/>
            </xdr:nvSpPr>
            <xdr:spPr bwMode="auto">
              <a:xfrm>
                <a:off x="10935433" y="6181723"/>
                <a:ext cx="238125" cy="23153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02" name="Check Box 58" hidden="1">
                <a:extLst>
                  <a:ext uri="{63B3BB69-23CF-44E3-9099-C40C66FF867C}">
                    <a14:compatExt spid="_x0000_s6202"/>
                  </a:ext>
                  <a:ext uri="{FF2B5EF4-FFF2-40B4-BE49-F238E27FC236}">
                    <a16:creationId xmlns:a16="http://schemas.microsoft.com/office/drawing/2014/main" id="{00000000-0008-0000-0C00-00003A180000}"/>
                  </a:ext>
                </a:extLst>
              </xdr:cNvPr>
              <xdr:cNvSpPr/>
            </xdr:nvSpPr>
            <xdr:spPr bwMode="auto">
              <a:xfrm>
                <a:off x="10935433" y="6372225"/>
                <a:ext cx="238125" cy="22640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05" name="Check Box 61" hidden="1">
                <a:extLst>
                  <a:ext uri="{63B3BB69-23CF-44E3-9099-C40C66FF867C}">
                    <a14:compatExt spid="_x0000_s6205"/>
                  </a:ext>
                  <a:ext uri="{FF2B5EF4-FFF2-40B4-BE49-F238E27FC236}">
                    <a16:creationId xmlns:a16="http://schemas.microsoft.com/office/drawing/2014/main" id="{00000000-0008-0000-0C00-00003D180000}"/>
                  </a:ext>
                </a:extLst>
              </xdr:cNvPr>
              <xdr:cNvSpPr/>
            </xdr:nvSpPr>
            <xdr:spPr bwMode="auto">
              <a:xfrm>
                <a:off x="10935433" y="6556131"/>
                <a:ext cx="238125" cy="21834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08" name="Check Box 64" hidden="1">
                <a:extLst>
                  <a:ext uri="{63B3BB69-23CF-44E3-9099-C40C66FF867C}">
                    <a14:compatExt spid="_x0000_s6208"/>
                  </a:ext>
                  <a:ext uri="{FF2B5EF4-FFF2-40B4-BE49-F238E27FC236}">
                    <a16:creationId xmlns:a16="http://schemas.microsoft.com/office/drawing/2014/main" id="{00000000-0008-0000-0C00-000040180000}"/>
                  </a:ext>
                </a:extLst>
              </xdr:cNvPr>
              <xdr:cNvSpPr/>
            </xdr:nvSpPr>
            <xdr:spPr bwMode="auto">
              <a:xfrm>
                <a:off x="10944958" y="6907823"/>
                <a:ext cx="238125" cy="22786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11" name="Check Box 67" hidden="1">
                <a:extLst>
                  <a:ext uri="{63B3BB69-23CF-44E3-9099-C40C66FF867C}">
                    <a14:compatExt spid="_x0000_s6211"/>
                  </a:ext>
                  <a:ext uri="{FF2B5EF4-FFF2-40B4-BE49-F238E27FC236}">
                    <a16:creationId xmlns:a16="http://schemas.microsoft.com/office/drawing/2014/main" id="{00000000-0008-0000-0C00-000043180000}"/>
                  </a:ext>
                </a:extLst>
              </xdr:cNvPr>
              <xdr:cNvSpPr/>
            </xdr:nvSpPr>
            <xdr:spPr bwMode="auto">
              <a:xfrm>
                <a:off x="10944958" y="7093194"/>
                <a:ext cx="238125" cy="2278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14" name="Check Box 70" hidden="1">
                <a:extLst>
                  <a:ext uri="{63B3BB69-23CF-44E3-9099-C40C66FF867C}">
                    <a14:compatExt spid="_x0000_s6214"/>
                  </a:ext>
                  <a:ext uri="{FF2B5EF4-FFF2-40B4-BE49-F238E27FC236}">
                    <a16:creationId xmlns:a16="http://schemas.microsoft.com/office/drawing/2014/main" id="{00000000-0008-0000-0C00-000046180000}"/>
                  </a:ext>
                </a:extLst>
              </xdr:cNvPr>
              <xdr:cNvSpPr/>
            </xdr:nvSpPr>
            <xdr:spPr bwMode="auto">
              <a:xfrm>
                <a:off x="10944958" y="7259515"/>
                <a:ext cx="238125" cy="2278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17" name="Check Box 73" hidden="1">
                <a:extLst>
                  <a:ext uri="{63B3BB69-23CF-44E3-9099-C40C66FF867C}">
                    <a14:compatExt spid="_x0000_s6217"/>
                  </a:ext>
                  <a:ext uri="{FF2B5EF4-FFF2-40B4-BE49-F238E27FC236}">
                    <a16:creationId xmlns:a16="http://schemas.microsoft.com/office/drawing/2014/main" id="{00000000-0008-0000-0C00-000049180000}"/>
                  </a:ext>
                </a:extLst>
              </xdr:cNvPr>
              <xdr:cNvSpPr/>
            </xdr:nvSpPr>
            <xdr:spPr bwMode="auto">
              <a:xfrm>
                <a:off x="10944958" y="7611208"/>
                <a:ext cx="247650" cy="22786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20" name="Check Box 76" hidden="1">
                <a:extLst>
                  <a:ext uri="{63B3BB69-23CF-44E3-9099-C40C66FF867C}">
                    <a14:compatExt spid="_x0000_s6220"/>
                  </a:ext>
                  <a:ext uri="{FF2B5EF4-FFF2-40B4-BE49-F238E27FC236}">
                    <a16:creationId xmlns:a16="http://schemas.microsoft.com/office/drawing/2014/main" id="{00000000-0008-0000-0C00-00004C180000}"/>
                  </a:ext>
                </a:extLst>
              </xdr:cNvPr>
              <xdr:cNvSpPr/>
            </xdr:nvSpPr>
            <xdr:spPr bwMode="auto">
              <a:xfrm>
                <a:off x="10944958" y="7787054"/>
                <a:ext cx="247650" cy="22786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23" name="Check Box 79" hidden="1">
                <a:extLst>
                  <a:ext uri="{63B3BB69-23CF-44E3-9099-C40C66FF867C}">
                    <a14:compatExt spid="_x0000_s6223"/>
                  </a:ext>
                  <a:ext uri="{FF2B5EF4-FFF2-40B4-BE49-F238E27FC236}">
                    <a16:creationId xmlns:a16="http://schemas.microsoft.com/office/drawing/2014/main" id="{00000000-0008-0000-0C00-00004F180000}"/>
                  </a:ext>
                </a:extLst>
              </xdr:cNvPr>
              <xdr:cNvSpPr/>
            </xdr:nvSpPr>
            <xdr:spPr bwMode="auto">
              <a:xfrm>
                <a:off x="10944958" y="8043496"/>
                <a:ext cx="247650"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C00-000052180000}"/>
                  </a:ext>
                </a:extLst>
              </xdr:cNvPr>
              <xdr:cNvSpPr/>
            </xdr:nvSpPr>
            <xdr:spPr bwMode="auto">
              <a:xfrm>
                <a:off x="10916383" y="8575431"/>
                <a:ext cx="247650"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29" name="Check Box 85" hidden="1">
                <a:extLst>
                  <a:ext uri="{63B3BB69-23CF-44E3-9099-C40C66FF867C}">
                    <a14:compatExt spid="_x0000_s6229"/>
                  </a:ext>
                  <a:ext uri="{FF2B5EF4-FFF2-40B4-BE49-F238E27FC236}">
                    <a16:creationId xmlns:a16="http://schemas.microsoft.com/office/drawing/2014/main" id="{00000000-0008-0000-0C00-000055180000}"/>
                  </a:ext>
                </a:extLst>
              </xdr:cNvPr>
              <xdr:cNvSpPr/>
            </xdr:nvSpPr>
            <xdr:spPr bwMode="auto">
              <a:xfrm>
                <a:off x="10916383" y="8823082"/>
                <a:ext cx="247650" cy="23739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C00-000058180000}"/>
                  </a:ext>
                </a:extLst>
              </xdr:cNvPr>
              <xdr:cNvSpPr/>
            </xdr:nvSpPr>
            <xdr:spPr bwMode="auto">
              <a:xfrm>
                <a:off x="10916383" y="9017977"/>
                <a:ext cx="247650" cy="22786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35" name="Check Box 91" hidden="1">
                <a:extLst>
                  <a:ext uri="{63B3BB69-23CF-44E3-9099-C40C66FF867C}">
                    <a14:compatExt spid="_x0000_s6235"/>
                  </a:ext>
                  <a:ext uri="{FF2B5EF4-FFF2-40B4-BE49-F238E27FC236}">
                    <a16:creationId xmlns:a16="http://schemas.microsoft.com/office/drawing/2014/main" id="{00000000-0008-0000-0C00-00005B180000}"/>
                  </a:ext>
                </a:extLst>
              </xdr:cNvPr>
              <xdr:cNvSpPr/>
            </xdr:nvSpPr>
            <xdr:spPr bwMode="auto">
              <a:xfrm>
                <a:off x="10916383" y="9184274"/>
                <a:ext cx="247650" cy="22786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295658</xdr:colOff>
          <xdr:row>4</xdr:row>
          <xdr:rowOff>140051</xdr:rowOff>
        </xdr:from>
        <xdr:to>
          <xdr:col>6</xdr:col>
          <xdr:colOff>599939</xdr:colOff>
          <xdr:row>43</xdr:row>
          <xdr:rowOff>13149</xdr:rowOff>
        </xdr:to>
        <xdr:grpSp>
          <xdr:nvGrpSpPr>
            <xdr:cNvPr id="15" name="Group 14">
              <a:extLst>
                <a:ext uri="{FF2B5EF4-FFF2-40B4-BE49-F238E27FC236}">
                  <a16:creationId xmlns:a16="http://schemas.microsoft.com/office/drawing/2014/main" id="{00000000-0008-0000-0C00-00000F000000}"/>
                </a:ext>
              </a:extLst>
            </xdr:cNvPr>
            <xdr:cNvGrpSpPr/>
          </xdr:nvGrpSpPr>
          <xdr:grpSpPr>
            <a:xfrm>
              <a:off x="10200388" y="1501491"/>
              <a:ext cx="303011" cy="7985858"/>
              <a:chOff x="10233776" y="1527225"/>
              <a:chExt cx="273032" cy="7851854"/>
            </a:xfrm>
          </xdr:grpSpPr>
          <xdr:grpSp>
            <xdr:nvGrpSpPr>
              <xdr:cNvPr id="14" name="Group 13">
                <a:extLst>
                  <a:ext uri="{FF2B5EF4-FFF2-40B4-BE49-F238E27FC236}">
                    <a16:creationId xmlns:a16="http://schemas.microsoft.com/office/drawing/2014/main" id="{00000000-0008-0000-0C00-00000E000000}"/>
                  </a:ext>
                </a:extLst>
              </xdr:cNvPr>
              <xdr:cNvGrpSpPr/>
            </xdr:nvGrpSpPr>
            <xdr:grpSpPr>
              <a:xfrm>
                <a:off x="10244504" y="1527225"/>
                <a:ext cx="262304" cy="4319953"/>
                <a:chOff x="10244504" y="1519605"/>
                <a:chExt cx="262304" cy="4319953"/>
              </a:xfrm>
            </xdr:grpSpPr>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C00-000002180000}"/>
                    </a:ext>
                  </a:extLst>
                </xdr:cNvPr>
                <xdr:cNvSpPr/>
              </xdr:nvSpPr>
              <xdr:spPr bwMode="auto">
                <a:xfrm>
                  <a:off x="10244504" y="1519605"/>
                  <a:ext cx="228600" cy="21834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C00-000005180000}"/>
                    </a:ext>
                  </a:extLst>
                </xdr:cNvPr>
                <xdr:cNvSpPr/>
              </xdr:nvSpPr>
              <xdr:spPr bwMode="auto">
                <a:xfrm>
                  <a:off x="10244504" y="1695450"/>
                  <a:ext cx="228600" cy="21834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C00-000008180000}"/>
                    </a:ext>
                  </a:extLst>
                </xdr:cNvPr>
                <xdr:cNvSpPr/>
              </xdr:nvSpPr>
              <xdr:spPr bwMode="auto">
                <a:xfrm>
                  <a:off x="10244504" y="1961417"/>
                  <a:ext cx="2286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C00-00000B180000}"/>
                    </a:ext>
                  </a:extLst>
                </xdr:cNvPr>
                <xdr:cNvSpPr/>
              </xdr:nvSpPr>
              <xdr:spPr bwMode="auto">
                <a:xfrm>
                  <a:off x="10244504" y="2218592"/>
                  <a:ext cx="228600" cy="22273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58" name="Check Box 14" hidden="1">
                  <a:extLst>
                    <a:ext uri="{63B3BB69-23CF-44E3-9099-C40C66FF867C}">
                      <a14:compatExt spid="_x0000_s6158"/>
                    </a:ext>
                    <a:ext uri="{FF2B5EF4-FFF2-40B4-BE49-F238E27FC236}">
                      <a16:creationId xmlns:a16="http://schemas.microsoft.com/office/drawing/2014/main" id="{00000000-0008-0000-0C00-00000E180000}"/>
                    </a:ext>
                  </a:extLst>
                </xdr:cNvPr>
                <xdr:cNvSpPr/>
              </xdr:nvSpPr>
              <xdr:spPr bwMode="auto">
                <a:xfrm>
                  <a:off x="10244504" y="2422281"/>
                  <a:ext cx="228600"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61" name="Check Box 17" hidden="1">
                  <a:extLst>
                    <a:ext uri="{63B3BB69-23CF-44E3-9099-C40C66FF867C}">
                      <a14:compatExt spid="_x0000_s6161"/>
                    </a:ext>
                    <a:ext uri="{FF2B5EF4-FFF2-40B4-BE49-F238E27FC236}">
                      <a16:creationId xmlns:a16="http://schemas.microsoft.com/office/drawing/2014/main" id="{00000000-0008-0000-0C00-000011180000}"/>
                    </a:ext>
                  </a:extLst>
                </xdr:cNvPr>
                <xdr:cNvSpPr/>
              </xdr:nvSpPr>
              <xdr:spPr bwMode="auto">
                <a:xfrm>
                  <a:off x="10244504" y="2765181"/>
                  <a:ext cx="228600" cy="21834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64" name="Check Box 20" hidden="1">
                  <a:extLst>
                    <a:ext uri="{63B3BB69-23CF-44E3-9099-C40C66FF867C}">
                      <a14:compatExt spid="_x0000_s6164"/>
                    </a:ext>
                    <a:ext uri="{FF2B5EF4-FFF2-40B4-BE49-F238E27FC236}">
                      <a16:creationId xmlns:a16="http://schemas.microsoft.com/office/drawing/2014/main" id="{00000000-0008-0000-0C00-000014180000}"/>
                    </a:ext>
                  </a:extLst>
                </xdr:cNvPr>
                <xdr:cNvSpPr/>
              </xdr:nvSpPr>
              <xdr:spPr bwMode="auto">
                <a:xfrm>
                  <a:off x="10244504" y="2941027"/>
                  <a:ext cx="228600" cy="21834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67" name="Check Box 23" hidden="1">
                  <a:extLst>
                    <a:ext uri="{63B3BB69-23CF-44E3-9099-C40C66FF867C}">
                      <a14:compatExt spid="_x0000_s6167"/>
                    </a:ext>
                    <a:ext uri="{FF2B5EF4-FFF2-40B4-BE49-F238E27FC236}">
                      <a16:creationId xmlns:a16="http://schemas.microsoft.com/office/drawing/2014/main" id="{00000000-0008-0000-0C00-000017180000}"/>
                    </a:ext>
                  </a:extLst>
                </xdr:cNvPr>
                <xdr:cNvSpPr/>
              </xdr:nvSpPr>
              <xdr:spPr bwMode="auto">
                <a:xfrm>
                  <a:off x="10244504" y="3307959"/>
                  <a:ext cx="228600" cy="21834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70" name="Check Box 26" hidden="1">
                  <a:extLst>
                    <a:ext uri="{63B3BB69-23CF-44E3-9099-C40C66FF867C}">
                      <a14:compatExt spid="_x0000_s6170"/>
                    </a:ext>
                    <a:ext uri="{FF2B5EF4-FFF2-40B4-BE49-F238E27FC236}">
                      <a16:creationId xmlns:a16="http://schemas.microsoft.com/office/drawing/2014/main" id="{00000000-0008-0000-0C00-00001A180000}"/>
                    </a:ext>
                  </a:extLst>
                </xdr:cNvPr>
                <xdr:cNvSpPr/>
              </xdr:nvSpPr>
              <xdr:spPr bwMode="auto">
                <a:xfrm>
                  <a:off x="10244504" y="3468565"/>
                  <a:ext cx="228600" cy="20881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73" name="Check Box 29" hidden="1">
                  <a:extLst>
                    <a:ext uri="{63B3BB69-23CF-44E3-9099-C40C66FF867C}">
                      <a14:compatExt spid="_x0000_s6173"/>
                    </a:ext>
                    <a:ext uri="{FF2B5EF4-FFF2-40B4-BE49-F238E27FC236}">
                      <a16:creationId xmlns:a16="http://schemas.microsoft.com/office/drawing/2014/main" id="{00000000-0008-0000-0C00-00001D180000}"/>
                    </a:ext>
                  </a:extLst>
                </xdr:cNvPr>
                <xdr:cNvSpPr/>
              </xdr:nvSpPr>
              <xdr:spPr bwMode="auto">
                <a:xfrm>
                  <a:off x="10244504" y="3848833"/>
                  <a:ext cx="262304" cy="20442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76" name="Check Box 32" hidden="1">
                  <a:extLst>
                    <a:ext uri="{63B3BB69-23CF-44E3-9099-C40C66FF867C}">
                      <a14:compatExt spid="_x0000_s6176"/>
                    </a:ext>
                    <a:ext uri="{FF2B5EF4-FFF2-40B4-BE49-F238E27FC236}">
                      <a16:creationId xmlns:a16="http://schemas.microsoft.com/office/drawing/2014/main" id="{00000000-0008-0000-0C00-000020180000}"/>
                    </a:ext>
                  </a:extLst>
                </xdr:cNvPr>
                <xdr:cNvSpPr/>
              </xdr:nvSpPr>
              <xdr:spPr bwMode="auto">
                <a:xfrm>
                  <a:off x="10244504" y="4010758"/>
                  <a:ext cx="262304" cy="21834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79" name="Check Box 35" hidden="1">
                  <a:extLst>
                    <a:ext uri="{63B3BB69-23CF-44E3-9099-C40C66FF867C}">
                      <a14:compatExt spid="_x0000_s6179"/>
                    </a:ext>
                    <a:ext uri="{FF2B5EF4-FFF2-40B4-BE49-F238E27FC236}">
                      <a16:creationId xmlns:a16="http://schemas.microsoft.com/office/drawing/2014/main" id="{00000000-0008-0000-0C00-000023180000}"/>
                    </a:ext>
                  </a:extLst>
                </xdr:cNvPr>
                <xdr:cNvSpPr/>
              </xdr:nvSpPr>
              <xdr:spPr bwMode="auto">
                <a:xfrm>
                  <a:off x="10244504" y="4210050"/>
                  <a:ext cx="262304" cy="20442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82" name="Check Box 38" hidden="1">
                  <a:extLst>
                    <a:ext uri="{63B3BB69-23CF-44E3-9099-C40C66FF867C}">
                      <a14:compatExt spid="_x0000_s6182"/>
                    </a:ext>
                    <a:ext uri="{FF2B5EF4-FFF2-40B4-BE49-F238E27FC236}">
                      <a16:creationId xmlns:a16="http://schemas.microsoft.com/office/drawing/2014/main" id="{00000000-0008-0000-0C00-000026180000}"/>
                    </a:ext>
                  </a:extLst>
                </xdr:cNvPr>
                <xdr:cNvSpPr/>
              </xdr:nvSpPr>
              <xdr:spPr bwMode="auto">
                <a:xfrm>
                  <a:off x="10244504" y="4385896"/>
                  <a:ext cx="262304" cy="2242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85" name="Check Box 41" hidden="1">
                  <a:extLst>
                    <a:ext uri="{63B3BB69-23CF-44E3-9099-C40C66FF867C}">
                      <a14:compatExt spid="_x0000_s6185"/>
                    </a:ext>
                    <a:ext uri="{FF2B5EF4-FFF2-40B4-BE49-F238E27FC236}">
                      <a16:creationId xmlns:a16="http://schemas.microsoft.com/office/drawing/2014/main" id="{00000000-0008-0000-0C00-000029180000}"/>
                    </a:ext>
                  </a:extLst>
                </xdr:cNvPr>
                <xdr:cNvSpPr/>
              </xdr:nvSpPr>
              <xdr:spPr bwMode="auto">
                <a:xfrm>
                  <a:off x="10244504" y="4591050"/>
                  <a:ext cx="262304" cy="2242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88" name="Check Box 44" hidden="1">
                  <a:extLst>
                    <a:ext uri="{63B3BB69-23CF-44E3-9099-C40C66FF867C}">
                      <a14:compatExt spid="_x0000_s6188"/>
                    </a:ext>
                    <a:ext uri="{FF2B5EF4-FFF2-40B4-BE49-F238E27FC236}">
                      <a16:creationId xmlns:a16="http://schemas.microsoft.com/office/drawing/2014/main" id="{00000000-0008-0000-0C00-00002C180000}"/>
                    </a:ext>
                  </a:extLst>
                </xdr:cNvPr>
                <xdr:cNvSpPr/>
              </xdr:nvSpPr>
              <xdr:spPr bwMode="auto">
                <a:xfrm>
                  <a:off x="10244504" y="4777154"/>
                  <a:ext cx="262304" cy="24325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91" name="Check Box 47" hidden="1">
                  <a:extLst>
                    <a:ext uri="{63B3BB69-23CF-44E3-9099-C40C66FF867C}">
                      <a14:compatExt spid="_x0000_s6191"/>
                    </a:ext>
                    <a:ext uri="{FF2B5EF4-FFF2-40B4-BE49-F238E27FC236}">
                      <a16:creationId xmlns:a16="http://schemas.microsoft.com/office/drawing/2014/main" id="{00000000-0008-0000-0C00-00002F180000}"/>
                    </a:ext>
                  </a:extLst>
                </xdr:cNvPr>
                <xdr:cNvSpPr/>
              </xdr:nvSpPr>
              <xdr:spPr bwMode="auto">
                <a:xfrm>
                  <a:off x="10244504" y="5001358"/>
                  <a:ext cx="262304" cy="2242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94" name="Check Box 50" hidden="1">
                  <a:extLst>
                    <a:ext uri="{63B3BB69-23CF-44E3-9099-C40C66FF867C}">
                      <a14:compatExt spid="_x0000_s6194"/>
                    </a:ext>
                    <a:ext uri="{FF2B5EF4-FFF2-40B4-BE49-F238E27FC236}">
                      <a16:creationId xmlns:a16="http://schemas.microsoft.com/office/drawing/2014/main" id="{00000000-0008-0000-0C00-000032180000}"/>
                    </a:ext>
                  </a:extLst>
                </xdr:cNvPr>
                <xdr:cNvSpPr/>
              </xdr:nvSpPr>
              <xdr:spPr bwMode="auto">
                <a:xfrm>
                  <a:off x="10244504" y="5263662"/>
                  <a:ext cx="262304"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97" name="Check Box 53" hidden="1">
                  <a:extLst>
                    <a:ext uri="{63B3BB69-23CF-44E3-9099-C40C66FF867C}">
                      <a14:compatExt spid="_x0000_s6197"/>
                    </a:ext>
                    <a:ext uri="{FF2B5EF4-FFF2-40B4-BE49-F238E27FC236}">
                      <a16:creationId xmlns:a16="http://schemas.microsoft.com/office/drawing/2014/main" id="{00000000-0008-0000-0C00-000035180000}"/>
                    </a:ext>
                  </a:extLst>
                </xdr:cNvPr>
                <xdr:cNvSpPr/>
              </xdr:nvSpPr>
              <xdr:spPr bwMode="auto">
                <a:xfrm>
                  <a:off x="10244504" y="5610958"/>
                  <a:ext cx="262304"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sp macro="" textlink="">
            <xdr:nvSpPr>
              <xdr:cNvPr id="6200" name="Check Box 56" hidden="1">
                <a:extLst>
                  <a:ext uri="{63B3BB69-23CF-44E3-9099-C40C66FF867C}">
                    <a14:compatExt spid="_x0000_s6200"/>
                  </a:ext>
                  <a:ext uri="{FF2B5EF4-FFF2-40B4-BE49-F238E27FC236}">
                    <a16:creationId xmlns:a16="http://schemas.microsoft.com/office/drawing/2014/main" id="{00000000-0008-0000-0C00-000038180000}"/>
                  </a:ext>
                </a:extLst>
              </xdr:cNvPr>
              <xdr:cNvSpPr/>
            </xdr:nvSpPr>
            <xdr:spPr bwMode="auto">
              <a:xfrm>
                <a:off x="10244504" y="6191250"/>
                <a:ext cx="262304" cy="23153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03" name="Check Box 59" hidden="1">
                <a:extLst>
                  <a:ext uri="{63B3BB69-23CF-44E3-9099-C40C66FF867C}">
                    <a14:compatExt spid="_x0000_s6203"/>
                  </a:ext>
                  <a:ext uri="{FF2B5EF4-FFF2-40B4-BE49-F238E27FC236}">
                    <a16:creationId xmlns:a16="http://schemas.microsoft.com/office/drawing/2014/main" id="{00000000-0008-0000-0C00-00003B180000}"/>
                  </a:ext>
                </a:extLst>
              </xdr:cNvPr>
              <xdr:cNvSpPr/>
            </xdr:nvSpPr>
            <xdr:spPr bwMode="auto">
              <a:xfrm>
                <a:off x="10244504" y="6336747"/>
                <a:ext cx="262304" cy="23592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06" name="Check Box 62" hidden="1">
                <a:extLst>
                  <a:ext uri="{63B3BB69-23CF-44E3-9099-C40C66FF867C}">
                    <a14:compatExt spid="_x0000_s6206"/>
                  </a:ext>
                  <a:ext uri="{FF2B5EF4-FFF2-40B4-BE49-F238E27FC236}">
                    <a16:creationId xmlns:a16="http://schemas.microsoft.com/office/drawing/2014/main" id="{00000000-0008-0000-0C00-00003E180000}"/>
                  </a:ext>
                </a:extLst>
              </xdr:cNvPr>
              <xdr:cNvSpPr/>
            </xdr:nvSpPr>
            <xdr:spPr bwMode="auto">
              <a:xfrm>
                <a:off x="10244504" y="6565656"/>
                <a:ext cx="262304" cy="20881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09" name="Check Box 65" hidden="1">
                <a:extLst>
                  <a:ext uri="{63B3BB69-23CF-44E3-9099-C40C66FF867C}">
                    <a14:compatExt spid="_x0000_s6209"/>
                  </a:ext>
                  <a:ext uri="{FF2B5EF4-FFF2-40B4-BE49-F238E27FC236}">
                    <a16:creationId xmlns:a16="http://schemas.microsoft.com/office/drawing/2014/main" id="{00000000-0008-0000-0C00-000041180000}"/>
                  </a:ext>
                </a:extLst>
              </xdr:cNvPr>
              <xdr:cNvSpPr/>
            </xdr:nvSpPr>
            <xdr:spPr bwMode="auto">
              <a:xfrm>
                <a:off x="10244504" y="6881870"/>
                <a:ext cx="238125" cy="22786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C00-000044180000}"/>
                  </a:ext>
                </a:extLst>
              </xdr:cNvPr>
              <xdr:cNvSpPr/>
            </xdr:nvSpPr>
            <xdr:spPr bwMode="auto">
              <a:xfrm>
                <a:off x="10244504" y="7042715"/>
                <a:ext cx="238125" cy="2373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15" name="Check Box 71" hidden="1">
                <a:extLst>
                  <a:ext uri="{63B3BB69-23CF-44E3-9099-C40C66FF867C}">
                    <a14:compatExt spid="_x0000_s6215"/>
                  </a:ext>
                  <a:ext uri="{FF2B5EF4-FFF2-40B4-BE49-F238E27FC236}">
                    <a16:creationId xmlns:a16="http://schemas.microsoft.com/office/drawing/2014/main" id="{00000000-0008-0000-0C00-000047180000}"/>
                  </a:ext>
                </a:extLst>
              </xdr:cNvPr>
              <xdr:cNvSpPr/>
            </xdr:nvSpPr>
            <xdr:spPr bwMode="auto">
              <a:xfrm>
                <a:off x="10244504" y="7229011"/>
                <a:ext cx="238125" cy="2278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18" name="Check Box 74" hidden="1">
                <a:extLst>
                  <a:ext uri="{63B3BB69-23CF-44E3-9099-C40C66FF867C}">
                    <a14:compatExt spid="_x0000_s6218"/>
                  </a:ext>
                  <a:ext uri="{FF2B5EF4-FFF2-40B4-BE49-F238E27FC236}">
                    <a16:creationId xmlns:a16="http://schemas.microsoft.com/office/drawing/2014/main" id="{00000000-0008-0000-0C00-00004A180000}"/>
                  </a:ext>
                </a:extLst>
              </xdr:cNvPr>
              <xdr:cNvSpPr/>
            </xdr:nvSpPr>
            <xdr:spPr bwMode="auto">
              <a:xfrm>
                <a:off x="10233776" y="7591153"/>
                <a:ext cx="228592" cy="22786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21" name="Check Box 77" hidden="1">
                <a:extLst>
                  <a:ext uri="{63B3BB69-23CF-44E3-9099-C40C66FF867C}">
                    <a14:compatExt spid="_x0000_s6221"/>
                  </a:ext>
                  <a:ext uri="{FF2B5EF4-FFF2-40B4-BE49-F238E27FC236}">
                    <a16:creationId xmlns:a16="http://schemas.microsoft.com/office/drawing/2014/main" id="{00000000-0008-0000-0C00-00004D180000}"/>
                  </a:ext>
                </a:extLst>
              </xdr:cNvPr>
              <xdr:cNvSpPr/>
            </xdr:nvSpPr>
            <xdr:spPr bwMode="auto">
              <a:xfrm>
                <a:off x="10238147" y="7742532"/>
                <a:ext cx="228600" cy="22786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24" name="Check Box 80" hidden="1">
                <a:extLst>
                  <a:ext uri="{63B3BB69-23CF-44E3-9099-C40C66FF867C}">
                    <a14:compatExt spid="_x0000_s6224"/>
                  </a:ext>
                  <a:ext uri="{FF2B5EF4-FFF2-40B4-BE49-F238E27FC236}">
                    <a16:creationId xmlns:a16="http://schemas.microsoft.com/office/drawing/2014/main" id="{00000000-0008-0000-0C00-000050180000}"/>
                  </a:ext>
                </a:extLst>
              </xdr:cNvPr>
              <xdr:cNvSpPr/>
            </xdr:nvSpPr>
            <xdr:spPr bwMode="auto">
              <a:xfrm>
                <a:off x="10244504" y="8062546"/>
                <a:ext cx="228600"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C00-000053180000}"/>
                  </a:ext>
                </a:extLst>
              </xdr:cNvPr>
              <xdr:cNvSpPr/>
            </xdr:nvSpPr>
            <xdr:spPr bwMode="auto">
              <a:xfrm>
                <a:off x="10244504" y="8594481"/>
                <a:ext cx="238125"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30" name="Check Box 86" hidden="1">
                <a:extLst>
                  <a:ext uri="{63B3BB69-23CF-44E3-9099-C40C66FF867C}">
                    <a14:compatExt spid="_x0000_s6230"/>
                  </a:ext>
                  <a:ext uri="{FF2B5EF4-FFF2-40B4-BE49-F238E27FC236}">
                    <a16:creationId xmlns:a16="http://schemas.microsoft.com/office/drawing/2014/main" id="{00000000-0008-0000-0C00-000056180000}"/>
                  </a:ext>
                </a:extLst>
              </xdr:cNvPr>
              <xdr:cNvSpPr/>
            </xdr:nvSpPr>
            <xdr:spPr bwMode="auto">
              <a:xfrm>
                <a:off x="10236240" y="8773024"/>
                <a:ext cx="238125" cy="23739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C00-000059180000}"/>
                  </a:ext>
                </a:extLst>
              </xdr:cNvPr>
              <xdr:cNvSpPr/>
            </xdr:nvSpPr>
            <xdr:spPr bwMode="auto">
              <a:xfrm>
                <a:off x="10238147" y="8949350"/>
                <a:ext cx="238125" cy="22786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C00-00005C180000}"/>
                  </a:ext>
                </a:extLst>
              </xdr:cNvPr>
              <xdr:cNvSpPr/>
            </xdr:nvSpPr>
            <xdr:spPr bwMode="auto">
              <a:xfrm>
                <a:off x="10238147" y="9151212"/>
                <a:ext cx="238125" cy="22786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75125</xdr:colOff>
          <xdr:row>27</xdr:row>
          <xdr:rowOff>3175</xdr:rowOff>
        </xdr:from>
        <xdr:to>
          <xdr:col>6</xdr:col>
          <xdr:colOff>368495</xdr:colOff>
          <xdr:row>42</xdr:row>
          <xdr:rowOff>61798</xdr:rowOff>
        </xdr:to>
        <xdr:grpSp>
          <xdr:nvGrpSpPr>
            <xdr:cNvPr id="13" name="Group 12">
              <a:extLst>
                <a:ext uri="{FF2B5EF4-FFF2-40B4-BE49-F238E27FC236}">
                  <a16:creationId xmlns:a16="http://schemas.microsoft.com/office/drawing/2014/main" id="{00000000-0008-0000-0C00-00000D000000}"/>
                </a:ext>
              </a:extLst>
            </xdr:cNvPr>
            <xdr:cNvGrpSpPr/>
          </xdr:nvGrpSpPr>
          <xdr:grpSpPr>
            <a:xfrm>
              <a:off x="9981125" y="6169025"/>
              <a:ext cx="290830" cy="3186633"/>
              <a:chOff x="9107365" y="6181689"/>
              <a:chExt cx="266700" cy="3262849"/>
            </a:xfrm>
          </xdr:grpSpPr>
          <xdr:sp macro="" textlink="">
            <xdr:nvSpPr>
              <xdr:cNvPr id="6201" name="Check Box 57" hidden="1">
                <a:extLst>
                  <a:ext uri="{63B3BB69-23CF-44E3-9099-C40C66FF867C}">
                    <a14:compatExt spid="_x0000_s6201"/>
                  </a:ext>
                  <a:ext uri="{FF2B5EF4-FFF2-40B4-BE49-F238E27FC236}">
                    <a16:creationId xmlns:a16="http://schemas.microsoft.com/office/drawing/2014/main" id="{00000000-0008-0000-0C00-000039180000}"/>
                  </a:ext>
                </a:extLst>
              </xdr:cNvPr>
              <xdr:cNvSpPr/>
            </xdr:nvSpPr>
            <xdr:spPr bwMode="auto">
              <a:xfrm>
                <a:off x="9107365" y="6181689"/>
                <a:ext cx="247650" cy="23153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04" name="Check Box 60" hidden="1">
                <a:extLst>
                  <a:ext uri="{63B3BB69-23CF-44E3-9099-C40C66FF867C}">
                    <a14:compatExt spid="_x0000_s6204"/>
                  </a:ext>
                  <a:ext uri="{FF2B5EF4-FFF2-40B4-BE49-F238E27FC236}">
                    <a16:creationId xmlns:a16="http://schemas.microsoft.com/office/drawing/2014/main" id="{00000000-0008-0000-0C00-00003C180000}"/>
                  </a:ext>
                </a:extLst>
              </xdr:cNvPr>
              <xdr:cNvSpPr/>
            </xdr:nvSpPr>
            <xdr:spPr bwMode="auto">
              <a:xfrm>
                <a:off x="9107365" y="6395085"/>
                <a:ext cx="247650" cy="22640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07" name="Check Box 63" hidden="1">
                <a:extLst>
                  <a:ext uri="{63B3BB69-23CF-44E3-9099-C40C66FF867C}">
                    <a14:compatExt spid="_x0000_s6207"/>
                  </a:ext>
                  <a:ext uri="{FF2B5EF4-FFF2-40B4-BE49-F238E27FC236}">
                    <a16:creationId xmlns:a16="http://schemas.microsoft.com/office/drawing/2014/main" id="{00000000-0008-0000-0C00-00003F180000}"/>
                  </a:ext>
                </a:extLst>
              </xdr:cNvPr>
              <xdr:cNvSpPr/>
            </xdr:nvSpPr>
            <xdr:spPr bwMode="auto">
              <a:xfrm>
                <a:off x="9107365" y="6586611"/>
                <a:ext cx="247650" cy="21834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10" name="Check Box 66" hidden="1">
                <a:extLst>
                  <a:ext uri="{63B3BB69-23CF-44E3-9099-C40C66FF867C}">
                    <a14:compatExt spid="_x0000_s6210"/>
                  </a:ext>
                  <a:ext uri="{FF2B5EF4-FFF2-40B4-BE49-F238E27FC236}">
                    <a16:creationId xmlns:a16="http://schemas.microsoft.com/office/drawing/2014/main" id="{00000000-0008-0000-0C00-000042180000}"/>
                  </a:ext>
                </a:extLst>
              </xdr:cNvPr>
              <xdr:cNvSpPr/>
            </xdr:nvSpPr>
            <xdr:spPr bwMode="auto">
              <a:xfrm>
                <a:off x="9126415" y="6940207"/>
                <a:ext cx="247650" cy="21834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13" name="Check Box 69" hidden="1">
                <a:extLst>
                  <a:ext uri="{63B3BB69-23CF-44E3-9099-C40C66FF867C}">
                    <a14:compatExt spid="_x0000_s6213"/>
                  </a:ext>
                  <a:ext uri="{FF2B5EF4-FFF2-40B4-BE49-F238E27FC236}">
                    <a16:creationId xmlns:a16="http://schemas.microsoft.com/office/drawing/2014/main" id="{00000000-0008-0000-0C00-000045180000}"/>
                  </a:ext>
                </a:extLst>
              </xdr:cNvPr>
              <xdr:cNvSpPr/>
            </xdr:nvSpPr>
            <xdr:spPr bwMode="auto">
              <a:xfrm>
                <a:off x="9126415" y="7106529"/>
                <a:ext cx="247650" cy="2278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16" name="Check Box 72" hidden="1">
                <a:extLst>
                  <a:ext uri="{63B3BB69-23CF-44E3-9099-C40C66FF867C}">
                    <a14:compatExt spid="_x0000_s6216"/>
                  </a:ext>
                  <a:ext uri="{FF2B5EF4-FFF2-40B4-BE49-F238E27FC236}">
                    <a16:creationId xmlns:a16="http://schemas.microsoft.com/office/drawing/2014/main" id="{00000000-0008-0000-0C00-000048180000}"/>
                  </a:ext>
                </a:extLst>
              </xdr:cNvPr>
              <xdr:cNvSpPr/>
            </xdr:nvSpPr>
            <xdr:spPr bwMode="auto">
              <a:xfrm>
                <a:off x="9126415" y="7259515"/>
                <a:ext cx="247650" cy="2278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19" name="Check Box 75" hidden="1">
                <a:extLst>
                  <a:ext uri="{63B3BB69-23CF-44E3-9099-C40C66FF867C}">
                    <a14:compatExt spid="_x0000_s6219"/>
                  </a:ext>
                  <a:ext uri="{FF2B5EF4-FFF2-40B4-BE49-F238E27FC236}">
                    <a16:creationId xmlns:a16="http://schemas.microsoft.com/office/drawing/2014/main" id="{00000000-0008-0000-0C00-00004B180000}"/>
                  </a:ext>
                </a:extLst>
              </xdr:cNvPr>
              <xdr:cNvSpPr/>
            </xdr:nvSpPr>
            <xdr:spPr bwMode="auto">
              <a:xfrm>
                <a:off x="9135940" y="7649308"/>
                <a:ext cx="238125" cy="22786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22" name="Check Box 78" hidden="1">
                <a:extLst>
                  <a:ext uri="{63B3BB69-23CF-44E3-9099-C40C66FF867C}">
                    <a14:compatExt spid="_x0000_s6222"/>
                  </a:ext>
                  <a:ext uri="{FF2B5EF4-FFF2-40B4-BE49-F238E27FC236}">
                    <a16:creationId xmlns:a16="http://schemas.microsoft.com/office/drawing/2014/main" id="{00000000-0008-0000-0C00-00004E180000}"/>
                  </a:ext>
                </a:extLst>
              </xdr:cNvPr>
              <xdr:cNvSpPr/>
            </xdr:nvSpPr>
            <xdr:spPr bwMode="auto">
              <a:xfrm>
                <a:off x="9135940" y="7834679"/>
                <a:ext cx="238125" cy="21834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C00-000051180000}"/>
                  </a:ext>
                </a:extLst>
              </xdr:cNvPr>
              <xdr:cNvSpPr/>
            </xdr:nvSpPr>
            <xdr:spPr bwMode="auto">
              <a:xfrm>
                <a:off x="9135940" y="8043496"/>
                <a:ext cx="238125"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28" name="Check Box 84" hidden="1">
                <a:extLst>
                  <a:ext uri="{63B3BB69-23CF-44E3-9099-C40C66FF867C}">
                    <a14:compatExt spid="_x0000_s6228"/>
                  </a:ext>
                  <a:ext uri="{FF2B5EF4-FFF2-40B4-BE49-F238E27FC236}">
                    <a16:creationId xmlns:a16="http://schemas.microsoft.com/office/drawing/2014/main" id="{00000000-0008-0000-0C00-000054180000}"/>
                  </a:ext>
                </a:extLst>
              </xdr:cNvPr>
              <xdr:cNvSpPr/>
            </xdr:nvSpPr>
            <xdr:spPr bwMode="auto">
              <a:xfrm>
                <a:off x="9107365" y="8575431"/>
                <a:ext cx="238125"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C00-000057180000}"/>
                  </a:ext>
                </a:extLst>
              </xdr:cNvPr>
              <xdr:cNvSpPr/>
            </xdr:nvSpPr>
            <xdr:spPr bwMode="auto">
              <a:xfrm>
                <a:off x="9107365" y="8868801"/>
                <a:ext cx="238125" cy="23739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34" name="Check Box 90" hidden="1">
                <a:extLst>
                  <a:ext uri="{63B3BB69-23CF-44E3-9099-C40C66FF867C}">
                    <a14:compatExt spid="_x0000_s6234"/>
                  </a:ext>
                  <a:ext uri="{FF2B5EF4-FFF2-40B4-BE49-F238E27FC236}">
                    <a16:creationId xmlns:a16="http://schemas.microsoft.com/office/drawing/2014/main" id="{00000000-0008-0000-0C00-00005A180000}"/>
                  </a:ext>
                </a:extLst>
              </xdr:cNvPr>
              <xdr:cNvSpPr/>
            </xdr:nvSpPr>
            <xdr:spPr bwMode="auto">
              <a:xfrm>
                <a:off x="9107365" y="9052267"/>
                <a:ext cx="238125" cy="21834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C00-00005D180000}"/>
                  </a:ext>
                </a:extLst>
              </xdr:cNvPr>
              <xdr:cNvSpPr/>
            </xdr:nvSpPr>
            <xdr:spPr bwMode="auto">
              <a:xfrm>
                <a:off x="9107365" y="9226196"/>
                <a:ext cx="238125" cy="21834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fLocksWithSheet="0"/>
      </xdr:twoCellAnchor>
    </mc:Choice>
    <mc:Fallback/>
  </mc:AlternateContent>
  <xdr:oneCellAnchor>
    <xdr:from>
      <xdr:col>5</xdr:col>
      <xdr:colOff>277906</xdr:colOff>
      <xdr:row>0</xdr:row>
      <xdr:rowOff>4483</xdr:rowOff>
    </xdr:from>
    <xdr:ext cx="1826723" cy="455820"/>
    <xdr:pic>
      <xdr:nvPicPr>
        <xdr:cNvPr id="10" name="Pict10" descr="A yellow and black logo&#10;&#10;Description automatically generated with low confidence">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70686" y="6388"/>
          <a:ext cx="1826723" cy="455820"/>
        </a:xfrm>
        <a:prstGeom prst="rect">
          <a:avLst/>
        </a:prstGeom>
      </xdr:spPr>
    </xdr:pic>
    <xdr:clientData fLocksWithSheet="0"/>
  </xdr:one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file:///C:\Users\243374\Downloads\CRT%20in%20Sharepoint%20V2.0%2008072023.xlsm" TargetMode="External"/><Relationship Id="rId2" Type="http://schemas.microsoft.com/office/2019/04/relationships/externalLinkLongPath" Target="https://westernunion.sharepoint.com/sites/RCSLACATeam/Shared%20Documents/General/LACA%20Compliance%20Document%20Library/1.%20Program%20Reviews/4.%20Individual%20Trackers/Ronald%20Isaac%20Cordero/2024/Q2/10000000065323_GAZIN%20029%20RONDONOPOLIS/CRT%20in%20Sharepoint%20V2.0%2008072023.xlsm?2962607C" TargetMode="External"/><Relationship Id="rId1" Type="http://schemas.openxmlformats.org/officeDocument/2006/relationships/externalLinkPath" Target="file:///\\2962607C\CRT%20in%20Sharepoint%20V2.0%20080720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Gen Info"/>
      <sheetName val="Call Flow"/>
      <sheetName val="iWatch Flow"/>
      <sheetName val="CRT Users"/>
      <sheetName val="FL Prep"/>
      <sheetName val="M_Ind Agents - Eng"/>
      <sheetName val="UPDATED Finding Comments"/>
      <sheetName val="Questionnaire"/>
      <sheetName val="Tables"/>
      <sheetName val="Order"/>
      <sheetName val="AAL"/>
      <sheetName val="CTRL_M"/>
      <sheetName val="Agent Location Data"/>
      <sheetName val="Access"/>
      <sheetName val="raw data"/>
      <sheetName val="Motiv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ion" xr10:uid="{B3AC8696-E82F-4889-8354-94337126F9F5}" sourceName="Section">
  <extLst>
    <x:ext xmlns:x15="http://schemas.microsoft.com/office/spreadsheetml/2010/11/main" uri="{2F2917AC-EB37-4324-AD4E-5DD8C200BD13}">
      <x15:tableSlicerCache tableId="5" column="4" sortOrder="descending"/>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nswer" xr10:uid="{1243A25D-5CEC-4270-926E-4342BC91A744}" sourceName="Answer">
  <extLst>
    <x:ext xmlns:x15="http://schemas.microsoft.com/office/spreadsheetml/2010/11/main" uri="{2F2917AC-EB37-4324-AD4E-5DD8C200BD13}">
      <x15:tableSlicerCache tableId="5" column="7"/>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nding_Type" xr10:uid="{28E890AF-56F2-48F4-8D30-CEB75AE1B19C}" sourceName="Finding Type">
  <extLst>
    <x:ext xmlns:x15="http://schemas.microsoft.com/office/spreadsheetml/2010/11/main" uri="{2F2917AC-EB37-4324-AD4E-5DD8C200BD13}">
      <x15:tableSlicerCache tableId="5" column="8"/>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ion1" xr10:uid="{B7B20295-965E-44FB-AF43-6FE25C78FA1E}" sourceName="Section">
  <extLst>
    <x:ext xmlns:x15="http://schemas.microsoft.com/office/spreadsheetml/2010/11/main" uri="{2F2917AC-EB37-4324-AD4E-5DD8C200BD13}">
      <x15:tableSlicerCache tableId="83" column="10"/>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nswers" xr10:uid="{80979348-4567-4C93-9B00-447309754921}" sourceName="Answers">
  <extLst>
    <x:ext xmlns:x15="http://schemas.microsoft.com/office/spreadsheetml/2010/11/main" uri="{2F2917AC-EB37-4324-AD4E-5DD8C200BD13}">
      <x15:tableSlicerCache tableId="83" column="4"/>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nding_Type1" xr10:uid="{40E56AF9-CBAA-41E5-BB7C-B01828AB80DC}" sourceName="Finding Type">
  <extLst>
    <x:ext xmlns:x15="http://schemas.microsoft.com/office/spreadsheetml/2010/11/main" uri="{2F2917AC-EB37-4324-AD4E-5DD8C200BD13}">
      <x15:tableSlicerCache tableId="83"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xr10:uid="{AAA6701E-5694-4502-9646-A6216605427B}" cache="Slicer_Section" caption="Section" style="Slicer Style 1" rowHeight="241300"/>
  <slicer name="Answer" xr10:uid="{3AD12CAC-152B-4EED-9295-DDD3D68E5D1E}" cache="Slicer_Answer" caption="Answer" style="Slicer Style 1" rowHeight="241300"/>
  <slicer name="Finding Type" xr10:uid="{70C7E09E-70FF-4D66-9414-DF7DEE4BC15A}" cache="Slicer_Finding_Type" caption="Finding Type" style="Slicer Style 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1" xr10:uid="{0F656208-3F69-4F84-93DC-933996EE50C2}" cache="Slicer_Section1" caption="Section" style="SlicerStyleLight3" rowHeight="234950"/>
  <slicer name="Answers" xr10:uid="{CFA7A55E-4908-47A1-B125-265B5A5E2F14}" cache="Slicer_Answers" caption="Answers" style="SlicerStyleLight3" rowHeight="234950"/>
  <slicer name="Finding Type 1" xr10:uid="{DE3FFF8B-0FE5-4DAC-9AEE-AD92DC174213}" cache="Slicer_Finding_Type1" caption="Finding Type" style="SlicerStyleLight3"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A0B0A1D-A8A7-4337-B5D4-8BBAFEE0EAEE}" name="LocationInfo" displayName="LocationInfo" ref="B3:AC4" totalsRowShown="0" headerRowDxfId="1011" dataDxfId="1010" tableBorderDxfId="1009" dataCellStyle="Hyperlink">
  <autoFilter ref="B3:AC4" xr:uid="{3A0B0A1D-A8A7-4337-B5D4-8BBAFEE0EAE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autoFilter>
  <tableColumns count="28">
    <tableColumn id="1" xr3:uid="{A8AC73E8-CCA4-48BF-BC50-0F64C43F62E8}" name="Short Letter Date" dataDxfId="1008">
      <calculatedColumnFormula>IF(C5="Yes",TODAY()+1,TODAY())</calculatedColumnFormula>
    </tableColumn>
    <tableColumn id="2" xr3:uid="{1540D881-BC6D-4DEB-8703-FCB9FE936C8B}" name="Input_x000a_Location ID/NAID" dataDxfId="1007"/>
    <tableColumn id="3" xr3:uid="{278C6E98-D038-43FB-AE28-917643FBA510}" name="Select_x000a_Questionnaire Type" dataDxfId="1006"/>
    <tableColumn id="4" xr3:uid="{8933316C-7251-41C1-AE7F-CD69FF7EDCD2}" name="Select_x000a_Agent Country" dataDxfId="1005"/>
    <tableColumn id="5" xr3:uid="{6CFD68C0-9946-4E92-A1B9-32665B952952}" name="Select Letter Language" dataDxfId="1004"/>
    <tableColumn id="6" xr3:uid="{D67322B5-7262-49F9-811D-9B07253887A7}" name="Input_x000a_Sales Executive_x000a_(people to be CC´ed in the email)" dataDxfId="1003"/>
    <tableColumn id="7" xr3:uid="{FB7DC110-E0FB-4342-AB9C-F647C7D0FD7C}" name="WUCO_x000a_Name"/>
    <tableColumn id="8" xr3:uid="{F5EC1F9F-4A35-470F-927C-FBA2CC68DA40}" name="WUCO_x000a_Position" dataDxfId="1002"/>
    <tableColumn id="9" xr3:uid="{B49F99D5-FB65-4BF8-91D6-F5D0A3E32F4B}" name="WUCO_x000a_Phone:" dataDxfId="1001"/>
    <tableColumn id="10" xr3:uid="{47FD7EE7-6BD9-4475-81B5-DE3237317793}" name="WUCO_x000a_Email" dataDxfId="1000" dataCellStyle="Hyperlink"/>
    <tableColumn id="11" xr3:uid="{36A63E22-39C2-4DC9-B6CA-A84CA6532D0B}" name="Master Agent Name" dataDxfId="999"/>
    <tableColumn id="12" xr3:uid="{36F1E81A-9909-4214-9CC4-3582436A2582}" name="Agent Name" dataDxfId="998"/>
    <tableColumn id="13" xr3:uid="{26ED6F36-36C7-4F9A-9177-2375B20CA279}" name="Network ID" dataDxfId="997"/>
    <tableColumn id="14" xr3:uid="{ACDD572A-05D3-4DC6-A392-4205758BADD7}" name="Agent ID" dataDxfId="996"/>
    <tableColumn id="15" xr3:uid="{4695BA9C-AFF5-43D2-BFD1-6AC543324494}" name="Address 1" dataDxfId="995"/>
    <tableColumn id="16" xr3:uid="{86E785DF-24EF-45F0-A0BC-789AA77E9609}" name="Address 2" dataDxfId="994"/>
    <tableColumn id="17" xr3:uid="{63D508D9-77A0-40AF-8E85-0EC1AAF5FAFB}" name="City" dataDxfId="993"/>
    <tableColumn id="18" xr3:uid="{461F80DB-5175-4921-A536-6A3AD4574E5C}" name="State" dataDxfId="992"/>
    <tableColumn id="19" xr3:uid="{6753E6D5-65A4-457B-9556-A3F9AD18EA7E}" name="Zip" dataDxfId="991"/>
    <tableColumn id="20" xr3:uid="{C0914A47-369E-4641-B54F-F052159EFDE1}" name="Country" dataDxfId="990"/>
    <tableColumn id="21" xr3:uid="{1097887F-07BE-4A33-AEB2-2445383F4777}" name="Agent Type" dataDxfId="989"/>
    <tableColumn id="22" xr3:uid="{4AF34F3F-8624-44AE-A346-5A2426EE84F9}" name="Products" dataDxfId="988"/>
    <tableColumn id="23" xr3:uid="{EF16582F-1873-44C2-BB9B-E549479E3D3B}" name="Input_x000a_Compliance Officer or_x000a_Compliance Delegate name" dataDxfId="987">
      <calculatedColumnFormula>$B$17</calculatedColumnFormula>
    </tableColumn>
    <tableColumn id="24" xr3:uid="{D59FF11C-E7B7-401D-BD1C-17E2FCD36A07}" name="Input_x000a_Compliance Officer/Delegate_x000a_LETTER RECEPIENT EMAIL" dataDxfId="986" dataCellStyle="Hyperlink">
      <calculatedColumnFormula>$C$17</calculatedColumnFormula>
    </tableColumn>
    <tableColumn id="25" xr3:uid="{3CC8586E-271D-41B7-A7EC-6A96A4781D15}" name="Letter date" dataDxfId="985" dataCellStyle="Hyperlink">
      <calculatedColumnFormula>IF(OR(LocationInfo[[#This Row],[Select Letter Language]]="",$AB$2=0),"",PROPER(TEXT(LocationInfo[[#This Row],[Short Letter Date]],VLOOKUP(LocationInfo[[#This Row],[Select Letter Language]],Table70[#All],3,FALSE)&amp;IF(LocationInfo[[#This Row],[Select Letter Language]]="English","DDDD, MMMM D, YYYY","DDDD D MMMM, YYYY"))))</calculatedColumnFormula>
    </tableColumn>
    <tableColumn id="26" xr3:uid="{5B9726AC-4EF0-4A63-8A4A-0BE64A5E3C36}" name="Due Date" dataDxfId="984" dataCellStyle="Hyperlink">
      <calculatedColumnFormula array="1">IF(OR(LocationInfo[[#This Row],[Select Letter Language]]="",AB2=0),"",PROPER(TEXT(IF(OR($AB$2=30,$AB$2=31,$AB$2=105,$AB$2=106,$AB$2=150,$AB$2=151),_xlfn.IFS(TEXT(IF($E$4="India_FTF",TODAY(),$B$7)+$AB$2,"ddd")="Sat",IF($E$4="India_FTF",TODAY(),$B$7)+$AB$2+2,TEXT(IF($E$4="India_FTF",TODAY(),$B$7)+$AB$2,"ddd")="Sun",IF($E$4="India_FTF",TODAY(),$B$7)+$AB$2+1,OR(TEXT(IF($E$4="India_FTF",TODAY(),$B$7)+$AB$2,"ddd")&lt;&gt;"Sat",TEXT(IF($E$4="India_FTF",TODAY(),$B$7)+$AB$2,"ddd")&lt;&gt;"Sun"),IF($E$4="India_FTF",TODAY(),$B$7)+$AB$2),IF(OR($E$4="Mexico",$E$4="Costa Rica",$E$4="Guatemala",$E$4="Nicaragua",$E$4="Honduras",$E$4="El Salvador"),$B$7+$AB$2,$B$7+$AB$2)),VLOOKUP(LocationInfo[[#This Row],[Select Letter Language]],Table70[#All],3,FALSE)&amp;IF(LocationInfo[[#This Row],[Select Letter Language]]="English","DDDD, MMMM D, YYYY","DDDD D MMMM, YYYY"))))</calculatedColumnFormula>
    </tableColumn>
    <tableColumn id="27" xr3:uid="{2CD250F3-9FD5-4B86-A4F5-093B6249B19D}" name="15 Business Days (CUBA)" dataDxfId="983" dataCellStyle="Hyperlink">
      <calculatedColumnFormula>IF(OR(LocationInfo[[#This Row],[Select Letter Language]]="",$AB$2=0),"",PROPER(TEXT(WORKDAY($B$4,15),VLOOKUP(LocationInfo[[#This Row],[Select Letter Language]],Table70[#All],3,FALSE)&amp;IF(LocationInfo[[#This Row],[Select Letter Language]]="English","DDDD, MMMM D, YYYY","DDDD D MMMM, YYYY"))))</calculatedColumnFormula>
    </tableColumn>
    <tableColumn id="28" xr3:uid="{01C2FD30-1554-4756-8130-765C65794050}" name="Interview Date" dataDxfId="982" dataCellStyle="Hyperlink">
      <calculatedColumnFormula>IF(OR(LocationInfo[[#This Row],[Select Letter Language]]=""),"",PROPER(TEXT(B7,VLOOKUP(LocationInfo[[#This Row],[Select Letter Language]],Table70[#All],3,FALSE)&amp;IF(LocationInfo[[#This Row],[Select Letter Language]]="English"," DDDD, MMMM D, YYYY"," DDDD D MMMM, YYYY"))))</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F59EBF5-45D6-4BDB-A5CE-AAA309B8303E}" name="LocationInfo2" displayName="LocationInfo2" ref="B16:G17" totalsRowShown="0" headerRowDxfId="981" dataDxfId="980" tableBorderDxfId="979">
  <autoFilter ref="B16:G17" xr:uid="{9F59EBF5-45D6-4BDB-A5CE-AAA309B8303E}"/>
  <tableColumns count="6">
    <tableColumn id="1" xr3:uid="{45C770F1-999B-4C63-9D17-7CDF69DD4184}" name="Co/CD Name"/>
    <tableColumn id="2" xr3:uid="{E3F44272-5390-4A5E-B7D3-9A3606018912}" name="CO/CD Name_x000a_LETTER RECEPIENT EMAIL"/>
    <tableColumn id="3" xr3:uid="{0C347EC0-1973-4ACF-94D8-810178E679C3}" name="Sales Executive_x000a_(people to be CC´ed in the email)"/>
    <tableColumn id="4" xr3:uid="{2CE131B4-E080-4B24-BDE6-12BB50ACB7C6}" name="Letter date" dataDxfId="978">
      <calculatedColumnFormula array="1">LocationInfo[Letter date]</calculatedColumnFormula>
    </tableColumn>
    <tableColumn id="5" xr3:uid="{9F2E50A5-9DA9-4354-97C2-0F8F355FF3FA}" name="Due Date" dataDxfId="977">
      <calculatedColumnFormula array="1">LocationInfo[Due Date]</calculatedColumnFormula>
    </tableColumn>
    <tableColumn id="6" xr3:uid="{1245B00C-C47F-4E0F-91A0-5C8301B432DE}" name="Column1" dataDxfId="97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A3EDB45-935C-44A6-9B2A-D2538AFA436A}" name="CallTb" displayName="CallTb" ref="B6:W47" totalsRowShown="0" headerRowDxfId="956" dataDxfId="954" headerRowBorderDxfId="955">
  <autoFilter ref="B6:W47" xr:uid="{6A3EDB45-935C-44A6-9B2A-D2538AFA436A}"/>
  <tableColumns count="22">
    <tableColumn id="1" xr3:uid="{F6A64CB4-4FD5-40AE-9ABA-8356E955D468}" name="Order" dataDxfId="953"/>
    <tableColumn id="2" xr3:uid="{211B26AC-0609-453D-B8B5-FEFB163E3D57}" name="iWatch #" dataDxfId="952">
      <calculatedColumnFormula>IFERROR(INDEX(INDIRECT($D$5&amp;"[#All]"),MATCH(CallTb[[#This Row],[Order]],INDIRECT($D$5&amp;"[[#All],[Call Flow Order]]"),0),1),INDEX(INDIRECT($D$5&amp;"_"&amp;$F$5&amp;"[#All]"),MATCH(CallTb[[#This Row],[Order]],INDIRECT($D$5&amp;"_"&amp;$F$5&amp;"[[#All],[Call Flow Order]]"),0),1))</calculatedColumnFormula>
    </tableColumn>
    <tableColumn id="3" xr3:uid="{5D7953BE-D691-4A7F-A9F0-7E243E0F7F93}" name="iWatch Questions" dataDxfId="951">
      <calculatedColumnFormula>IFERROR(VLOOKUP(CallTb[[#This Row],[iWatch '#]],INDIRECT($D$5&amp;"[#All]"),2,FALSE),VLOOKUP(CallTb[[#This Row],[iWatch '#]],INDIRECT($D$5&amp;"_"&amp;$F$5&amp;"[#All]"),2,FALSE))</calculatedColumnFormula>
    </tableColumn>
    <tableColumn id="4" xr3:uid="{61849790-01B2-4BC7-B711-32BC52AA81DE}" name="Section" dataDxfId="950">
      <calculatedColumnFormula>IFERROR(VLOOKUP(CallTb[[#This Row],[iWatch '#]],INDIRECT($D$5&amp;"[#All]"),13,FALSE),VLOOKUP(CallTb[[#This Row],[iWatch '#]],INDIRECT($D$5&amp;"_"&amp;$F$5&amp;"[#All]"),13,FALSE))</calculatedColumnFormula>
    </tableColumn>
    <tableColumn id="5" xr3:uid="{E7AD9FD2-A0D8-4787-9FEB-1528ACEFF03A}" name="Suggested Script" dataDxfId="949">
      <calculatedColumnFormula>IFERROR(VLOOKUP(CallTb[[#This Row],[iWatch '#]],INDIRECT($D$5&amp;"[#All]"),14,FALSE),VLOOKUP(CallTb[[#This Row],[iWatch '#]],INDIRECT($D$5&amp;"_"&amp;$F$5&amp;"[#All]"),14,FALSE))</calculatedColumnFormula>
    </tableColumn>
    <tableColumn id="6" xr3:uid="{1BCE189E-134D-4331-988A-7306DD89530D}" name="Guidance" dataDxfId="948">
      <calculatedColumnFormula>IFERROR(IFERROR(VLOOKUP(CallTb[[#This Row],[iWatch '#]],INDIRECT($D$5&amp;"[#All]"),VLOOKUP(CallTb[[#This Row],[Answer]],Guidance,2,FALSE),FALSE),VLOOKUP(CallTb[[#This Row],[iWatch '#]],INDIRECT($D$5&amp;"_"&amp;$F$5&amp;"[#All]"),VLOOKUP(CallTb[[#This Row],[Answer]],Guidance,2,FALSE),FALSE)),"")</calculatedColumnFormula>
    </tableColumn>
    <tableColumn id="7" xr3:uid="{58E5C257-36C8-48C8-BB13-B1E0A5285ABE}" name="Answer" dataDxfId="947"/>
    <tableColumn id="8" xr3:uid="{B60E2F7F-A1F4-46D5-9CE6-DB8F3375B660}" name="Finding Type" dataDxfId="946"/>
    <tableColumn id="9" xr3:uid="{4BBC1A8F-E6F6-41BB-AAFF-049630D0943D}" name="Finding" dataDxfId="945">
      <calculatedColumnFormula>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calculatedColumnFormula>
    </tableColumn>
    <tableColumn id="10" xr3:uid="{21FD515D-3ED8-4D87-95E2-E4E854EBECA0}" name="Remediation" dataDxfId="944">
      <calculatedColumnFormula>IF(CallTb[[#This Row],[Finding Type]]="","",IFERROR(VLOOKUP(CallTb[[#This Row],[iWatch '#]]&amp;"."&amp;CallTb[[#This Row],[Finding Type]]&amp;$F$5,INDIRECT(IF($D$5="Network_Agent_FTF","Network_Agent",$D$5)&amp;"Global[#All]"),8,FALSE),VLOOKUP(CallTb[[#This Row],[iWatch '#]]&amp;"."&amp;CallTb[[#This Row],[Finding Type]]&amp;IF($F$5="India_FTF","India_FTF",""),INDIRECT($D$5&amp;"Global[#All]"),8,FALSE)))</calculatedColumnFormula>
    </tableColumn>
    <tableColumn id="11" xr3:uid="{9CEA9A40-2D11-4194-910D-8CD9290CCA29}" name="Free Text" dataDxfId="943"/>
    <tableColumn id="12" xr3:uid="{0A3BD36B-6F76-4C03-9428-B56356E56E2D}" name="Column2" dataDxfId="942">
      <calculatedColumnFormula>IFERROR("_"&amp;VLOOKUP(CallTb[[#This Row],[iWatch '#]],INDIRECT($D$5&amp;"[#All]"),3,FALSE),"_"&amp;VLOOKUP(CallTb[[#This Row],[iWatch '#]],INDIRECT($D$5&amp;"_"&amp;$F$5&amp;"[#All]"),3,FALSE))</calculatedColumnFormula>
    </tableColumn>
    <tableColumn id="13" xr3:uid="{26357DBC-067E-40EE-8B21-0E220CD9A2BC}" name="Select Finding Type" dataDxfId="941">
      <calculatedColumnFormula>IF((CallTb[[#This Row],[Answer]]="Yes")+(CallTb[[#This Row],[Answer]]="NA")+((CallTb[[#This Row],[Section]]="")*(CallTb[[#This Row],[Answer]]="No")),"",IFERROR(VLOOKUP(CallTb[[#This Row],[iWatch '#]],INDIRECT($D$5&amp;"[#All]"),17,FALSE),VLOOKUP(CallTb[[#This Row],[iWatch '#]],INDIRECT($D$5&amp;"_"&amp;$F$5&amp;"[#All]"),17,FALSE)))</calculatedColumnFormula>
    </tableColumn>
    <tableColumn id="14" xr3:uid="{9707F400-B9DD-4CCD-A7AD-138AA14DBF28}" name="Incomplete fields" dataDxfId="940">
      <calculatedColumnFormula array="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calculatedColumnFormula>
    </tableColumn>
    <tableColumn id="15" xr3:uid="{F89DE8EA-5326-4D09-B1D6-B7A196283BBB}" name="Highlight" dataDxfId="939"/>
    <tableColumn id="16" xr3:uid="{51289AD7-3409-463B-82DD-9D6121820475}" name="Column1" dataDxfId="938"/>
    <tableColumn id="17" xr3:uid="{B28571B6-F841-4D71-AED8-143F5094A289}" name="efral questions" dataDxfId="937">
      <calculatedColumnFormula array="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calculatedColumnFormula>
    </tableColumn>
    <tableColumn id="18" xr3:uid="{BF9F98A5-CFB3-4A02-B184-4B6BB8D849F6}" name="iWatch #2" dataDxfId="936">
      <calculatedColumnFormula>IF(OR(CallTb[[#This Row],[Answer]]="No_AML",CallTb[[#This Row],[Answer]]="No_CFT",CallTb[[#This Row],[Answer]]="No_AntiFraud",CallTb[[#This Row],[Answer]],CallTb[[#This Row],[Answer]]="No"),CallTb[[#This Row],[Answer]],"")</calculatedColumnFormula>
    </tableColumn>
    <tableColumn id="19" xr3:uid="{1B4E92DC-5D51-4260-85B5-66C2E7348F72}" name="QNumber" dataDxfId="935">
      <calculatedColumnFormula>IF(CallTb[[#This Row],[Finding Type]]="","",CallTb[[#This Row],[iWatch '#]]&amp;"."&amp;CallTb[[#This Row],[Finding Type]])</calculatedColumnFormula>
    </tableColumn>
    <tableColumn id="20" xr3:uid="{5C14FEB5-3CE9-4842-BF34-840CDA7FF4DA}" name="Attachments" dataDxfId="934">
      <calculatedColumnFormula>IFERROR(IF(SEARCH("Attach a copy",CallTb[[#This Row],[iWatch Questions]])=1,"Yes",""),"")</calculatedColumnFormula>
    </tableColumn>
    <tableColumn id="21" xr3:uid="{419D8215-934D-4118-A1BE-67A20FA9AB45}" name="Category" dataDxfId="933">
      <calculatedColumnFormula>IFERROR(VLOOKUP(CallTb[[#This Row],[iWatch '#]],INDIRECT($D$5&amp;"[#All]"),16,FALSE),VLOOKUP(CallTb[[#This Row],[iWatch '#]],INDIRECT($D$5&amp;"_"&amp;$F$5&amp;"[#All]"),16,FALSE))</calculatedColumnFormula>
    </tableColumn>
    <tableColumn id="22" xr3:uid="{BCEA54F5-42D8-42D3-9DD2-600EA26CDC26}" name="Findings" dataDxfId="932"/>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5A1F8D0A-3447-4897-A696-B8A7014C6B24}" name="iWatchTb" displayName="iWatchTb" ref="B6:L47" totalsRowShown="0" headerRowDxfId="903" dataDxfId="902" tableBorderDxfId="901">
  <autoFilter ref="B6:L47" xr:uid="{485C1063-74FC-45F9-9C7A-7AB2E8324C83}"/>
  <tableColumns count="11">
    <tableColumn id="8" xr3:uid="{6AE31D8A-ED8A-42E3-A8BD-FD7878D62CBE}" name="iWatch Order" dataDxfId="900"/>
    <tableColumn id="1" xr3:uid="{04B26C3E-206F-451C-A8C9-17A3C18B1784}" name="iWatch #" dataDxfId="899">
      <calculatedColumnFormula>IFERROR(INDEX(INDIRECT($D$5&amp;"[#All]"),MATCH(iWatchTb[[#This Row],[iWatch Order]],INDIRECT($D$5&amp;"[[#All],[iWatch Order]]"),0),1),INDEX(INDIRECT($D$5&amp;"_"&amp;$F$5&amp;"[#All]"),MATCH(iWatchTb[[#This Row],[iWatch Order]],INDIRECT($D$5&amp;"_"&amp;$F$5&amp;"[[#All],[iWatch Order]]"),0),1))</calculatedColumnFormula>
    </tableColumn>
    <tableColumn id="2" xr3:uid="{B62D67B2-E0D0-44B2-B1F6-07D8151F6CCE}" name="iWatch Questions" dataDxfId="898">
      <calculatedColumnFormula>VLOOKUP(iWatchTb[[#This Row],[iWatch '#]],CallTb[[#All],[iWatch '#]:[Free Text]],2,FALSE)</calculatedColumnFormula>
    </tableColumn>
    <tableColumn id="10" xr3:uid="{2FDF9FDE-0095-485C-92F3-8FC1A01DFEB0}" name="Section" dataDxfId="897">
      <calculatedColumnFormula>IF(VLOOKUP(iWatchTb[[#This Row],[iWatch '#]],CallTb[[#All],[iWatch '#]:[Free Text]],3,FALSE)=0,"",VLOOKUP(iWatchTb[[#This Row],[iWatch '#]],CallTb[[#All],[iWatch '#]:[Free Text]],3,FALSE))</calculatedColumnFormula>
    </tableColumn>
    <tableColumn id="4" xr3:uid="{2EDA782A-4657-4DB9-B38F-5446896FD6E2}" name="Answers" dataDxfId="896">
      <calculatedColumnFormula>IF(VLOOKUP(iWatchTb[[#This Row],[iWatch '#]],CallTb[[#All],[iWatch '#]:[Free Text]],6,FALSE)=0,"",VLOOKUP(iWatchTb[[#This Row],[iWatch '#]],CallTb[[#All],[iWatch '#]:[Free Text]],6,FALSE))</calculatedColumnFormula>
    </tableColumn>
    <tableColumn id="5" xr3:uid="{053A179F-4647-42E7-AC1C-A3A50217B0EF}" name="Finding Type" dataDxfId="895">
      <calculatedColumnFormula>VLOOKUP(iWatchTb[[#This Row],[iWatch '#]],CallTb[[#All],[iWatch '#]:[Free Text]],7,FALSE)</calculatedColumnFormula>
    </tableColumn>
    <tableColumn id="11" xr3:uid="{6D91EE90-E6F9-4C7A-A613-8477C26B786B}" name="Finding" dataDxfId="894">
      <calculatedColumnFormula>VLOOKUP(iWatchTb[[#This Row],[iWatch '#]],CallTb[[#All],[iWatch '#]:[Free Text]],8,FALSE)</calculatedColumnFormula>
    </tableColumn>
    <tableColumn id="6" xr3:uid="{2965653C-94CE-4BB1-B762-AAA37CCFD02D}" name="Remediation" dataDxfId="893">
      <calculatedColumnFormula>VLOOKUP(iWatchTb[[#This Row],[iWatch '#]],CallTb[[#All],[iWatch '#]:[Free Text]],9,FALSE)</calculatedColumnFormula>
    </tableColumn>
    <tableColumn id="7" xr3:uid="{CA082080-5263-4A92-847E-6985D2DF14D5}" name="Free Text or WUCO Comments" dataDxfId="892">
      <calculatedColumnFormula>VLOOKUP(iWatchTb[[#This Row],[iWatch '#]],CallTb[[#All],[iWatch '#]:[Free Text]],10,FALSE)</calculatedColumnFormula>
    </tableColumn>
    <tableColumn id="3" xr3:uid="{0FA82C0A-C0FC-42A0-B396-5E95F26B3CDA}" name="Conditional Format" dataDxfId="891">
      <calculatedColumnFormula>VLOOKUP(LEFT(iWatchTb[[#This Row],[iWatch '#]],4),tblColoring[#Data],2,FALSE)</calculatedColumnFormula>
    </tableColumn>
    <tableColumn id="9" xr3:uid="{1AA5443D-15E5-45AD-A0E6-A0F604B83D15}" name="EFRAL?" dataDxfId="890">
      <calculatedColumnFormula>IFERROR(IF(FIND("EFRAL",iWatchTb[[#This Row],[iWatch Questions]])&gt;0,"EFRAL"),"")</calculatedColumnFormula>
    </tableColumn>
  </tableColumns>
  <tableStyleInfo name="TableStyleLight18"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6AB70679-076A-4D7F-B977-6E442E9F34B6}" name="tblFLPrep" displayName="tblFLPrep" ref="B1:Q42" totalsRowShown="0" headerRowDxfId="889" headerRowBorderDxfId="888" tableBorderDxfId="887">
  <autoFilter ref="B1:Q42" xr:uid="{6AB70679-076A-4D7F-B977-6E442E9F34B6}"/>
  <sortState xmlns:xlrd2="http://schemas.microsoft.com/office/spreadsheetml/2017/richdata2" ref="B2:Q94">
    <sortCondition descending="1" ref="H2:H94"/>
    <sortCondition descending="1" ref="D2:D94"/>
  </sortState>
  <tableColumns count="16">
    <tableColumn id="1" xr3:uid="{5BC23DF9-2014-42C8-8B00-717BD0D19202}" name="Question"/>
    <tableColumn id="2" xr3:uid="{D660E641-C41E-465A-899B-7BF6587F2065}" name="Answer"/>
    <tableColumn id="3" xr3:uid="{8A1F1F69-4EDB-4494-A4F4-9E0DB2A00A94}" name="Fynding Type"/>
    <tableColumn id="4" xr3:uid="{93856623-0C29-4D3A-91A5-22CAF70789A8}" name="Section"/>
    <tableColumn id="5" xr3:uid="{50C49D75-E407-46F7-9573-E0E323328B65}" name="Finding"/>
    <tableColumn id="6" xr3:uid="{16DCB5DB-B3C0-4316-8CB6-1D2969143E6C}" name="Action Required"/>
    <tableColumn id="7" xr3:uid="{2570AE33-96F6-4728-B579-AE28ADA59798}" name="Follow Up Required">
      <calculatedColumnFormula array="1">Requirement('Call Flow'!$D$4,tblFLPrep[[#This Row],[Answer]],tblFLPrep[[#This Row],[Fynding Type]])&amp;IF(tblFLPrep[[#This Row],[Add Missing]]="Yes","No","")</calculatedColumnFormula>
    </tableColumn>
    <tableColumn id="8" xr3:uid="{E9ED8CEE-A4D8-447F-86A9-D1004A44F09C}" name="Due Date">
      <calculatedColumnFormula>_xlfn.IFS(tblFLPrep[[#This Row],[Add Missing]]="Yes","N/A",OR(tblFLPrep[[#This Row],[Follow Up Required]]="YES",tblFLPrep[[#This Row],[Follow Up Required]]="SI"),LocationInfo[Due Date],tblFLPrep[[#This Row],[Follow Up Required]]="NO*","N/A",tblFLPrep[[#This Row],[Follow Up Required]]="NO","N/A",tblFLPrep[[#This Row],[Follow Up Required]]="","")</calculatedColumnFormula>
    </tableColumn>
    <tableColumn id="9" xr3:uid="{E0AB8FE9-7FEF-4FF7-B1E3-F4AA9CE092B7}" name="Sorting">
      <calculatedColumnFormula>IF(((tblFLPrep[[#This Row],[Section]]&lt;&gt;"")*((tblFLPrep[[#This Row],[Follow Up Required]]="Yes")+(tblFLPrep[[#This Row],[Follow Up Required]]="No"))),"A","")</calculatedColumnFormula>
    </tableColumn>
    <tableColumn id="10" xr3:uid="{0F8BC9A6-2A45-491F-BFE1-6DAD8649374D}" name="Counting Findings"/>
    <tableColumn id="11" xr3:uid="{0E3C0ADB-70B7-4DD8-BBD9-F66E50286C5A}" name="Add Missing">
      <calculatedColumnFormula>IFERROR(IF(AND(COUNTIF($E$1:E2,tblFLPrep[[#This Row],[Section]])=1,E2&lt;&gt;0,D2=""),"Yes",""),"")</calculatedColumnFormula>
    </tableColumn>
    <tableColumn id="12" xr3:uid="{4343E82D-A867-4D24-B46F-D57BEDE08ADC}" name="Row size"/>
    <tableColumn id="13" xr3:uid="{D1A617DB-12D4-4F33-B6C5-46650DDD995A}" name="Counting findings2">
      <calculatedColumnFormula>IF(tblFLPrep[[#This Row],[Sorting]]="","",SUM($M$1:M42))</calculatedColumnFormula>
    </tableColumn>
    <tableColumn id="14" xr3:uid="{C05743D7-0BFC-492C-9FF1-8DF9C40D40A4}" name="Findings counting">
      <calculatedColumnFormula>_xlfn.IFS(P1="Numbering",1,AND(tblFLPrep[[#This Row],[Counting findings2]]&gt;=1,tblFLPrep[[#This Row],[Counting findings2]]&lt;=600),O1+P1,AND(tblFLPrep[[#This Row],[Counting findings2]]&gt;=601,tblFLPrep[[#This Row],[Counting findings2]]&lt;=1200),IF(AND(N1&lt;=600,N2&gt;=600),(12-O1),0)+O1+P1,AND(tblFLPrep[[#This Row],[Counting findings2]]&gt;=1201,tblFLPrep[[#This Row],[Counting findings2]]&lt;=1800),IF(AND(N1&lt;=1200,N2&gt;=1200),(24-O1),0)+O1+P1,AND(tblFLPrep[[#This Row],[Counting findings2]]&gt;=1801,tblFLPrep[[#This Row],[Counting findings2]]&lt;=2400),IF(AND(N1&lt;=1800,N2&gt;=1800),(36-O1),0)+O1+P1,AND(tblFLPrep[[#This Row],[Counting findings2]]&gt;=2401,tblFLPrep[[#This Row],[Counting findings2]]&lt;=3000),IF(AND(N1&lt;=2400,N2&gt;=2400),(48-O1),0)+O1+P1,AND(tblFLPrep[[#This Row],[Counting findings2]]&gt;=3001,tblFLPrep[[#This Row],[Counting findings2]]&lt;=3600),IF(AND(N1&lt;=3000,N2&gt;=3000),(60-O1),0)+O1+P1)</calculatedColumnFormula>
    </tableColumn>
    <tableColumn id="15" xr3:uid="{E45BD2A8-2DAC-4E8A-9891-36301DC627B5}" name="Numbering">
      <calculatedColumnFormula>IF(AND(tblFLPrep[[#This Row],[Sorting]]="A",tblFLPrep[[#This Row],[Row size]]&gt;0),1,"")</calculatedColumnFormula>
    </tableColumn>
    <tableColumn id="16" xr3:uid="{7864F905-D795-4076-A3C8-02E0C165AFA9}" name="Dif"/>
  </tableColumns>
  <tableStyleInfo name="Table Sty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5913659C-67C1-4C6B-AE84-E4C3C02CF7D3}" name="tblAllSections" displayName="tblAllSections" ref="Z3:AA34" totalsRowShown="0" headerRowDxfId="886">
  <autoFilter ref="Z3:AA34" xr:uid="{5913659C-67C1-4C6B-AE84-E4C3C02CF7D3}"/>
  <tableColumns count="2">
    <tableColumn id="1" xr3:uid="{9355BA28-6C10-4164-80E5-675C97D68700}" name="SECCION" dataDxfId="885">
      <calculatedColumnFormula>_xlfn.IFS(LocationInfo[Select Letter Language]="English",'FL Prep'!AC4,LocationInfo[Select Letter Language]="Spanish",'FL Prep'!AD4,LocationInfo[Select Letter Language]="French",'FL Prep'!AE4,LocationInfo[Select Letter Language]="Portuguese",'FL Prep'!AF4)</calculatedColumnFormula>
    </tableColumn>
    <tableColumn id="2" xr3:uid="{E7748675-C308-4C6E-A2C7-AA224994C406}" name="Findings Count" dataDxfId="884">
      <calculatedColumnFormula>IF(tblAllSections[[#This Row],[SECCION]]=0,"",COUNTIFS(CallTb[Answer],"No*",CallTb[Section],tblAllSections[[#This Row],[SECCION]]))</calculatedColumnFormula>
    </tableColumn>
  </tableColumns>
  <tableStyleInfo name="Table Style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B682655E-745B-4C1A-8510-0A0BD2A514D1}" name="tblAccess" displayName="tblAccess" ref="A1:H49" totalsRowShown="0" headerRowDxfId="818" dataDxfId="816" headerRowBorderDxfId="817" tableBorderDxfId="815" totalsRowBorderDxfId="814">
  <autoFilter ref="A1:H49" xr:uid="{B682655E-745B-4C1A-8510-0A0BD2A514D1}"/>
  <tableColumns count="8">
    <tableColumn id="1" xr3:uid="{87A2DC19-21D2-42CA-B357-D64E6C4E3D06}" name="Windows User" dataDxfId="813"/>
    <tableColumn id="2" xr3:uid="{FC00BC9C-7B45-40E0-AFC3-10C76742D53C}" name="Department" dataDxfId="812"/>
    <tableColumn id="3" xr3:uid="{ABDF749A-BD2C-4869-AB09-6DE203ECA303}" name="WUCO Name" dataDxfId="811"/>
    <tableColumn id="4" xr3:uid="{F79B8DF7-EBFC-4928-A23B-B982724B1CBB}" name="Position" dataDxfId="810"/>
    <tableColumn id="5" xr3:uid="{2AD99557-987C-4160-8C0E-82C0CE56D1B6}" name="Phone Number" dataDxfId="809"/>
    <tableColumn id="6" xr3:uid="{CB71D7F7-E733-4055-9611-DA55F69B92D5}" name="FAX Number" dataDxfId="808"/>
    <tableColumn id="7" xr3:uid="{B8D9C5F6-A5BB-421D-BBB7-D96271393A10}" name="Email Address" dataDxfId="807" dataCellStyle="Hyperlink"/>
    <tableColumn id="8" xr3:uid="{6CE1C1A9-5BF3-4C3C-9580-CB7682A122E6}" name="Manager" dataDxfId="806"/>
  </tableColumns>
  <tableStyleInfo name="TableStyleLight1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5211BFF-ABD4-47E6-BDB7-4C909E1E71F3}" name="Network_Agent" displayName="Network_Agent" ref="D5:AB46" totalsRowShown="0" headerRowDxfId="805" dataDxfId="804">
  <autoFilter ref="D5:AB46" xr:uid="{15211BFF-ABD4-47E6-BDB7-4C909E1E71F3}"/>
  <sortState xmlns:xlrd2="http://schemas.microsoft.com/office/spreadsheetml/2017/richdata2" ref="D6:AB46">
    <sortCondition ref="D5:D46"/>
  </sortState>
  <tableColumns count="25">
    <tableColumn id="1" xr3:uid="{2E6F215F-8D42-4AC3-8BD2-75E6A3C4039B}" name="iWatch #" dataDxfId="803"/>
    <tableColumn id="2" xr3:uid="{53D419BA-BEB8-4402-879F-C117DD78E161}" name="Question" dataDxfId="802"/>
    <tableColumn id="3" xr3:uid="{D05D0975-81B8-450F-92F7-4942E50813C3}" name="Possible Answers" dataDxfId="801"/>
    <tableColumn id="4" xr3:uid="{7C7FE2A4-56C9-42F3-BBEA-2228BFC14D4C}" name="Possible Answers Pool" dataDxfId="800"/>
    <tableColumn id="5" xr3:uid="{7A2B12BF-378D-4C0B-94C3-69F9A98E97D1}" name="Guidance_x000a_If YES" dataDxfId="799"/>
    <tableColumn id="6" xr3:uid="{E42F9374-C61A-4BE7-866A-79369F28418E}" name="Guidance_x000a_If NO" dataDxfId="798"/>
    <tableColumn id="7" xr3:uid="{856E546D-4CBB-42A2-8A5F-762FB88AFD6C}" name="Guidance_x000a_If NO 2" dataDxfId="797"/>
    <tableColumn id="8" xr3:uid="{A3F4F04C-46B5-4487-8D2A-2CBDFD4102FF}" name="Guidance_x000a_If NA" dataDxfId="796"/>
    <tableColumn id="9" xr3:uid="{5863F563-E157-4876-9945-A68DE8122914}" name="Free Text?" dataDxfId="795"/>
    <tableColumn id="10" xr3:uid="{A9F803B4-9D86-4253-B446-E46DC8257172}" name="Call Flow Order" dataDxfId="794">
      <calculatedColumnFormula>IFERROR(VLOOKUP(Network_Agent[[#This Row],[iWatch '#]],INDIRECT('Defined Ranges'!$C$28&amp;"Order"&amp;'Defined Ranges'!$C$29),2,FALSE),"")</calculatedColumnFormula>
    </tableColumn>
    <tableColumn id="11" xr3:uid="{32BB0782-8238-46B6-A53A-3B11C4D4EF49}" name="iWatch Order" dataDxfId="793">
      <calculatedColumnFormula>IFERROR(VLOOKUP(Network_Agent[[#This Row],[iWatch '#]],INDIRECT('Defined Ranges'!$C$28&amp;"Order"&amp;'Defined Ranges'!$C$29),3,FALSE),"")</calculatedColumnFormula>
    </tableColumn>
    <tableColumn id="12" xr3:uid="{A730BB7E-848E-47A0-8D6B-FFA2AA860602}" name="Order" dataDxfId="792"/>
    <tableColumn id="13" xr3:uid="{6DBE331B-D713-4D78-9F2F-79E1477610E8}" name="Verification Type" dataDxfId="791">
      <calculatedColumnFormula array="1">_xlfn.IFS(LSelected="English",Network_Agent[[#This Row],[Verification Type English]],LSelected="Spanish",Network_Agent[[#This Row],[Verification Type Spanish]],LSelected="French",Network_Agent[[#This Row],[Verification Type French]],LSelected="Portuguese",Network_Agent[[#This Row],[Verification Type Portuguese]])</calculatedColumnFormula>
    </tableColumn>
    <tableColumn id="14" xr3:uid="{EF781069-8DCB-4C78-8E90-E1066D20E68B}" name="Scripting English" dataDxfId="790">
      <calculatedColumnFormula array="1">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calculatedColumnFormula>
    </tableColumn>
    <tableColumn id="15" xr3:uid="{3F6D4774-42CB-475F-BE71-949F0DD0BA8F}" name="free1" dataDxfId="789"/>
    <tableColumn id="16" xr3:uid="{1C37568E-4EE6-40B7-87F1-BA79F69A4265}" name="free2" dataDxfId="788"/>
    <tableColumn id="17" xr3:uid="{3392A7A4-F55C-411F-AAFA-A8F883C4A520}" name="Action" dataDxfId="787"/>
    <tableColumn id="18" xr3:uid="{FAC677B6-A779-4C7E-BAF9-8138FC54DBFD}" name="Verification Type English" dataDxfId="786"/>
    <tableColumn id="19" xr3:uid="{79B4E538-9165-41D8-8D66-7F27B5C966D0}" name="Suggested script English" dataDxfId="785"/>
    <tableColumn id="20" xr3:uid="{06E882F2-2281-4E0E-9A8D-E9FABB149DB7}" name="Verification Type Spanish" dataDxfId="784"/>
    <tableColumn id="21" xr3:uid="{5D1125C4-1013-4A9C-9B6E-3B427281FB4C}" name="Suggested script Spanish" dataDxfId="783"/>
    <tableColumn id="22" xr3:uid="{80C4D184-3BB7-485F-BC3F-57D1094B9009}" name="Verification Type French" dataDxfId="782"/>
    <tableColumn id="23" xr3:uid="{F2A04420-F234-4D9F-825B-90E917C09A6F}" name="Suggested script French" dataDxfId="781"/>
    <tableColumn id="24" xr3:uid="{86F852C9-5F0A-47B5-BCF7-AC5705EE7A8C}" name="Verification Type Portuguese" dataDxfId="780"/>
    <tableColumn id="25" xr3:uid="{8C97B878-405C-4105-AA68-A5A40EA63557}" name="Suggested script Portuguese" dataDxfId="77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2F0C86D-AB3D-41E1-ABC7-791023647210}" name="Network_Agent_United_States" displayName="Network_Agent_United_States" ref="AF5:BD19" totalsRowShown="0" headerRowDxfId="778" dataDxfId="777">
  <autoFilter ref="AF5:BD19" xr:uid="{92F0C86D-AB3D-41E1-ABC7-791023647210}"/>
  <tableColumns count="25">
    <tableColumn id="1" xr3:uid="{55468D47-E366-45B4-8DA6-1D52F996A01D}" name="iWatch #" dataDxfId="776"/>
    <tableColumn id="2" xr3:uid="{A0A0A900-AB6E-49F2-A572-6B5B9E62C530}" name="Question" dataDxfId="775"/>
    <tableColumn id="3" xr3:uid="{4951A372-FA4C-4952-8634-91497C393015}" name="Possible Answers" dataDxfId="774"/>
    <tableColumn id="4" xr3:uid="{465AEF48-8A36-4AF5-8D13-A139BE678382}" name="Possible Answers Pool" dataDxfId="773"/>
    <tableColumn id="5" xr3:uid="{B71EACB6-D387-437B-A6D6-CDAD3FEE9497}" name="Guidance_x000a_If Yes" dataDxfId="772"/>
    <tableColumn id="6" xr3:uid="{3E0D73BA-50B8-409F-81BE-B81684500DEC}" name="Guidance_x000a_If No" dataDxfId="771"/>
    <tableColumn id="7" xr3:uid="{AFC8DC3D-4347-408B-A628-93BD010DCB21}" name="Guidance_x000a_If No 2" dataDxfId="770"/>
    <tableColumn id="8" xr3:uid="{FA41B187-76FC-4C90-B4E5-AB36F1B60BE0}" name="Guidance_x000a_If NA" dataDxfId="769"/>
    <tableColumn id="9" xr3:uid="{DDAC43CC-CA75-403C-9456-69520DEAE77F}" name="Free Text?" dataDxfId="768"/>
    <tableColumn id="10" xr3:uid="{4A9A1EE2-6452-4BA9-AA55-A2A521D2D3FF}" name="Call Flow Order" dataDxfId="767">
      <calculatedColumnFormula>IFERROR(VLOOKUP(Network_Agent_United_States[[#This Row],[iWatch '#]],INDIRECT('Defined Ranges'!$C$28&amp;"ROrder"&amp;'Defined Ranges'!$C$29),2,FALSE),"")</calculatedColumnFormula>
    </tableColumn>
    <tableColumn id="11" xr3:uid="{A8A8B5D8-D94C-496F-B3B7-AFF978C6A555}" name="iWatch Order" dataDxfId="766">
      <calculatedColumnFormula>IFERROR(VLOOKUP(Network_Agent_United_States[[#This Row],[iWatch '#]],INDIRECT('Defined Ranges'!$C$28&amp;"ROrder"&amp;'Defined Ranges'!$C$29),3,FALSE),"")</calculatedColumnFormula>
    </tableColumn>
    <tableColumn id="12" xr3:uid="{1D9F6F81-8AD6-40CC-8A36-84F4621FE5BF}" name="Order" dataDxfId="765">
      <calculatedColumnFormula>#REF!+1</calculatedColumnFormula>
    </tableColumn>
    <tableColumn id="13" xr3:uid="{0B710199-8E4E-4432-90A5-AFD9ACC04882}" name="Verification Type" dataDxfId="764">
      <calculatedColumnFormula array="1">_xlfn.IFS(LSelected="English",Network_Agent_United_States[[#This Row],[Verification Type English]],LSelected="Spanish",Network_Agent_United_States[[#This Row],[Verification Type Spanish]],LSelected="French",Network_Agent_United_States[[#This Row],[Verification Type French]],LSelected="Portuguese",Network_Agent_United_States[[#This Row],[Verification Type Portuguese]])</calculatedColumnFormula>
    </tableColumn>
    <tableColumn id="14" xr3:uid="{EBA33A5B-AD1D-49BE-850A-095B43972257}" name="Scripting English" dataDxfId="763">
      <calculatedColumnFormula array="1">_xlfn.IFS(SScript="English",Network_Agent_United_States[[#This Row],[Suggested script English]],SScript="Spanish",Network_Agent_United_States[[#This Row],[Suggested script Spanish]],SScript="French",Network_Agent_United_States[[#This Row],[Suggested script French]],SScript="Portuguese",Network_Agent_United_States[[#This Row],[Suggested script Portuguese]])</calculatedColumnFormula>
    </tableColumn>
    <tableColumn id="15" xr3:uid="{FD8DD098-587B-428E-BBAC-C2A386485E50}" name="free1" dataDxfId="762"/>
    <tableColumn id="16" xr3:uid="{159C44B0-37E4-40AE-9CFB-FD4C2F00978A}" name="free2" dataDxfId="761"/>
    <tableColumn id="17" xr3:uid="{26D82972-AA30-4796-8728-6B2DC8464F85}" name="Action" dataDxfId="760"/>
    <tableColumn id="18" xr3:uid="{D63F4855-83A7-4882-B863-E75222A9FE30}" name="Verification Type English" dataDxfId="759"/>
    <tableColumn id="19" xr3:uid="{CE2D2836-E4AC-4482-8A84-438A75B65AE4}" name="Suggested script English" dataDxfId="758"/>
    <tableColumn id="20" xr3:uid="{5A9809D5-9F9F-4F7D-B331-29DA48A0483D}" name="Verification Type Spanish" dataDxfId="757"/>
    <tableColumn id="21" xr3:uid="{2EC997AA-0F54-44AA-AF1D-0BC640EA6EA4}" name="Suggested script Spanish" dataDxfId="756"/>
    <tableColumn id="22" xr3:uid="{AF75FBC4-3255-45E2-B72C-259377D4487F}" name="Verification Type French" dataDxfId="755"/>
    <tableColumn id="23" xr3:uid="{8A0AE3BD-6CDB-4A20-9383-25957D9AED6C}" name="Suggested script French" dataDxfId="754"/>
    <tableColumn id="24" xr3:uid="{DD9A1EC1-9B11-4582-A97F-C5D01DFFF521}" name="Verification Type Portuguese" dataDxfId="753"/>
    <tableColumn id="25" xr3:uid="{F5A4B4E8-9494-4A57-84D0-58F668D69D02}" name="Suggested script Portuguese" dataDxfId="752"/>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7055136-A072-41CF-A085-D4890B4EA128}" name="Independent" displayName="Independent" ref="D55:AB125" totalsRowShown="0" headerRowDxfId="751" dataDxfId="750">
  <autoFilter ref="D55:AB125" xr:uid="{67055136-A072-41CF-A085-D4890B4EA128}"/>
  <sortState xmlns:xlrd2="http://schemas.microsoft.com/office/spreadsheetml/2017/richdata2" ref="D87:AB94">
    <sortCondition ref="D55:D125"/>
  </sortState>
  <tableColumns count="25">
    <tableColumn id="1" xr3:uid="{FFC36AD9-1A2E-4DD8-8FA8-9728CF67B558}" name="iWatch #" dataDxfId="749"/>
    <tableColumn id="2" xr3:uid="{E825A89D-EA8E-4DC3-8E3B-C6DAFA86CE35}" name="Question" dataDxfId="748"/>
    <tableColumn id="3" xr3:uid="{9A4AA596-7793-4151-81E8-9CD05C00A72F}" name="Possible Answers" dataDxfId="747"/>
    <tableColumn id="4" xr3:uid="{AE612B90-29C9-4D7D-9AF9-0DDC20A44D95}" name="Possible Answers Pool" dataDxfId="746"/>
    <tableColumn id="5" xr3:uid="{38E647BA-1468-4CC0-BB24-70EDD1A30A0D}" name="Guidance_x000a_If YES" dataDxfId="745"/>
    <tableColumn id="6" xr3:uid="{61C69C29-ECA3-4BB1-B53B-18E57DF26D45}" name="Guidance_x000a_If NO" dataDxfId="744"/>
    <tableColumn id="7" xr3:uid="{7C983998-9CD7-4075-9A70-29B00AFFC74F}" name="Guidance_x000a_If NO 2" dataDxfId="743"/>
    <tableColumn id="8" xr3:uid="{B9DA2CD0-6842-4013-BF2A-C013DC75B519}" name="Guidance_x000a_If NA" dataDxfId="742"/>
    <tableColumn id="9" xr3:uid="{3164C2F3-FA40-4A53-82A5-A0D94AA5FB26}" name="Free Text?" dataDxfId="741"/>
    <tableColumn id="10" xr3:uid="{A259B961-D956-4965-ABA2-4C7930E79389}" name="Call Flow Order" dataDxfId="740">
      <calculatedColumnFormula>IFERROR(VLOOKUP(Independent[[#This Row],[iWatch '#]],INDIRECT('Defined Ranges'!$C$28&amp;"Order"&amp;'Defined Ranges'!$C$29),2,FALSE),"")</calculatedColumnFormula>
    </tableColumn>
    <tableColumn id="11" xr3:uid="{37C8BB63-1324-4458-A1D2-7704180DC1A0}" name="iWatch Order" dataDxfId="739">
      <calculatedColumnFormula>IFERROR(VLOOKUP(Independent[[#This Row],[iWatch '#]],INDIRECT('Defined Ranges'!$C$28&amp;"Order"&amp;'Defined Ranges'!$C$29),3,FALSE),"")</calculatedColumnFormula>
    </tableColumn>
    <tableColumn id="12" xr3:uid="{A9BF56EB-0CC8-45F0-9988-07C650A4CB0C}" name="Order" dataDxfId="738"/>
    <tableColumn id="13" xr3:uid="{E305F0E6-8EC3-48E5-8DE6-81E43812F534}" name="Verification Type" dataDxfId="737">
      <calculatedColumnFormula array="1">_xlfn.IFS(LSelected="English",Independent[[#This Row],[Verification Type English]],LSelected="Spanish",Independent[[#This Row],[Verification Type Spanish]],LSelected="French",Independent[[#This Row],[Verification Type French]],LSelected="Portuguese",Independent[[#This Row],[Verification Type Portuguese]])</calculatedColumnFormula>
    </tableColumn>
    <tableColumn id="14" xr3:uid="{F14D2711-F72F-4D03-BE76-38A6C5B0B0D7}" name="Scripting English" dataDxfId="736">
      <calculatedColumnFormula array="1">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calculatedColumnFormula>
    </tableColumn>
    <tableColumn id="15" xr3:uid="{C2473FC2-F204-4BDB-B4E6-210954DD7B0D}" name="free1" dataDxfId="735"/>
    <tableColumn id="16" xr3:uid="{BEEC2B4B-BB9A-4C33-845E-B4994BE4CD54}" name="free2" dataDxfId="734"/>
    <tableColumn id="17" xr3:uid="{9087A2C7-D466-43BF-B558-3B380FEFDB94}" name="Action" dataDxfId="733"/>
    <tableColumn id="18" xr3:uid="{45FD66B1-0D9F-48B6-BD44-33C70997918D}" name="Verification Type English" dataDxfId="732"/>
    <tableColumn id="19" xr3:uid="{15CBF332-1B3D-49DA-9529-42FA903B64D7}" name="Suggested script English" dataDxfId="731"/>
    <tableColumn id="20" xr3:uid="{883B0247-84BC-49A6-B3E0-DB6D829D9EA7}" name="Verification Type Spanish" dataDxfId="730"/>
    <tableColumn id="21" xr3:uid="{4802CF2A-B0E7-44F9-BF31-5656D1171708}" name="Suggested script Spanish" dataDxfId="729"/>
    <tableColumn id="22" xr3:uid="{254CAF3E-FD2A-4293-BDA7-9B591CC9DDCB}" name="Verification Type French" dataDxfId="728"/>
    <tableColumn id="23" xr3:uid="{9D152759-3A90-4DF8-9F94-0A229F27CE44}" name="Suggested script French" dataDxfId="727"/>
    <tableColumn id="24" xr3:uid="{ABF5C0A4-4495-4825-9ECB-B26A4C17078A}" name="Verification Type Portuguese" dataDxfId="726"/>
    <tableColumn id="25" xr3:uid="{B8F2FACF-E5F4-4EC5-BB7E-AB33915BCCF5}" name="Suggested script Portuguese" dataDxfId="72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EE32E629-45C3-48EC-8030-23409A7DB8C4}" name="Independent_United_States" displayName="Independent_United_States" ref="AF54:BD77" totalsRowShown="0" headerRowDxfId="724" dataDxfId="722" headerRowBorderDxfId="723" tableBorderDxfId="721">
  <autoFilter ref="AF54:BD77" xr:uid="{EE32E629-45C3-48EC-8030-23409A7DB8C4}"/>
  <tableColumns count="25">
    <tableColumn id="1" xr3:uid="{FDD26652-2D77-4FC6-8ED3-7DAB5F4A8C7B}" name="iWatch #" dataDxfId="720" dataCellStyle="Normal"/>
    <tableColumn id="2" xr3:uid="{ADA94A9D-F368-44C5-9F7C-2B08D389BA3A}" name="Question" dataDxfId="719"/>
    <tableColumn id="3" xr3:uid="{F6DE628F-DE2D-4885-AAEB-31F783A1C43F}" name="Possible Answers" dataDxfId="718"/>
    <tableColumn id="4" xr3:uid="{5A2C1A2A-A401-4B96-BAA0-C706A338DB92}" name="Possible Answers Pool" dataDxfId="717"/>
    <tableColumn id="5" xr3:uid="{2BA03013-BEC3-448D-BF65-1EDDEB165BE9}" name="Guidance_x000a_If Yes" dataDxfId="716"/>
    <tableColumn id="6" xr3:uid="{759AAFB2-2672-4BB6-AB0B-F45F5EBC271B}" name="Guidance_x000a_If No" dataDxfId="715"/>
    <tableColumn id="7" xr3:uid="{7DB90254-96CE-4322-8F46-5B4A948C7DCF}" name="Guidance_x000a_If No 2" dataDxfId="714"/>
    <tableColumn id="8" xr3:uid="{1DFE496C-355F-40B2-AD8E-D78C898F50CF}" name="Guidance_x000a_If NA" dataDxfId="713"/>
    <tableColumn id="9" xr3:uid="{828F5EAC-B2B6-47FB-965D-8163D6F73EC5}" name="Free Text?" dataDxfId="712"/>
    <tableColumn id="10" xr3:uid="{38430677-0BE4-4810-BB06-E8E6E6955E57}" name="Call Flow Order" dataDxfId="711">
      <calculatedColumnFormula>IFERROR(VLOOKUP(Independent_United_States[[#This Row],[iWatch '#]],INDIRECT('Defined Ranges'!$C$28&amp;"ROrder"&amp;'Defined Ranges'!$C$29),2,FALSE),"")</calculatedColumnFormula>
    </tableColumn>
    <tableColumn id="11" xr3:uid="{9213031E-A5E9-4087-82CA-443E8F1185E1}" name="iWatch Order" dataDxfId="710">
      <calculatedColumnFormula>IFERROR(VLOOKUP(Independent_United_States[[#This Row],[iWatch '#]],INDIRECT('Defined Ranges'!$C$28&amp;"ROrder"&amp;'Defined Ranges'!$C$29),3,FALSE),"")</calculatedColumnFormula>
    </tableColumn>
    <tableColumn id="12" xr3:uid="{44C85B7F-01AE-4FCC-89AA-E3097B2B9E32}" name="Order" dataDxfId="709">
      <calculatedColumnFormula>'Defined Ranges'!$D$23+1</calculatedColumnFormula>
    </tableColumn>
    <tableColumn id="13" xr3:uid="{009C0C93-74C7-4AC7-A173-6F6CC7E43DA9}" name="Verification Type" dataDxfId="708">
      <calculatedColumnFormula array="1">_xlfn.IFS(LSelected="English",Independent_United_States[[#This Row],[Verification Type English]],LSelected="Spanish",Independent_United_States[[#This Row],[Verification Type Spanish]],LSelected="French",Independent_United_States[[#This Row],[Verification Type French]],LSelected="Portuguese",Independent_United_States[[#This Row],[Verification Type Portuguese]])</calculatedColumnFormula>
    </tableColumn>
    <tableColumn id="14" xr3:uid="{9B09E16D-94EE-42BE-841A-64206144F2A0}" name="Scripting English" dataDxfId="707">
      <calculatedColumnFormula array="1">_xlfn.IFS(SScript="English",Independent_United_States[[#This Row],[Suggested script English]],SScript="Spanish",Independent_United_States[[#This Row],[Suggested script Spanish]],SScript="French",Independent_United_States[[#This Row],[Suggested script French]],SScript="Portuguese",Independent_United_States[[#This Row],[Suggested script Portuguese]])</calculatedColumnFormula>
    </tableColumn>
    <tableColumn id="15" xr3:uid="{B144AEF9-968E-487E-B4C6-D07AD26C8175}" name="free1" dataDxfId="706"/>
    <tableColumn id="16" xr3:uid="{155A6431-F8C7-4582-9BBD-925DCD8840D2}" name="free2" dataDxfId="705"/>
    <tableColumn id="17" xr3:uid="{06729268-3E33-4E70-95DC-13E42F183D78}" name="Action" dataDxfId="704"/>
    <tableColumn id="18" xr3:uid="{EBDE009A-CBAF-4E4D-B20E-914E33A2F619}" name="Verification Type English" dataDxfId="703"/>
    <tableColumn id="19" xr3:uid="{EF72B27C-C0CD-437F-8625-7FDF05F2284A}" name="Suggested script English" dataDxfId="702"/>
    <tableColumn id="20" xr3:uid="{BD56BCDE-3E34-416E-86ED-2090093EB6D8}" name="Verification Type Spanish" dataDxfId="701"/>
    <tableColumn id="21" xr3:uid="{C05EF706-854C-4D6B-BA34-8A9EAC837342}" name="Suggested script Spanish" dataDxfId="700"/>
    <tableColumn id="22" xr3:uid="{461951AE-526D-4B03-9D27-0C0D89DC5B71}" name="Verification Type French" dataDxfId="699"/>
    <tableColumn id="23" xr3:uid="{7BF8376B-2FE1-46F6-9941-1F3C99416FF2}" name="Suggested script French" dataDxfId="698"/>
    <tableColumn id="24" xr3:uid="{621FE46E-8F9D-4704-8FCA-A9367BEC37E2}" name="Verification Type Portuguese" dataDxfId="697"/>
    <tableColumn id="25" xr3:uid="{08F0031F-F2E9-4F84-AD18-20C8FBF7D112}" name="Suggested script Portuguese" dataDxfId="696"/>
  </tableColumns>
  <tableStyleInfo name="TableStyleMedium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6A48E34-52B6-481C-8822-C3B57E8CA924}" name="Independent_Canada" displayName="Independent_Canada" ref="AF81:BD86" totalsRowShown="0" headerRowDxfId="695" dataDxfId="693" headerRowBorderDxfId="694" tableBorderDxfId="692">
  <autoFilter ref="AF81:BD86" xr:uid="{26A48E34-52B6-481C-8822-C3B57E8CA924}"/>
  <sortState xmlns:xlrd2="http://schemas.microsoft.com/office/spreadsheetml/2017/richdata2" ref="AF82:BD86">
    <sortCondition ref="AF81:AF86"/>
  </sortState>
  <tableColumns count="25">
    <tableColumn id="1" xr3:uid="{270DC0B3-3003-48F4-98C5-DCDDAD6F0629}" name="iWatch #" dataDxfId="691"/>
    <tableColumn id="2" xr3:uid="{2AAB14E4-DEA8-4FF6-B607-EDE79C5D59DF}" name="Question" dataDxfId="690"/>
    <tableColumn id="3" xr3:uid="{E58A225E-2600-4C53-B96F-F56F27F637B2}" name="Possible Answers" dataDxfId="689"/>
    <tableColumn id="4" xr3:uid="{614A1EE2-80E7-498E-AC77-A27AB931BFEA}" name="Possible Answers Pool" dataDxfId="688"/>
    <tableColumn id="5" xr3:uid="{D0DE69DF-DABB-4C8A-9877-F4FE70D40152}" name="Guidance_x000a_If Yes" dataDxfId="687"/>
    <tableColumn id="6" xr3:uid="{B99E97A9-3DBD-4041-9D6E-856AE8061934}" name="Guidance_x000a_If No" dataDxfId="686"/>
    <tableColumn id="7" xr3:uid="{F051B2E6-2CB7-425A-BE86-B96CF16E50BE}" name="Guidance_x000a_If No 2" dataDxfId="685"/>
    <tableColumn id="8" xr3:uid="{D737AF22-8F19-4570-872E-BABEFBAEA0D5}" name="Guidance_x000a_If NA" dataDxfId="684"/>
    <tableColumn id="9" xr3:uid="{52A0A6A5-B7D6-4A85-8F46-2CDE0E378A07}" name="Free Text?" dataDxfId="683"/>
    <tableColumn id="10" xr3:uid="{1F0188E7-846F-4739-B616-36233C8F89D6}" name="Call Flow Order" dataDxfId="682">
      <calculatedColumnFormula>IFERROR(VLOOKUP(Independent_Canada[[#This Row],[iWatch '#]],INDIRECT('Defined Ranges'!$C$28&amp;"ROrder"&amp;'Defined Ranges'!$C$29),2,FALSE),"")</calculatedColumnFormula>
    </tableColumn>
    <tableColumn id="11" xr3:uid="{2E495FEA-AD3A-4350-81FD-34A42D2E29CC}" name="iWatch Order" dataDxfId="681">
      <calculatedColumnFormula>IFERROR(VLOOKUP(Independent_Canada[[#This Row],[iWatch '#]],INDIRECT('Defined Ranges'!$C$28&amp;"ROrder"&amp;'Defined Ranges'!$C$29),3,FALSE),"")</calculatedColumnFormula>
    </tableColumn>
    <tableColumn id="12" xr3:uid="{A1DC417E-04E3-48FF-AC38-BA6FADDC27E6}" name="Order" dataDxfId="680">
      <calculatedColumnFormula>'Defined Ranges'!$D$23+1</calculatedColumnFormula>
    </tableColumn>
    <tableColumn id="13" xr3:uid="{E9CAA042-04FD-46C2-88C4-34591C16F139}" name="Verification Type" dataDxfId="679">
      <calculatedColumnFormula array="1">_xlfn.IFS(LSelected="English",Independent_Canada[[#This Row],[Verification Type English]],LSelected="Spanish",Independent_Canada[[#This Row],[Verification Type Spanish]],LSelected="French",Independent_Canada[[#This Row],[Verification Type French]],LSelected="Portuguese",Independent_Canada[[#This Row],[Verification Type Portuguese]])</calculatedColumnFormula>
    </tableColumn>
    <tableColumn id="14" xr3:uid="{B3083A2E-7998-4041-A027-BD6E6BD6FF2D}" name="Scripting English" dataDxfId="678">
      <calculatedColumnFormula array="1">_xlfn.IFS(SScript="English",Independent_Canada[[#This Row],[Suggested script English]],SScript="Spanish",Independent_Canada[[#This Row],[Suggested script Spanish]],SScript="French",Independent_Canada[[#This Row],[Suggested script French]],SScript="Portuguese",Independent_Canada[[#This Row],[Suggested script Portuguese]])</calculatedColumnFormula>
    </tableColumn>
    <tableColumn id="15" xr3:uid="{54D1A74E-8F96-4B63-897A-E9C214FC5EDB}" name="free1" dataDxfId="677"/>
    <tableColumn id="16" xr3:uid="{EA210C22-3AC2-4D1A-8663-4C7214A541F8}" name="free2" dataDxfId="676"/>
    <tableColumn id="17" xr3:uid="{1F25B3D1-E7DC-4333-AA29-41FDB7DB65C4}" name="Action" dataDxfId="675"/>
    <tableColumn id="18" xr3:uid="{53ECF25A-86B1-405B-B4AF-CD8667CB0E0B}" name="Verification Type English" dataDxfId="674"/>
    <tableColumn id="19" xr3:uid="{96ABCBF7-1A3F-4AE7-A85E-C63F7FC3E334}" name="Suggested script English" dataDxfId="673"/>
    <tableColumn id="20" xr3:uid="{2449F93C-B138-42E4-82B2-1D1390AF5067}" name="Verification Type Spanish" dataDxfId="672"/>
    <tableColumn id="21" xr3:uid="{E706011D-28CB-41A9-8FE3-006CDBC0FBE2}" name="Suggested script Spanish" dataDxfId="671"/>
    <tableColumn id="22" xr3:uid="{79600281-6E6C-463A-8ADA-CD5848B33AB7}" name="Verification Type French" dataDxfId="670"/>
    <tableColumn id="23" xr3:uid="{52B4B512-F72D-447F-AA93-032B37A9512D}" name="Suggested script French" dataDxfId="669"/>
    <tableColumn id="24" xr3:uid="{50F81FBC-56C0-48E7-8994-E804884F2FA4}" name="Verification Type Portuguese" dataDxfId="668"/>
    <tableColumn id="25" xr3:uid="{BD18724C-5B62-46A9-9A92-3EF8847E2FFE}" name="Suggested script Portuguese" dataDxfId="667"/>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52A66856-666F-4F55-9B09-1CDFDC92D4C3}" name="Independent_Australia" displayName="Independent_Australia" ref="AF90:BD103" totalsRowShown="0" headerRowDxfId="666" dataDxfId="664" headerRowBorderDxfId="665" tableBorderDxfId="663">
  <autoFilter ref="AF90:BD103" xr:uid="{52A66856-666F-4F55-9B09-1CDFDC92D4C3}"/>
  <tableColumns count="25">
    <tableColumn id="1" xr3:uid="{6D675675-F7DD-416E-92D9-1B57ED485B9D}" name="iWatch #" dataDxfId="662"/>
    <tableColumn id="2" xr3:uid="{AF108233-1A1D-4819-A3AB-57CF2E498E65}" name="Question" dataDxfId="661"/>
    <tableColumn id="3" xr3:uid="{9F55C8A8-2E72-4C64-9E79-2E5F4A9D89B6}" name="Possible Answers" dataDxfId="660"/>
    <tableColumn id="4" xr3:uid="{9F6EE2CD-D714-4371-96FF-D4D9EDF203EB}" name="Possible Answers Pool" dataDxfId="659"/>
    <tableColumn id="5" xr3:uid="{0BB49E3B-D67A-43BD-9AFE-C521B7DE8CAF}" name="Guidance_x000a_If Yes" dataDxfId="658"/>
    <tableColumn id="6" xr3:uid="{80FED9C8-F3C8-4553-988E-990A184F710A}" name="Guidance_x000a_If No" dataDxfId="657"/>
    <tableColumn id="7" xr3:uid="{3FE69E71-D845-47AB-8027-5A72A70C2B7C}" name="Guidance_x000a_If No 2" dataDxfId="656"/>
    <tableColumn id="8" xr3:uid="{DC71313B-4B67-40F8-86E2-1BA38C40E5B6}" name="Guidance_x000a_If NA" dataDxfId="655"/>
    <tableColumn id="9" xr3:uid="{764C7E5D-231B-4BCA-94D7-5C496353A2E9}" name="Free Text?" dataDxfId="654"/>
    <tableColumn id="10" xr3:uid="{07AE2171-BA5C-4727-B267-C905896E5C73}" name="Call Flow Order" dataDxfId="653">
      <calculatedColumnFormula>IFERROR(VLOOKUP(Independent_Australia[[#This Row],[iWatch '#]],INDIRECT('Defined Ranges'!$C$28&amp;"ROrder"&amp;'Defined Ranges'!$C$29),2,FALSE),"")</calculatedColumnFormula>
    </tableColumn>
    <tableColumn id="11" xr3:uid="{DC53F84A-5792-4334-901D-A41FA79D9E42}" name="iWatch Order" dataDxfId="652">
      <calculatedColumnFormula>IFERROR(VLOOKUP(Independent_Australia[[#This Row],[iWatch '#]],INDIRECT('Defined Ranges'!$C$28&amp;"ROrder"&amp;'Defined Ranges'!$C$29),3,FALSE),"")</calculatedColumnFormula>
    </tableColumn>
    <tableColumn id="12" xr3:uid="{71B48651-9E24-41E4-9942-E3700BEF3A5F}" name="Order" dataDxfId="651">
      <calculatedColumnFormula>'Defined Ranges'!$D$23+1</calculatedColumnFormula>
    </tableColumn>
    <tableColumn id="13" xr3:uid="{6DDE5F83-BA9A-4E43-B990-ABB0E9536B92}" name="Verification Type" dataDxfId="650">
      <calculatedColumnFormula array="1">_xlfn.IFS(LSelected="English",Independent_Australia[[#This Row],[Verification Type English]],LSelected="Spanish",Independent_Australia[[#This Row],[Verification Type Spanish]],LSelected="French",Independent_Australia[[#This Row],[Verification Type French]],LSelected="Portuguese",Independent_Australia[[#This Row],[Verification Type Portuguese]])</calculatedColumnFormula>
    </tableColumn>
    <tableColumn id="14" xr3:uid="{A0E9B702-61DB-4F80-B292-11AFD9BD36CA}" name="Scripting English" dataDxfId="649">
      <calculatedColumnFormula array="1">_xlfn.IFS(SScript="English",Independent_Australia[[#This Row],[Suggested script English]],SScript="Spanish",Independent_Australia[[#This Row],[Suggested script Spanish]],SScript="French",Independent_Australia[[#This Row],[Suggested script French]],SScript="Portuguese",Independent_Australia[[#This Row],[Suggested script Portuguese]])</calculatedColumnFormula>
    </tableColumn>
    <tableColumn id="15" xr3:uid="{B622F92C-3EB4-4926-BF3C-46E137C91F19}" name="free1" dataDxfId="648"/>
    <tableColumn id="16" xr3:uid="{147AF1B8-6D8B-4177-B872-C3D39F5F1E04}" name="free2" dataDxfId="647"/>
    <tableColumn id="17" xr3:uid="{E56ACB39-4002-44FF-B355-8DB7A8F01481}" name="Action" dataDxfId="646"/>
    <tableColumn id="18" xr3:uid="{794C5F18-DEC2-4445-9E3B-23ED54766644}" name="Verification Type English" dataDxfId="645"/>
    <tableColumn id="19" xr3:uid="{AD358F50-7B5F-47A2-8431-1B6D5226F65D}" name="Suggested script English" dataDxfId="644"/>
    <tableColumn id="20" xr3:uid="{0D11786A-40E6-4EDC-91D6-53A420F9B956}" name="Verification Type Spanish" dataDxfId="643"/>
    <tableColumn id="21" xr3:uid="{3F01D864-5A9C-434D-BC6F-65E20B4C4BF2}" name="Suggested script Spanish" dataDxfId="642"/>
    <tableColumn id="22" xr3:uid="{C875C478-E464-49C0-A9F2-316B14B0B75E}" name="Verification Type French" dataDxfId="641"/>
    <tableColumn id="23" xr3:uid="{3D7CFEB8-D31D-428D-AD8A-5F26753CA336}" name="Suggested script French" dataDxfId="640"/>
    <tableColumn id="24" xr3:uid="{4EA9E082-816C-4E82-AF1C-7F93C01BEED5}" name="Verification Type Portuguese" dataDxfId="639"/>
    <tableColumn id="25" xr3:uid="{7F61874F-D36A-4B7E-BF1D-4926B9319EF1}" name="Suggested script Portuguese" dataDxfId="638"/>
  </tableColumns>
  <tableStyleInfo name="TableStyleMedium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3A632A17-358A-42FC-83CA-194F82B77619}" name="Master_Agent_HQs" displayName="Master_Agent_HQs" ref="D133:AB196" totalsRowShown="0" headerRowDxfId="637" dataDxfId="635" headerRowBorderDxfId="636" tableBorderDxfId="634">
  <autoFilter ref="D133:AB196" xr:uid="{3A632A17-358A-42FC-83CA-194F82B77619}"/>
  <tableColumns count="25">
    <tableColumn id="1" xr3:uid="{FAF9663F-35DA-42D5-98F0-8296322065D9}" name="iWatch #" dataDxfId="633"/>
    <tableColumn id="2" xr3:uid="{765D4AF0-04D4-4C17-AA9B-2D32B7B3B994}" name="Question" dataDxfId="632"/>
    <tableColumn id="3" xr3:uid="{0BEA66FA-353C-46DC-8105-93DB51EA255C}" name="Possible Answers" dataDxfId="631"/>
    <tableColumn id="4" xr3:uid="{F37236DF-0019-468A-AC0D-5A96225AE60C}" name="Possible Answers Pool" dataDxfId="630"/>
    <tableColumn id="5" xr3:uid="{5A09D116-9146-4959-8105-8ECE543A8FC0}" name="Guidance_x000a_If YES" dataDxfId="629"/>
    <tableColumn id="6" xr3:uid="{A6169525-3435-418E-9B2B-C9E900B8E98B}" name="Guidance_x000a_If NO" dataDxfId="628"/>
    <tableColumn id="7" xr3:uid="{013921BF-80F0-4DC7-A1FC-0CA718ABAFF0}" name="Guidance_x000a_If NO 2" dataDxfId="627"/>
    <tableColumn id="8" xr3:uid="{448D1BD3-DEBA-45A8-8DAB-6CD8332EF21B}" name="Guidance_x000a_If NA" dataDxfId="626"/>
    <tableColumn id="9" xr3:uid="{FEB4E95C-3C78-4E8C-B0F6-A366651A4488}" name="Free Text?" dataDxfId="625"/>
    <tableColumn id="10" xr3:uid="{A35844A3-32D4-476F-B07A-43223D9DAFB1}" name="Call Flow Order" dataDxfId="624">
      <calculatedColumnFormula>IFERROR(VLOOKUP(Master_Agent_HQs[[#This Row],[iWatch '#]],INDIRECT('Defined Ranges'!$C$28&amp;"Order"&amp;'Defined Ranges'!$C$29),2,FALSE),"")</calculatedColumnFormula>
    </tableColumn>
    <tableColumn id="11" xr3:uid="{3236D151-300F-4AC9-A202-9F8CD8FDAED2}" name="iWatch Order" dataDxfId="623">
      <calculatedColumnFormula>IFERROR(VLOOKUP(Master_Agent_HQs[[#This Row],[iWatch '#]],INDIRECT('Defined Ranges'!$C$28&amp;"Order"&amp;'Defined Ranges'!$C$29),3,FALSE),"")</calculatedColumnFormula>
    </tableColumn>
    <tableColumn id="12" xr3:uid="{36470E4B-3696-4C82-8969-C23AB3B33633}" name="Order" dataDxfId="622"/>
    <tableColumn id="13" xr3:uid="{6A6C5747-F40D-4622-A5F0-476F2D293F7F}" name="Verification Type" dataDxfId="621">
      <calculatedColumnFormula array="1">_xlfn.IFS(LSelected="English",Master_Agent_HQs[[#This Row],[Verification Type English]],LSelected="Spanish",Master_Agent_HQs[[#This Row],[Verification Type Spanish]],LSelected="French",Master_Agent_HQs[[#This Row],[Verification Type French]],LSelected="Portuguese",Master_Agent_HQs[[#This Row],[Verification Type Portuguese]])</calculatedColumnFormula>
    </tableColumn>
    <tableColumn id="14" xr3:uid="{C76E04CE-8BFD-4019-9918-A33511DB18CC}" name="Scripting English" dataDxfId="620">
      <calculatedColumnFormula array="1">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calculatedColumnFormula>
    </tableColumn>
    <tableColumn id="15" xr3:uid="{C4F062BE-BDE0-4EE4-B841-688A8F8CA052}" name="free1" dataDxfId="619"/>
    <tableColumn id="16" xr3:uid="{F1BBD3BF-7375-4E0F-9A95-51E44F8F0210}" name="free2" dataDxfId="618"/>
    <tableColumn id="17" xr3:uid="{3B4FFF1F-03CC-46D4-B11E-60057DDB5E92}" name="Action" dataDxfId="617"/>
    <tableColumn id="18" xr3:uid="{E3493C39-3662-402A-ADCC-F2F2A42673BD}" name="Verification Type English" dataDxfId="616"/>
    <tableColumn id="19" xr3:uid="{AD2EDCE0-3A2E-4157-BFC6-AB7189F50C54}" name="Suggested script English" dataDxfId="615"/>
    <tableColumn id="20" xr3:uid="{77CB6D17-CC6C-4135-BFBF-606D90D554A8}" name="Verification Type Spanish" dataDxfId="614"/>
    <tableColumn id="21" xr3:uid="{46046D95-2195-46E5-B790-849B24F5CAEC}" name="Suggested script Spanish" dataDxfId="613"/>
    <tableColumn id="22" xr3:uid="{A103CF33-97EA-4CC5-BC46-3B8C13D00297}" name="Verification Type French" dataDxfId="612"/>
    <tableColumn id="23" xr3:uid="{E856D9B0-C717-4AC3-9B21-590E6263B95B}" name="Suggested script French" dataDxfId="611"/>
    <tableColumn id="24" xr3:uid="{26E2B41C-5869-4D47-9BB8-A17F4E7ACB17}" name="Verification Type Portuguese" dataDxfId="610"/>
    <tableColumn id="25" xr3:uid="{A2BECD86-1501-45F8-8EC9-7B3D3EF7289A}" name="Suggested script Portuguese" dataDxfId="60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B9762942-D325-4EEE-9489-601BB4BEA46B}" name="Master_Agent_HQs_United_States" displayName="Master_Agent_HQs_United_States" ref="AF128:BD138" totalsRowShown="0" headerRowDxfId="608" dataDxfId="606" headerRowBorderDxfId="607" tableBorderDxfId="605">
  <autoFilter ref="AF128:BD138" xr:uid="{B9762942-D325-4EEE-9489-601BB4BEA46B}"/>
  <tableColumns count="25">
    <tableColumn id="1" xr3:uid="{C1E3986E-8E75-4F87-92CA-06B7B9EA0DFD}" name="iWatch #" dataDxfId="604" dataCellStyle="Normal"/>
    <tableColumn id="2" xr3:uid="{E85F9FF4-8216-466E-AFCE-279814A548ED}" name="Question" dataDxfId="603"/>
    <tableColumn id="3" xr3:uid="{F826FAE6-F4AB-408A-A536-18ACD0D39A5E}" name="Possible Answers" dataDxfId="602"/>
    <tableColumn id="4" xr3:uid="{C062783C-F02D-44CF-A10D-AFB3C8331D3D}" name="Possible Answers Pool" dataDxfId="601"/>
    <tableColumn id="5" xr3:uid="{E1C67DA5-422F-4081-B623-21E30D18FD57}" name="Guidance_x000a_If Yes" dataDxfId="600"/>
    <tableColumn id="6" xr3:uid="{5FE79D76-DC82-4315-87B0-9EC55C8A07C5}" name="Guidance_x000a_If No" dataDxfId="599"/>
    <tableColumn id="7" xr3:uid="{142C1B26-2E6B-493A-BF7C-889532501463}" name="Guidance_x000a_If No 2" dataDxfId="598"/>
    <tableColumn id="8" xr3:uid="{AB7F35D4-9827-4046-B810-75BAEF285B5B}" name="Guidance_x000a_If NA" dataDxfId="597"/>
    <tableColumn id="9" xr3:uid="{EDB41DAF-5847-41A3-91F9-E1C08B493DD2}" name="Free Text?" dataDxfId="596"/>
    <tableColumn id="10" xr3:uid="{24BB55A5-1CC4-4592-A555-40E0DF8CF964}" name="Call Flow Order" dataDxfId="595">
      <calculatedColumnFormula>IFERROR(VLOOKUP(Master_Agent_HQs_United_States[[#This Row],[iWatch '#]],INDIRECT('Defined Ranges'!$C$28&amp;"ROrder"&amp;'Defined Ranges'!$C$29),2,FALSE),"")</calculatedColumnFormula>
    </tableColumn>
    <tableColumn id="11" xr3:uid="{FDEE40D9-B5FA-416C-B32F-DF7BB8F04EF2}" name="iWatch Order" dataDxfId="594">
      <calculatedColumnFormula>IFERROR(VLOOKUP(Master_Agent_HQs_United_States[[#This Row],[iWatch '#]],INDIRECT('Defined Ranges'!$C$28&amp;"ROrder"&amp;'Defined Ranges'!$C$29),3,FALSE),"")</calculatedColumnFormula>
    </tableColumn>
    <tableColumn id="12" xr3:uid="{7380075A-420F-40B2-82FB-74CE39827928}" name="Order" dataDxfId="593"/>
    <tableColumn id="13" xr3:uid="{33873B21-22AB-4552-A98F-A189C1347263}" name="Verification Type" dataDxfId="592">
      <calculatedColumnFormula array="1">_xlfn.IFS(LSelected="English",Master_Agent_HQs_United_States[[#This Row],[Verification Type English]],LSelected="Spanish",Master_Agent_HQs_United_States[[#This Row],[Verification Type Spanish]],LSelected="French",Master_Agent_HQs_United_States[[#This Row],[Verification Type French]],LSelected="Portuguese",Master_Agent_HQs_United_States[[#This Row],[Verification Type Portuguese]])</calculatedColumnFormula>
    </tableColumn>
    <tableColumn id="14" xr3:uid="{7A6D22D9-CB5D-40BE-A5DA-2F49F9CB4ED8}" name="Scripting English" dataDxfId="591">
      <calculatedColumnFormula array="1">_xlfn.IFS(SScript="English",Master_Agent_HQs_United_States[[#This Row],[Suggested script English]],SScript="Spanish",Master_Agent_HQs_United_States[[#This Row],[Suggested script Spanish]],SScript="French",Master_Agent_HQs_United_States[[#This Row],[Suggested script French]],SScript="Portuguese",Master_Agent_HQs_United_States[[#This Row],[Suggested script Portuguese]])</calculatedColumnFormula>
    </tableColumn>
    <tableColumn id="15" xr3:uid="{769A29DB-B09D-41CF-AC34-2F56DFBB366B}" name="free1" dataDxfId="590"/>
    <tableColumn id="16" xr3:uid="{5819E0F9-75C9-427D-94BA-5849006ACBBD}" name="free2" dataDxfId="589"/>
    <tableColumn id="17" xr3:uid="{FCF09320-3639-4ED6-A910-40881167DF40}" name="Action" dataDxfId="588"/>
    <tableColumn id="18" xr3:uid="{5C80E0ED-067D-4BC3-9ABF-4FC5D9AAF51D}" name="Verification Type English" dataDxfId="587"/>
    <tableColumn id="19" xr3:uid="{080A38C4-7A6D-43FD-9D8E-030B6323D37B}" name="Suggested script English" dataDxfId="586"/>
    <tableColumn id="20" xr3:uid="{0542907D-1C70-4707-B2B9-04E88E49D675}" name="Verification Type Spanish" dataDxfId="585"/>
    <tableColumn id="21" xr3:uid="{03CB35B9-D2B1-47C5-883A-6856B39FF7B0}" name="Suggested script Spanish" dataDxfId="584"/>
    <tableColumn id="22" xr3:uid="{61589FB0-EC43-4F21-8919-760EC5CC26D3}" name="Verification Type French" dataDxfId="583"/>
    <tableColumn id="23" xr3:uid="{C0F32809-BE63-402E-A73C-945CED3B30A1}" name="Suggested script French" dataDxfId="582"/>
    <tableColumn id="24" xr3:uid="{5180BA37-022A-4944-90B3-02933A709AB0}" name="Verification Type Portuguese" dataDxfId="581"/>
    <tableColumn id="25" xr3:uid="{004D5A76-CDA4-44B8-A5C9-C1E930513043}" name="Suggested script Portuguese" dataDxfId="580"/>
  </tableColumns>
  <tableStyleInfo name="TableStyleMedium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8A375393-7090-4269-BD9A-4003D8CF6845}" name="Master_Agent_HQs_Canada" displayName="Master_Agent_HQs_Canada" ref="AF145:BD146" totalsRowShown="0" headerRowDxfId="579" dataDxfId="577" headerRowBorderDxfId="578" tableBorderDxfId="576">
  <autoFilter ref="AF145:BD146" xr:uid="{8A375393-7090-4269-BD9A-4003D8CF6845}"/>
  <tableColumns count="25">
    <tableColumn id="1" xr3:uid="{6B2770AF-94A5-4D88-9369-CADB9A4E8779}" name="iWatch #" dataDxfId="575"/>
    <tableColumn id="2" xr3:uid="{E924B38A-2EEF-44F1-A67E-F585E1CAB72E}" name="Question" dataDxfId="574"/>
    <tableColumn id="3" xr3:uid="{3B0079FF-0D4C-4253-BC3A-900A95C5F435}" name="Possible Answers" dataDxfId="573"/>
    <tableColumn id="4" xr3:uid="{A50DF234-45A3-468D-BCD1-49AB8BCF0FD9}" name="Possible Answers Pool" dataDxfId="572"/>
    <tableColumn id="5" xr3:uid="{5E56AF40-D205-463D-A66A-AEA794C389FC}" name="Guidance_x000a_If Yes" dataDxfId="571"/>
    <tableColumn id="6" xr3:uid="{7A3C5489-80E9-436D-B079-040701E76860}" name="Guidance_x000a_If No" dataDxfId="570"/>
    <tableColumn id="7" xr3:uid="{987A1079-3D92-4647-8046-DBABF57960BD}" name="Guidance_x000a_If No 2" dataDxfId="569"/>
    <tableColumn id="8" xr3:uid="{8B05DC57-3353-4868-8E65-85DCDEC83CE6}" name="Guidance_x000a_If NA" dataDxfId="568"/>
    <tableColumn id="9" xr3:uid="{94150382-95C8-4D48-A718-37D2D487CCF6}" name="Free Text?" dataDxfId="567"/>
    <tableColumn id="10" xr3:uid="{8550F3C9-C9D8-4C25-9A89-3F3A2C1F576D}" name="Call Flow Order" dataDxfId="566">
      <calculatedColumnFormula>IFERROR(VLOOKUP(Master_Agent_HQs_Canada[[#This Row],[iWatch '#]],INDIRECT('Defined Ranges'!$C$28&amp;"ROrder"&amp;'Defined Ranges'!$C$29),2,FALSE),"")</calculatedColumnFormula>
    </tableColumn>
    <tableColumn id="11" xr3:uid="{4818605C-21F5-437A-949A-D28DECCDC52B}" name="iWatch Order" dataDxfId="565">
      <calculatedColumnFormula>IFERROR(VLOOKUP(Master_Agent_HQs_Canada[[#This Row],[iWatch '#]],INDIRECT('Defined Ranges'!$C$28&amp;"ROrder"&amp;'Defined Ranges'!$C$29),3,FALSE),"")</calculatedColumnFormula>
    </tableColumn>
    <tableColumn id="12" xr3:uid="{38B2881D-2D50-4E93-84B7-E0FDA83AA0CD}" name="Order" dataDxfId="564">
      <calculatedColumnFormula>'Defined Ranges'!$D$23+1</calculatedColumnFormula>
    </tableColumn>
    <tableColumn id="13" xr3:uid="{88E82315-A7F5-4E41-A444-835D200F37D3}" name="Verification Type" dataDxfId="563">
      <calculatedColumnFormula array="1">_xlfn.IFS(LSelected="English",Master_Agent_HQs_Canada[[#This Row],[Verification Type English]],LSelected="Spanish",Master_Agent_HQs_Canada[[#This Row],[Verification Type Spanish]],LSelected="French",Master_Agent_HQs_Canada[[#This Row],[Verification Type French]],LSelected="Portuguese",Master_Agent_HQs_Canada[[#This Row],[Verification Type Portuguese]])</calculatedColumnFormula>
    </tableColumn>
    <tableColumn id="14" xr3:uid="{C3868C44-34C5-4AAC-BC55-6B8D33633919}" name="Scripting English" dataDxfId="562">
      <calculatedColumnFormula array="1">_xlfn.IFS(SScript="English",Master_Agent_HQs_Canada[[#This Row],[Suggested script English]],SScript="Spanish",Master_Agent_HQs_Canada[[#This Row],[Suggested script Spanish]],SScript="French",Master_Agent_HQs_Canada[[#This Row],[Suggested script French]],SScript="Portuguese",Master_Agent_HQs_Canada[[#This Row],[Suggested script Portuguese]])</calculatedColumnFormula>
    </tableColumn>
    <tableColumn id="15" xr3:uid="{BAA94262-8632-436D-93FC-6E63036141EE}" name="free1" dataDxfId="561"/>
    <tableColumn id="16" xr3:uid="{12BEFDFB-5EF5-4A70-842A-047CB991E14C}" name="free2" dataDxfId="560"/>
    <tableColumn id="17" xr3:uid="{6181ADFF-E3E0-4E02-A842-A0D20FF4F3D9}" name="Action" dataDxfId="559"/>
    <tableColumn id="18" xr3:uid="{2641C87A-79B6-4CA8-850A-0471600C6037}" name="Verification Type English" dataDxfId="558"/>
    <tableColumn id="19" xr3:uid="{10D1E873-7898-4445-A95E-6033B34301B6}" name="Suggested script English" dataDxfId="557"/>
    <tableColumn id="20" xr3:uid="{947044A0-6467-47D6-BE74-DF47A941CF1D}" name="Verification Type Spanish" dataDxfId="556" dataCellStyle="Bad">
      <calculatedColumnFormula>IF('Gen Info'!$E$4="Spain","Preparación del Agente","Disponibilidad de la Localidad")</calculatedColumnFormula>
    </tableColumn>
    <tableColumn id="21" xr3:uid="{78B79E78-DA0C-4A65-A333-4AACB120FB06}" name="Suggested script Spanish" dataDxfId="555"/>
    <tableColumn id="22" xr3:uid="{8C4905FF-0FAE-41F5-84A2-70097A25F409}" name="Verification Type French" dataDxfId="554" dataCellStyle="Bad">
      <calculatedColumnFormula>IF('Gen Info'!$E$4="Canada","État de préparation des agents","État de préparation de l'Agent")</calculatedColumnFormula>
    </tableColumn>
    <tableColumn id="23" xr3:uid="{AF8E9586-76BA-4B80-80A0-DC16955DD37C}" name="Suggested script French" dataDxfId="553"/>
    <tableColumn id="24" xr3:uid="{E3BA1C3D-1525-40BF-8690-9F5D732C2AD1}" name="Verification Type Portuguese" dataDxfId="552"/>
    <tableColumn id="25" xr3:uid="{2C5AC382-FC1A-49A0-8B59-410D4B531452}" name="Suggested script Portuguese" dataDxfId="551"/>
  </tableColumns>
  <tableStyleInfo name="TableStyleMedium5"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9BBCFDBB-3108-4B68-8EA4-221126ECD682}" name="Independent_MO_Only" displayName="Independent_MO_Only" ref="D203:AB259" totalsRowShown="0" headerRowDxfId="550" dataDxfId="548" headerRowBorderDxfId="549" tableBorderDxfId="547">
  <autoFilter ref="D203:AB259" xr:uid="{9BBCFDBB-3108-4B68-8EA4-221126ECD682}"/>
  <tableColumns count="25">
    <tableColumn id="1" xr3:uid="{E7B35E90-8A49-48D3-A417-4215FBC0B823}" name="iWatch #" dataDxfId="546"/>
    <tableColumn id="2" xr3:uid="{A864FC3C-A34C-4AE0-80E9-D1B5190BA2CE}" name="Question" dataDxfId="545"/>
    <tableColumn id="3" xr3:uid="{722090E8-3618-47E3-B3EC-3D971973732A}" name="Possible Answers" dataDxfId="544"/>
    <tableColumn id="4" xr3:uid="{FC3E9C1D-0242-4A36-8FD2-07E0A69E6666}" name="Possible Answers Pool" dataDxfId="543"/>
    <tableColumn id="5" xr3:uid="{338AF6E6-B0C2-4AFB-90B5-F427914EB43E}" name="Guidance_x000a_If YES" dataDxfId="542"/>
    <tableColumn id="6" xr3:uid="{1186160F-D355-4ECD-9075-EFFBED645C74}" name="Guidance_x000a_If NO" dataDxfId="541"/>
    <tableColumn id="7" xr3:uid="{58DC1C28-9287-410D-B78A-97070332C545}" name="Guidance_x000a_If NO 2" dataDxfId="540"/>
    <tableColumn id="8" xr3:uid="{A332C604-2767-4589-A23A-D3C49845361C}" name="Guidance_x000a_If NA" dataDxfId="539"/>
    <tableColumn id="9" xr3:uid="{201F22E1-5B5C-46AD-B16D-3A66B3515631}" name="Free Text?" dataDxfId="538"/>
    <tableColumn id="10" xr3:uid="{8BCBC0A4-4097-4434-B9FF-B95F2BAD226D}" name="Call Flow Order" dataDxfId="537">
      <calculatedColumnFormula>IFERROR(VLOOKUP(Independent_MO_Only[[#This Row],[iWatch '#]],INDIRECT('Defined Ranges'!$C$28&amp;"Order"&amp;'Defined Ranges'!$C$29),2,FALSE),"")</calculatedColumnFormula>
    </tableColumn>
    <tableColumn id="11" xr3:uid="{D3ABEF27-B839-4B15-97EA-EAC4470C2ADA}" name="iWatch Order" dataDxfId="536">
      <calculatedColumnFormula>IFERROR(VLOOKUP(Independent_MO_Only[[#This Row],[iWatch '#]],INDIRECT('Defined Ranges'!$C$28&amp;"Order"&amp;'Defined Ranges'!$C$29),3,FALSE),"")</calculatedColumnFormula>
    </tableColumn>
    <tableColumn id="12" xr3:uid="{A4CFD942-9723-4125-8213-06B94326B2F0}" name="Order" dataDxfId="535"/>
    <tableColumn id="13" xr3:uid="{2D0796B5-F64B-480C-89D2-F599C99A1A14}" name="Verification Type" dataDxfId="534">
      <calculatedColumnFormula array="1">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calculatedColumnFormula>
    </tableColumn>
    <tableColumn id="14" xr3:uid="{6F527BCE-A394-4FD7-A38D-BF11F4B3DB02}" name="Scripting English" dataDxfId="533">
      <calculatedColumnFormula array="1">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calculatedColumnFormula>
    </tableColumn>
    <tableColumn id="15" xr3:uid="{CB0D1114-11A8-447C-93AB-96FB6FC69E8C}" name="free1" dataDxfId="532"/>
    <tableColumn id="16" xr3:uid="{A337295F-B866-4CA8-8040-EAA84BC9369C}" name="free2" dataDxfId="531"/>
    <tableColumn id="17" xr3:uid="{C1A14711-0DA0-4D24-A830-AD54A875E9AB}" name="Action" dataDxfId="530"/>
    <tableColumn id="18" xr3:uid="{A48AC8D4-ED4E-4616-9379-12156513EDED}" name="Verification Type English" dataDxfId="529"/>
    <tableColumn id="19" xr3:uid="{86838D11-2064-44C7-85D1-69D47C3F340A}" name="Suggested script English" dataDxfId="528"/>
    <tableColumn id="20" xr3:uid="{DD843C4E-1232-42DE-A925-5ED0430CE14A}" name="Verification Type Spanish" dataDxfId="527"/>
    <tableColumn id="21" xr3:uid="{3E4EC425-2113-48BD-ABA9-194A09A82F80}" name="Suggested script Spanish" dataDxfId="526"/>
    <tableColumn id="22" xr3:uid="{2F96F9A1-D8D5-4D75-BC99-14D60735474E}" name="Verification Type French" dataDxfId="525"/>
    <tableColumn id="23" xr3:uid="{7872FF4A-37CB-4248-A001-4950875A3212}" name="Suggested script French" dataDxfId="524"/>
    <tableColumn id="24" xr3:uid="{0FB3F818-77A3-4593-8A91-54553AA1C229}" name="Verification Type Portuguese" dataDxfId="523"/>
    <tableColumn id="25" xr3:uid="{44945B1F-04A6-4569-81E1-B45C9723A728}" name="Suggested script Portuguese" dataDxfId="52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D5D80D9E-D4D4-4FC3-9838-CF60524A8556}" name="Independent_MO_Only_United_States" displayName="Independent_MO_Only_United_States" ref="AF197:BD205" totalsRowShown="0" headerRowDxfId="521" dataDxfId="519" headerRowBorderDxfId="520" tableBorderDxfId="518">
  <autoFilter ref="AF197:BD205" xr:uid="{D5D80D9E-D4D4-4FC3-9838-CF60524A8556}"/>
  <tableColumns count="25">
    <tableColumn id="1" xr3:uid="{6D820813-F054-40E3-9037-E111B6BD8D39}" name="iWatch #" dataDxfId="517"/>
    <tableColumn id="2" xr3:uid="{3E5F8779-9917-4FC0-AF6B-A49AD5ED3E76}" name="Question" dataDxfId="516"/>
    <tableColumn id="3" xr3:uid="{7FADFB6D-2A72-4748-8E29-27ABC08B5DF3}" name="Possible Answers" dataDxfId="515"/>
    <tableColumn id="4" xr3:uid="{D8CC7D38-28CB-4F8D-9299-0EBBE6EB0A6E}" name="Possible Answers Pool" dataDxfId="514"/>
    <tableColumn id="5" xr3:uid="{3422D578-2FEE-4EAC-A9AA-72AE9C41C519}" name="Guidance_x000a_If Yes" dataDxfId="513"/>
    <tableColumn id="6" xr3:uid="{4B0C2C01-D6AE-4860-ABB3-45766863E798}" name="Guidance_x000a_If No" dataDxfId="512"/>
    <tableColumn id="7" xr3:uid="{1994FA76-1FB6-402E-B2DA-5134A12FB959}" name="Guidance_x000a_If No 2" dataDxfId="511"/>
    <tableColumn id="8" xr3:uid="{0BDFC1D5-0EF0-43A7-AD07-16E7669E7FDD}" name="Guidance_x000a_If NA" dataDxfId="510"/>
    <tableColumn id="9" xr3:uid="{70E842BB-35F1-4028-837A-4FACECE113E8}" name="Free Text?" dataDxfId="509"/>
    <tableColumn id="10" xr3:uid="{E1A3C8E9-25B2-461B-8236-15B256F75230}" name="Call Flow Order" dataDxfId="508">
      <calculatedColumnFormula>IFERROR(VLOOKUP(Independent_MO_Only_United_States[[#This Row],[iWatch '#]],INDIRECT('Defined Ranges'!$C$28&amp;"ROrder"&amp;'Defined Ranges'!$C$29),2,FALSE),"")</calculatedColumnFormula>
    </tableColumn>
    <tableColumn id="11" xr3:uid="{5836256E-4FF6-4244-937E-2E39DA022897}" name="iWatch Order" dataDxfId="507">
      <calculatedColumnFormula>IFERROR(VLOOKUP(Independent_MO_Only_United_States[[#This Row],[iWatch '#]],INDIRECT('Defined Ranges'!$C$28&amp;"ROrder"&amp;'Defined Ranges'!$C$29),3,FALSE),"")</calculatedColumnFormula>
    </tableColumn>
    <tableColumn id="12" xr3:uid="{22141AD0-29C8-4727-A10D-89920DF05A59}" name="Order" dataDxfId="506">
      <calculatedColumnFormula>'Defined Ranges'!$D$23+1</calculatedColumnFormula>
    </tableColumn>
    <tableColumn id="13" xr3:uid="{65276695-B8DA-46BC-869A-D6456C66C5D0}" name="Verification Type" dataDxfId="505">
      <calculatedColumnFormula array="1">_xlfn.IFS(LSelected="English",Independent_MO_Only_United_States[[#This Row],[Verification Type English]],LSelected="Spanish",Independent_MO_Only_United_States[[#This Row],[Verification Type Spanish]],LSelected="French",Independent_MO_Only_United_States[[#This Row],[Verification Type French]],LSelected="Portuguese",Independent_MO_Only_United_States[[#This Row],[Verification Type Portuguese]])</calculatedColumnFormula>
    </tableColumn>
    <tableColumn id="14" xr3:uid="{134BC929-D487-48A7-A880-D3F223D43D9B}" name="Scripting English" dataDxfId="504">
      <calculatedColumnFormula array="1">_xlfn.IFS(SScript="English",Independent_MO_Only_United_States[[#This Row],[Suggested script English]],SScript="Spanish",Independent_MO_Only_United_States[[#This Row],[Suggested script Spanish]],SScript="French",Independent_MO_Only_United_States[[#This Row],[Suggested script French]],SScript="Portuguese",Independent_MO_Only_United_States[[#This Row],[Suggested script Portuguese]])</calculatedColumnFormula>
    </tableColumn>
    <tableColumn id="15" xr3:uid="{713C8591-69C5-40A2-967D-36B57C9EBF36}" name="free1" dataDxfId="503"/>
    <tableColumn id="16" xr3:uid="{922979C2-8481-4514-A37F-79B18DE8C0D2}" name="free2" dataDxfId="502"/>
    <tableColumn id="17" xr3:uid="{C3EAEFE8-B22D-4A97-9B43-0DE18A5B0A82}" name="Action" dataDxfId="501"/>
    <tableColumn id="18" xr3:uid="{CE64C406-5DE7-49C4-8E91-338F22576570}" name="Verification Type English" dataDxfId="500"/>
    <tableColumn id="19" xr3:uid="{879938A3-E215-4618-97EE-D7818065191E}" name="Suggested script English" dataDxfId="499"/>
    <tableColumn id="20" xr3:uid="{CA994646-DC8D-44D6-85E7-0401A7CB863C}" name="Verification Type Spanish" dataDxfId="498"/>
    <tableColumn id="21" xr3:uid="{FD97D98C-EBC4-4DCD-8630-75C223D44B83}" name="Suggested script Spanish" dataDxfId="497"/>
    <tableColumn id="22" xr3:uid="{74C63E10-42AF-482E-BBEE-AC12B65EE47A}" name="Verification Type French" dataDxfId="496"/>
    <tableColumn id="23" xr3:uid="{4026E75B-2350-4EE7-9A00-032BECC5D7E5}" name="Suggested script French" dataDxfId="495"/>
    <tableColumn id="24" xr3:uid="{E5026095-0EC5-4341-ACDA-04EADA7E45FD}" name="Verification Type Portuguese" dataDxfId="494"/>
    <tableColumn id="25" xr3:uid="{7B7E28BB-BD28-4AC3-A1FD-116836DBE390}" name="Suggested script Portuguese" dataDxfId="493"/>
  </tableColumns>
  <tableStyleInfo name="TableStyleMedium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C6BE973F-E861-4728-8323-878D676D28EE}" name="Independent_MO_Only_Canada" displayName="Independent_MO_Only_Canada" ref="AF215:BD225" totalsRowShown="0" headerRowDxfId="492" dataDxfId="490" headerRowBorderDxfId="491" tableBorderDxfId="489">
  <autoFilter ref="AF215:BD225" xr:uid="{C6BE973F-E861-4728-8323-878D676D28EE}"/>
  <tableColumns count="25">
    <tableColumn id="1" xr3:uid="{6B7E5A00-E960-4EA2-9A53-7E981089305B}" name="iWatch #" dataDxfId="488"/>
    <tableColumn id="2" xr3:uid="{1D6DBBE6-B157-4570-BFAE-91ED11336395}" name="Question" dataDxfId="487"/>
    <tableColumn id="3" xr3:uid="{A069F87A-AFFA-419D-BD22-D898613EFA61}" name="Possible Answers" dataDxfId="486"/>
    <tableColumn id="4" xr3:uid="{80B48BF9-5DAB-4B7D-B602-8C5B93751945}" name="Possible Answers Pool" dataDxfId="485"/>
    <tableColumn id="5" xr3:uid="{3493ABB2-3F2F-4243-8FD2-5704FE16A78E}" name="Guidance_x000a_If Yes" dataDxfId="484"/>
    <tableColumn id="6" xr3:uid="{42AD0731-9298-424D-89C9-6EA775ED8A7C}" name="Guidance_x000a_If No" dataDxfId="483"/>
    <tableColumn id="7" xr3:uid="{E3F7ED1F-A016-4D78-BA7F-21025B99786E}" name="Guidance_x000a_If No 2" dataDxfId="482"/>
    <tableColumn id="8" xr3:uid="{68D61997-C5E5-445B-995F-17AF8DCADD54}" name="Guidance_x000a_If NA" dataDxfId="481"/>
    <tableColumn id="9" xr3:uid="{63F74D96-B805-46F0-B95A-A109E0870774}" name="Free Text?" dataDxfId="480"/>
    <tableColumn id="10" xr3:uid="{A5560E41-34C2-4239-BA30-C4BE55E09966}" name="Call Flow Order" dataDxfId="479">
      <calculatedColumnFormula>IFERROR(VLOOKUP(Independent_MO_Only_Canada[[#This Row],[iWatch '#]],INDIRECT('Defined Ranges'!$C$28&amp;"ROrder"&amp;'Defined Ranges'!$C$29),2,FALSE),"")</calculatedColumnFormula>
    </tableColumn>
    <tableColumn id="11" xr3:uid="{A75F4611-CA42-4826-91E3-34D91E495435}" name="iWatch Order" dataDxfId="478">
      <calculatedColumnFormula>IFERROR(VLOOKUP(Independent_MO_Only_Canada[[#This Row],[iWatch '#]],INDIRECT('Defined Ranges'!$C$28&amp;"ROrder"&amp;'Defined Ranges'!$C$29),3,FALSE),"")</calculatedColumnFormula>
    </tableColumn>
    <tableColumn id="12" xr3:uid="{04372224-1A6D-4BA4-89EF-AFD44B0E81E6}" name="Order" dataDxfId="477">
      <calculatedColumnFormula>'Defined Ranges'!$D$23+1</calculatedColumnFormula>
    </tableColumn>
    <tableColumn id="13" xr3:uid="{87DF1DBA-9D8B-4983-BBB2-B1077DFB3766}" name="Verification Type" dataDxfId="476">
      <calculatedColumnFormula array="1">_xlfn.IFS(LSelected="English",Independent_MO_Only_Canada[[#This Row],[Verification Type English]],LSelected="Spanish",Independent_MO_Only_Canada[[#This Row],[Verification Type Spanish]],LSelected="French",Independent_MO_Only_Canada[[#This Row],[Verification Type French]],LSelected="Portuguese",Independent_MO_Only_Canada[[#This Row],[Verification Type Portuguese]])</calculatedColumnFormula>
    </tableColumn>
    <tableColumn id="14" xr3:uid="{CABEFCF3-D394-4087-9998-58105F24BCC2}" name="Scripting English" dataDxfId="475">
      <calculatedColumnFormula array="1">_xlfn.IFS(SScript="English",Independent_MO_Only_Canada[[#This Row],[Suggested script English]],SScript="Spanish",Independent_MO_Only_Canada[[#This Row],[Suggested script Spanish]],SScript="French",Independent_MO_Only_Canada[[#This Row],[Suggested script French]],SScript="Portuguese",Independent_MO_Only_Canada[[#This Row],[Suggested script Portuguese]])</calculatedColumnFormula>
    </tableColumn>
    <tableColumn id="15" xr3:uid="{64F21E9C-0CBF-42D8-B7B6-6787856951DA}" name="free1" dataDxfId="474"/>
    <tableColumn id="16" xr3:uid="{4A15BA1E-5EA7-4F2C-9218-8A913007AA26}" name="free2" dataDxfId="473"/>
    <tableColumn id="17" xr3:uid="{A03C54B0-5783-488A-8DE6-8C406969A0BA}" name="Action" dataDxfId="472"/>
    <tableColumn id="18" xr3:uid="{5B657B71-BD32-459B-A64C-B375014681B6}" name="Verification Type English" dataDxfId="471"/>
    <tableColumn id="19" xr3:uid="{E81CE28B-91F4-4327-AD32-957A590DFF41}" name="Suggested script English" dataDxfId="470"/>
    <tableColumn id="20" xr3:uid="{17F01744-A2DE-4EA8-B786-31386AA3DAB2}" name="Verification Type Spanish" dataDxfId="469"/>
    <tableColumn id="21" xr3:uid="{8F6DD6F4-B00F-4822-BA03-8408723BE093}" name="Suggested script Spanish" dataDxfId="468"/>
    <tableColumn id="22" xr3:uid="{478EF080-C4E1-46A8-960F-CAB2C2155C47}" name="Verification Type French" dataDxfId="467"/>
    <tableColumn id="23" xr3:uid="{921AEBDD-0896-4AF6-B7F1-1612F6332901}" name="Suggested script French" dataDxfId="466"/>
    <tableColumn id="24" xr3:uid="{7EC48427-C418-44AB-9698-34B5B6F1A616}" name="Verification Type Portuguese" dataDxfId="465"/>
    <tableColumn id="25" xr3:uid="{8ADC412D-FE95-4EA5-899D-81B947087BD4}" name="Suggested script Portuguese" dataDxfId="464"/>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F503F6E2-F6F3-4626-AFEF-A5581A78E826}" name="Network_MO_Only" displayName="Network_MO_Only" ref="D270:AB295" totalsRowShown="0" headerRowDxfId="463" dataDxfId="461" headerRowBorderDxfId="462" tableBorderDxfId="460">
  <autoFilter ref="D270:AB295" xr:uid="{F503F6E2-F6F3-4626-AFEF-A5581A78E826}"/>
  <sortState xmlns:xlrd2="http://schemas.microsoft.com/office/spreadsheetml/2017/richdata2" ref="D271:AB295">
    <sortCondition ref="D270:D295"/>
  </sortState>
  <tableColumns count="25">
    <tableColumn id="1" xr3:uid="{D7A3B902-BDBD-402B-8146-05947B488079}" name="iWatch #" dataDxfId="459" dataCellStyle="Normal"/>
    <tableColumn id="2" xr3:uid="{75369A1F-70FB-4063-831A-A60BC5F0F3DC}" name="Question" dataDxfId="458" dataCellStyle="Normal"/>
    <tableColumn id="3" xr3:uid="{6423C138-B4E5-45F9-A18E-634EB984C241}" name="Possible Answers" dataDxfId="457"/>
    <tableColumn id="4" xr3:uid="{D1E504BF-ED48-4A42-AFB5-D77712064F59}" name="Possible Answers Pool" dataDxfId="456"/>
    <tableColumn id="5" xr3:uid="{56BBA7A8-FB49-435B-9DFB-5F3F1E27FB41}" name="Guidance_x000a_If YES" dataDxfId="455"/>
    <tableColumn id="6" xr3:uid="{B06BD137-61DA-4B32-BE28-78031B6C5F77}" name="Guidance_x000a_If NO" dataDxfId="454"/>
    <tableColumn id="7" xr3:uid="{91807148-335B-4881-A061-3947C4E05E90}" name="Guidance_x000a_If NO 2" dataDxfId="453"/>
    <tableColumn id="8" xr3:uid="{9E21D5E1-148C-465A-9409-C717357B25CF}" name="Guidance_x000a_If NA" dataDxfId="452"/>
    <tableColumn id="9" xr3:uid="{5A8845F7-B4CF-4342-A070-1CF92AD9083E}" name="Free Text?" dataDxfId="451"/>
    <tableColumn id="10" xr3:uid="{8BEB754C-3557-4E25-960A-F23457AACB9C}" name="Call Flow Order" dataDxfId="450">
      <calculatedColumnFormula>IFERROR(VLOOKUP(Network_MO_Only[[#This Row],[iWatch '#]],INDIRECT('Defined Ranges'!$C$28&amp;"Order"&amp;'Defined Ranges'!$C$29),2,FALSE),"")</calculatedColumnFormula>
    </tableColumn>
    <tableColumn id="11" xr3:uid="{5D4F415A-2C14-4C96-921E-97F92B4BB648}" name="iWatch Order" dataDxfId="449">
      <calculatedColumnFormula>IFERROR(VLOOKUP(Network_MO_Only[[#This Row],[iWatch '#]],INDIRECT('Defined Ranges'!$C$28&amp;"Order"&amp;'Defined Ranges'!$C$29),3,FALSE),"")</calculatedColumnFormula>
    </tableColumn>
    <tableColumn id="12" xr3:uid="{E6EFF2DB-F3F6-4876-9794-3FCF7F3CB376}" name="Order" dataDxfId="448"/>
    <tableColumn id="13" xr3:uid="{4FF2A682-08D6-4812-A059-5D7457B61BD0}" name="Verification Type" dataDxfId="447">
      <calculatedColumnFormula array="1">_xlfn.IFS(LSelected="English",Network_MO_Only[[#This Row],[Verification Type English]],LSelected="Spanish",Network_MO_Only[[#This Row],[Verification Type Spanish]],LSelected="French",Network_MO_Only[[#This Row],[Verification Type French]],LSelected="Portuguese",Network_MO_Only[[#This Row],[Verification Type Portuguese]])</calculatedColumnFormula>
    </tableColumn>
    <tableColumn id="14" xr3:uid="{3D910FCC-EF8E-4E3E-9191-2C3A7326356F}" name="Scripting English" dataDxfId="446"/>
    <tableColumn id="15" xr3:uid="{DE501D78-306E-43AA-88E3-6122FA2D8E35}" name="free1" dataDxfId="445"/>
    <tableColumn id="16" xr3:uid="{B8AFEA47-AEF8-444B-9076-91FF144A68F4}" name="free2" dataDxfId="444"/>
    <tableColumn id="17" xr3:uid="{C5E18890-ADAE-447A-9D6F-AABE2AECB655}" name="Action" dataDxfId="443"/>
    <tableColumn id="18" xr3:uid="{B3B4DB27-B44E-486A-885C-E034736D7658}" name="Verification Type English" dataDxfId="442"/>
    <tableColumn id="19" xr3:uid="{5CFD655F-B43A-4991-8931-9247537321B7}" name="Suggested script English" dataDxfId="441"/>
    <tableColumn id="20" xr3:uid="{EDA24F3D-9C53-4BE9-9563-BEAE987A2095}" name="Verification Type Spanish" dataDxfId="440"/>
    <tableColumn id="21" xr3:uid="{E2E4AFC4-21A9-47F9-AEDB-693CE3E33743}" name="Suggested script Spanish" dataDxfId="439"/>
    <tableColumn id="22" xr3:uid="{3921747E-2444-43A6-86FB-F8B040DE08EF}" name="Verification Type French" dataDxfId="438"/>
    <tableColumn id="23" xr3:uid="{7DE3990A-DD79-4890-9195-055551CAC1BA}" name="Suggested script French" dataDxfId="437"/>
    <tableColumn id="24" xr3:uid="{00E28BD2-3DA4-498D-93B3-558B301EDF59}" name="Verification Type Portuguese" dataDxfId="436"/>
    <tableColumn id="25" xr3:uid="{CEE321F9-1CEB-49BA-9B62-33395CF1F925}" name="Suggested script Portuguese" dataDxfId="435"/>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17DF917-802E-4B3D-B9F2-50E235A4C16B}" name="Network_Agent_Canada" displayName="Network_Agent_Canada" ref="AF23:BD28" totalsRowShown="0" headerRowDxfId="434" dataDxfId="432" headerRowBorderDxfId="433" tableBorderDxfId="431">
  <autoFilter ref="AF23:BD28" xr:uid="{817DF917-802E-4B3D-B9F2-50E235A4C16B}"/>
  <tableColumns count="25">
    <tableColumn id="1" xr3:uid="{354E87BE-2234-46C1-869A-8C869EBE1A49}" name="iWatch #" dataDxfId="430"/>
    <tableColumn id="2" xr3:uid="{4C526C37-39EB-4C4F-A9D9-78BA799D8758}" name="Question" dataDxfId="429"/>
    <tableColumn id="3" xr3:uid="{F0E3DD18-DF0A-44A5-A827-C4E1C618DEB2}" name="Possible Answers" dataDxfId="428"/>
    <tableColumn id="4" xr3:uid="{F639D064-4188-4FDC-91B6-E55A3DB5A522}" name="Possible Answers Pool" dataDxfId="427"/>
    <tableColumn id="5" xr3:uid="{32C1947A-07A2-42AC-AB99-32B9697510B8}" name="Guidance_x000a_If Yes" dataDxfId="426"/>
    <tableColumn id="6" xr3:uid="{85E44464-5165-42CD-AE60-AB3A5479DB33}" name="Guidance_x000a_If No" dataDxfId="425"/>
    <tableColumn id="7" xr3:uid="{F5370B73-0583-4279-8CEB-759E503BDE8E}" name="Guidance_x000a_If No 2" dataDxfId="424"/>
    <tableColumn id="8" xr3:uid="{41A8219E-72A7-47FA-860E-D1A73FCCDD6C}" name="Guidance_x000a_If NA" dataDxfId="423"/>
    <tableColumn id="9" xr3:uid="{1277D98C-F5F7-40F8-968B-F4E12327452B}" name="Free Text?" dataDxfId="422"/>
    <tableColumn id="10" xr3:uid="{D193C80B-18D0-494D-8E1F-47CA39711789}" name="Call Flow Order" dataDxfId="421">
      <calculatedColumnFormula>IFERROR(VLOOKUP(Network_Agent_Canada[[#This Row],[iWatch '#]],INDIRECT('Defined Ranges'!$C$28&amp;"ROrder"&amp;'Defined Ranges'!$C$29),2,FALSE),"")</calculatedColumnFormula>
    </tableColumn>
    <tableColumn id="11" xr3:uid="{CC8B6A13-02A8-4997-B22D-9626A8BCDC9B}" name="iWatch Order" dataDxfId="420">
      <calculatedColumnFormula>IFERROR(VLOOKUP(Network_Agent_Canada[[#This Row],[iWatch '#]],INDIRECT('Defined Ranges'!$C$28&amp;"ROrder"&amp;'Defined Ranges'!$C$29),3,FALSE),"")</calculatedColumnFormula>
    </tableColumn>
    <tableColumn id="12" xr3:uid="{560A25CD-F0C9-45ED-A00F-FE0D57CF4373}" name="Order" dataDxfId="419">
      <calculatedColumnFormula>'Defined Ranges'!$D$23+1</calculatedColumnFormula>
    </tableColumn>
    <tableColumn id="13" xr3:uid="{384D5156-2016-41AE-B1F8-F129B8C449A8}" name="Verification Type" dataDxfId="418">
      <calculatedColumnFormula array="1">_xlfn.IFS(LSelected="English",Network_Agent_Canada[[#This Row],[Verification Type English]],LSelected="Spanish",Network_Agent_Canada[[#This Row],[Verification Type Spanish]],LSelected="French",Network_Agent_Canada[[#This Row],[Verification Type French]],LSelected="Portuguese",Network_Agent_Canada[[#This Row],[Verification Type Portuguese]])</calculatedColumnFormula>
    </tableColumn>
    <tableColumn id="14" xr3:uid="{1983F468-5AC1-438B-8C06-F3B9E65D0493}" name="Scripting English" dataDxfId="417">
      <calculatedColumnFormula array="1">_xlfn.IFS(SScript="English",Network_Agent_Canada[[#This Row],[Suggested script English]],SScript="Spanish",Network_Agent_Canada[[#This Row],[Suggested script Spanish]],SScript="French",Network_Agent_Canada[[#This Row],[Suggested script French]],SScript="Portuguese",Network_Agent_Canada[[#This Row],[Suggested script Portuguese]])</calculatedColumnFormula>
    </tableColumn>
    <tableColumn id="15" xr3:uid="{47F13FA2-CDA0-4B24-A1E7-1FD93086E0E8}" name="free1" dataDxfId="416"/>
    <tableColumn id="16" xr3:uid="{DA3CAB71-31C2-41A3-9C67-CD98A3C1A410}" name="free2" dataDxfId="415"/>
    <tableColumn id="17" xr3:uid="{97D07B42-EDF5-45D2-A232-A41C2246A161}" name="Action" dataDxfId="414"/>
    <tableColumn id="18" xr3:uid="{A74D0217-4580-4741-8AA9-997199D35735}" name="Verification Type English" dataDxfId="413"/>
    <tableColumn id="19" xr3:uid="{86286C8F-1EBF-402F-905D-230ABDA56687}" name="Suggested script English" dataDxfId="412"/>
    <tableColumn id="20" xr3:uid="{DE2366FC-1C93-4BFF-8C8E-DF22409E0BE2}" name="Verification Type Spanish" dataDxfId="411">
      <calculatedColumnFormula>IF('Gen Info'!$E$4="Spain","Preparación de la Localidad","Disponibilidad de la Localidad")</calculatedColumnFormula>
    </tableColumn>
    <tableColumn id="21" xr3:uid="{CBDDDEEC-FF0C-4658-91E9-B10A5D17B308}" name="Suggested script Spanish" dataDxfId="410"/>
    <tableColumn id="22" xr3:uid="{9BFC09F0-CE1D-44CA-9F4C-92E5E890295E}" name="Verification Type French" dataDxfId="409"/>
    <tableColumn id="23" xr3:uid="{FB1C5F4E-0382-41A8-8545-B0F53F073A71}" name="Suggested script French" dataDxfId="408"/>
    <tableColumn id="24" xr3:uid="{01185E4F-286F-4E31-8583-BEB3D4351975}" name="Verification Type Portuguese" dataDxfId="407"/>
    <tableColumn id="25" xr3:uid="{0E2DDE85-BE85-42F2-ADBE-9A5D67E190EB}" name="Suggested script Portuguese" dataDxfId="406"/>
  </tableColumns>
  <tableStyleInfo name="TableStyleLight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68139EA-4836-4365-8E90-140D30F47E96}" name="Network_MO_Only_United_States" displayName="Network_MO_Only_United_States" ref="AF270:BD274" totalsRowShown="0" headerRowDxfId="405" dataDxfId="404">
  <autoFilter ref="AF270:BD274" xr:uid="{F68139EA-4836-4365-8E90-140D30F47E96}"/>
  <tableColumns count="25">
    <tableColumn id="1" xr3:uid="{0A7935C3-208E-4419-B26B-7EFE8AC6D074}" name="iWatch #" dataDxfId="403"/>
    <tableColumn id="2" xr3:uid="{8800FAE8-A5CE-4F1A-9353-98D4B6DC6443}" name="Question" dataDxfId="402"/>
    <tableColumn id="3" xr3:uid="{EDE85EB1-C47A-4274-BDDB-8D8E555E5158}" name="Possible Answers" dataDxfId="401"/>
    <tableColumn id="4" xr3:uid="{A043681C-6B62-4DE8-AFA3-5A70ADD727A4}" name="Possible Answers Pool" dataDxfId="400"/>
    <tableColumn id="5" xr3:uid="{9788A5BB-6C86-4FB8-975A-B18C03982BF9}" name="Guidance_x000a_If Yes" dataDxfId="399"/>
    <tableColumn id="6" xr3:uid="{70558B13-D6BB-4E85-A03D-236B1D1F6E75}" name="Guidance_x000a_If No" dataDxfId="398"/>
    <tableColumn id="7" xr3:uid="{839042A7-D918-45A9-AE42-1EE5DACC20DD}" name="Guidance_x000a_If No 2" dataDxfId="397"/>
    <tableColumn id="8" xr3:uid="{82E41053-C441-4F86-86F7-D7ADDC5C8815}" name="Guidance_x000a_If NA" dataDxfId="396"/>
    <tableColumn id="9" xr3:uid="{98C9AFFB-77EE-4793-BE82-18FB898153EB}" name="Free Text?" dataDxfId="395"/>
    <tableColumn id="10" xr3:uid="{0605349A-C952-4988-A158-567B3F06B6AE}" name="Call Flow Order" dataDxfId="394">
      <calculatedColumnFormula>IFERROR(VLOOKUP(Network_MO_Only_United_States[[#This Row],[iWatch '#]],INDIRECT('Defined Ranges'!$C$28&amp;"ROrder"&amp;'Defined Ranges'!$C$29),2,FALSE),"")</calculatedColumnFormula>
    </tableColumn>
    <tableColumn id="11" xr3:uid="{428DB8F5-230C-4389-8899-24277C2ACC13}" name="iWatch Order" dataDxfId="393">
      <calculatedColumnFormula>IFERROR(VLOOKUP(Network_MO_Only_United_States[[#This Row],[iWatch '#]],INDIRECT('Defined Ranges'!$C$28&amp;"ROrder"&amp;'Defined Ranges'!$C$29),3,FALSE),"")</calculatedColumnFormula>
    </tableColumn>
    <tableColumn id="12" xr3:uid="{69209055-0D9C-470B-B0EB-E21A0B0C634B}" name="Order" dataDxfId="392">
      <calculatedColumnFormula>'Defined Ranges'!$D$23+1</calculatedColumnFormula>
    </tableColumn>
    <tableColumn id="13" xr3:uid="{3C2E0C9C-8CAD-417A-9628-842FA8386725}" name="Verification Type" dataDxfId="391">
      <calculatedColumnFormula array="1">_xlfn.IFS(LSelected="English",Network_MO_Only[[#This Row],[Verification Type English]],LSelected="Spanish",Network_MO_Only[[#This Row],[Verification Type Spanish]],LSelected="French",Network_MO_Only[[#This Row],[Verification Type French]],LSelected="Portuguese",Network_MO_Only[[#This Row],[Verification Type Portuguese]])</calculatedColumnFormula>
    </tableColumn>
    <tableColumn id="14" xr3:uid="{E7B3F9FD-1033-46B7-8548-37DC7B8573BB}" name="Scripting English" dataDxfId="390"/>
    <tableColumn id="15" xr3:uid="{121E1CE3-690D-4271-85BE-417532CC6C3F}" name="free1" dataDxfId="389"/>
    <tableColumn id="16" xr3:uid="{D89A912A-752B-4A2F-9A9E-E0C1CB74D8B5}" name="free2" dataDxfId="388"/>
    <tableColumn id="17" xr3:uid="{38384870-43D3-4D7D-B4C8-C69962605ACD}" name="Action" dataDxfId="387"/>
    <tableColumn id="18" xr3:uid="{86F1B6D9-E0F8-45D9-8F24-228A2E186C7E}" name="Verification Type English" dataDxfId="386"/>
    <tableColumn id="19" xr3:uid="{31CB10BA-DA0C-432F-AED4-60727F782972}" name="Suggested script English" dataDxfId="385"/>
    <tableColumn id="20" xr3:uid="{8A70D835-8DEB-46C2-848F-3CCE7A3B5CDB}" name="Verification Type Spanish" dataDxfId="384"/>
    <tableColumn id="21" xr3:uid="{9FBC17B1-1A13-485F-9942-0DA019831DCF}" name="Suggested script Spanish" dataDxfId="383"/>
    <tableColumn id="22" xr3:uid="{BA3461C5-13D1-4327-BE49-8C5687312596}" name="Verification Type French" dataDxfId="382"/>
    <tableColumn id="23" xr3:uid="{AE74217F-C066-4711-9EB1-7461EB75F4F1}" name="Suggested script French" dataDxfId="381"/>
    <tableColumn id="24" xr3:uid="{1972ADAF-5227-4837-993C-7F18F6C31CE4}" name="Verification Type Portuguese" dataDxfId="380"/>
    <tableColumn id="25" xr3:uid="{96E0A1BB-F75D-4B22-A6A1-7D5026D4BF67}" name="Suggested script Portuguese" dataDxfId="379"/>
  </tableColumns>
  <tableStyleInfo name="TableStyleMedium5"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23F7024-7D5C-4B41-8355-41F852CD56FF}" name="Network_Agent_Australia" displayName="Network_Agent_Australia" ref="AF30:BD35" totalsRowShown="0" headerRowDxfId="378" dataDxfId="377">
  <autoFilter ref="AF30:BD35" xr:uid="{123F7024-7D5C-4B41-8355-41F852CD56FF}"/>
  <tableColumns count="25">
    <tableColumn id="1" xr3:uid="{D3555E2A-810E-4000-8EDE-D6794B26D8EF}" name="iWatch #" dataDxfId="376"/>
    <tableColumn id="2" xr3:uid="{7FF7F479-1B2B-4CAB-9CCC-5444C99CEACB}" name="Question" dataDxfId="375"/>
    <tableColumn id="3" xr3:uid="{B5190EEC-1B4C-4805-85C9-D396C498C142}" name="Possible Answers" dataDxfId="374"/>
    <tableColumn id="4" xr3:uid="{F36768C2-6CFC-4BA9-9012-5EE1EA3FD0CE}" name="Possible Answers Pool" dataDxfId="373"/>
    <tableColumn id="5" xr3:uid="{26CC03C9-7611-4EBD-AE2A-90D4037FFB28}" name="Guidance_x000a_If Yes" dataDxfId="372"/>
    <tableColumn id="6" xr3:uid="{592A4778-BCC4-469B-A933-EC9783A4910F}" name="Guidance_x000a_If No" dataDxfId="371"/>
    <tableColumn id="7" xr3:uid="{81B434CE-EAAC-4DB9-9B0E-E1EA2F770FEA}" name="Guidance_x000a_If No 2" dataDxfId="370"/>
    <tableColumn id="8" xr3:uid="{93398A00-F8DB-4607-BF14-E208011F266E}" name="Guidance_x000a_If NA" dataDxfId="369"/>
    <tableColumn id="9" xr3:uid="{456BCF70-4A72-4F82-8AC0-6631710D15EF}" name="Free Text?" dataDxfId="368"/>
    <tableColumn id="10" xr3:uid="{118FBE67-B55D-4812-9CFD-EDD68FA8398C}" name="Call Flow Order" dataDxfId="367">
      <calculatedColumnFormula>IFERROR(VLOOKUP(Network_Agent_Australia[[#This Row],[iWatch '#]],INDIRECT('Defined Ranges'!$C$28&amp;"ROrder"&amp;'Defined Ranges'!$C$29),2,FALSE),"")</calculatedColumnFormula>
    </tableColumn>
    <tableColumn id="11" xr3:uid="{F2EFDDF0-4109-4359-990B-ECA3EA6EDFB4}" name="iWatch Order" dataDxfId="366">
      <calculatedColumnFormula>IFERROR(VLOOKUP(Network_Agent_Australia[[#This Row],[iWatch '#]],INDIRECT('Defined Ranges'!$C$28&amp;"ROrder"&amp;'Defined Ranges'!$C$29),3,FALSE),"")</calculatedColumnFormula>
    </tableColumn>
    <tableColumn id="12" xr3:uid="{67150233-48E3-4C57-AE27-CEEA37B38799}" name="Order" dataDxfId="365">
      <calculatedColumnFormula>'Defined Ranges'!$D$23+1</calculatedColumnFormula>
    </tableColumn>
    <tableColumn id="13" xr3:uid="{3476C9B9-2DA4-4890-A9B5-6EB8149F3B18}" name="Verification Type" dataDxfId="364">
      <calculatedColumnFormula array="1">_xlfn.IFS(LSelected="English",Network_Agent_Australia[[#This Row],[Verification Type English]],LSelected="Spanish",Network_Agent_Australia[[#This Row],[Verification Type Spanish]],LSelected="French",Network_Agent_Australia[[#This Row],[Verification Type French]],LSelected="Portuguese",Network_Agent_Australia[[#This Row],[Verification Type Portuguese]])</calculatedColumnFormula>
    </tableColumn>
    <tableColumn id="14" xr3:uid="{08FB13F1-18FF-424D-8A46-FE4F3418FE62}" name="Scripting English" dataDxfId="363"/>
    <tableColumn id="15" xr3:uid="{9AF54D9C-3A98-42E6-8AF9-054B943073D9}" name="free1" dataDxfId="362"/>
    <tableColumn id="16" xr3:uid="{C2B62749-3049-4AAE-9F93-891F2590A458}" name="free2" dataDxfId="361"/>
    <tableColumn id="17" xr3:uid="{5A403158-D14A-4437-B299-27025AB09B83}" name="Action" dataDxfId="360"/>
    <tableColumn id="18" xr3:uid="{DBF657B6-61CD-431A-946A-8CE13463ADAA}" name="Verification Type English" dataDxfId="359"/>
    <tableColumn id="19" xr3:uid="{AAF7CC4E-6C5C-412B-B6F7-BC68DF88FD9C}" name="Suggested script English" dataDxfId="358"/>
    <tableColumn id="20" xr3:uid="{42024752-58D8-4772-A911-7BD579F3B9B6}" name="Verification Type Spanish" dataDxfId="357"/>
    <tableColumn id="21" xr3:uid="{56754C13-06E8-4E44-8A47-418C85C1A5A1}" name="Suggested script Spanish" dataDxfId="356"/>
    <tableColumn id="22" xr3:uid="{BE4A3143-96EA-4DAF-A8C5-40E3FE37B51D}" name="Verification Type French" dataDxfId="355"/>
    <tableColumn id="23" xr3:uid="{F0A3D0E4-489A-461F-BD7B-C5EAB64896D8}" name="Suggested script French" dataDxfId="354"/>
    <tableColumn id="24" xr3:uid="{18B595F2-983E-40AD-875B-319F84708A1E}" name="Verification Type Portuguese" dataDxfId="353"/>
    <tableColumn id="25" xr3:uid="{FC6817FE-28FF-485F-A736-FD79DDBB4C02}" name="Suggested script Portuguese" dataDxfId="352"/>
  </tableColumns>
  <tableStyleInfo name="TableStyleMedium3"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6561A43D-4A4A-49DD-9F40-AC4480F3CEC7}" name="Independent_NewZeland" displayName="Independent_NewZeland" ref="AF108:BD116" totalsRowShown="0" headerRowDxfId="351" dataDxfId="350">
  <autoFilter ref="AF108:BD116" xr:uid="{6561A43D-4A4A-49DD-9F40-AC4480F3CEC7}"/>
  <tableColumns count="25">
    <tableColumn id="1" xr3:uid="{C05DC5F2-119D-45F4-864F-39631347FF84}" name="iWatch #" dataDxfId="349"/>
    <tableColumn id="2" xr3:uid="{21971A8D-E7C5-4F70-96AC-B8E7A1340476}" name="Question" dataDxfId="348"/>
    <tableColumn id="3" xr3:uid="{0DFBDBDE-7530-4384-B305-37A43F573272}" name="Possible Answers" dataDxfId="347"/>
    <tableColumn id="4" xr3:uid="{ECCB98F0-70F8-4BF8-A293-E8FE70E60DC1}" name="Possible Answers Pool" dataDxfId="346"/>
    <tableColumn id="5" xr3:uid="{7794897C-3801-4070-9276-CC604FCA0B27}" name="Guidance_x000a_If Yes" dataDxfId="345"/>
    <tableColumn id="6" xr3:uid="{BC6AC8B5-1770-4EB8-B903-05FCE5E28870}" name="Guidance_x000a_If No" dataDxfId="344"/>
    <tableColumn id="7" xr3:uid="{E18308DE-E02B-408F-9593-330A58AF4D48}" name="Guidance_x000a_If No 2" dataDxfId="343"/>
    <tableColumn id="8" xr3:uid="{EC295F54-2416-4402-B95C-ACA2EADCD823}" name="Guidance_x000a_If NA" dataDxfId="342"/>
    <tableColumn id="9" xr3:uid="{B599ECF0-29CE-4C97-B17E-0E4FB11170A1}" name="Free Text?" dataDxfId="341"/>
    <tableColumn id="10" xr3:uid="{9DCCFE13-18C5-4C62-A5A4-D08668D516AA}" name="Call Flow Order" dataDxfId="340">
      <calculatedColumnFormula>IFERROR(VLOOKUP(Independent_NewZeland[[#This Row],[iWatch '#]],INDIRECT('Defined Ranges'!$C$28&amp;"ROrder"&amp;'Defined Ranges'!$C$29),2,FALSE),"")</calculatedColumnFormula>
    </tableColumn>
    <tableColumn id="11" xr3:uid="{592A1A75-7AC3-4B71-B575-AA0381DD22FA}" name="iWatch Order" dataDxfId="339">
      <calculatedColumnFormula>IFERROR(VLOOKUP(Independent_NewZeland[[#This Row],[iWatch '#]],INDIRECT('Defined Ranges'!$C$28&amp;"ROrder"&amp;'Defined Ranges'!$C$29),3,FALSE),"")</calculatedColumnFormula>
    </tableColumn>
    <tableColumn id="12" xr3:uid="{804A0CD9-6F28-404F-A87A-5EBE46327E35}" name="Order" dataDxfId="338">
      <calculatedColumnFormula>'Defined Ranges'!$D$23+1</calculatedColumnFormula>
    </tableColumn>
    <tableColumn id="13" xr3:uid="{787C9147-D3DC-4CC4-AD8A-DAE661F611F0}" name="Verification Type" dataDxfId="337">
      <calculatedColumnFormula array="1">_xlfn.IFS(LSelected="English",Independent_NewZeland[[#This Row],[Verification Type English]],LSelected="Spanish",Independent_NewZeland[[#This Row],[Verification Type Spanish]],LSelected="French",Independent_NewZeland[[#This Row],[Verification Type French]],LSelected="Portuguese",Independent_NewZeland[[#This Row],[Verification Type Portuguese]])</calculatedColumnFormula>
    </tableColumn>
    <tableColumn id="14" xr3:uid="{18AD26A9-CFB2-4D40-899C-BB6DEB9FF183}" name="Scripting English" dataDxfId="336">
      <calculatedColumnFormula array="1">_xlfn.IFS(SScript="English",Independent_NewZeland[[#This Row],[Suggested script English]],SScript="Spanish",Independent_NewZeland[[#This Row],[Suggested script Spanish]],SScript="French",Independent_NewZeland[[#This Row],[Suggested script French]],SScript="Portuguese",Independent_NewZeland[[#This Row],[Suggested script Portuguese]])</calculatedColumnFormula>
    </tableColumn>
    <tableColumn id="15" xr3:uid="{CE5347E1-ED5C-47E0-A206-6D3B8AED5438}" name="free1" dataDxfId="335"/>
    <tableColumn id="16" xr3:uid="{F5DF8B88-3BDA-47BF-913D-98E4F142F1CF}" name="free2" dataDxfId="334"/>
    <tableColumn id="17" xr3:uid="{CFCBC1E8-6F50-4E0D-B2B0-8EC1ECB1E36B}" name="Action" dataDxfId="333"/>
    <tableColumn id="18" xr3:uid="{C892224A-A65D-438C-8EA3-788F02DE5A62}" name="Verification Type English" dataDxfId="332"/>
    <tableColumn id="19" xr3:uid="{393DB4DA-F59B-4FB9-AB31-B092DE92A15D}" name="Suggested script English" dataDxfId="331"/>
    <tableColumn id="20" xr3:uid="{6EEDFE05-42C9-4919-BCBA-881588589CE5}" name="Verification Type Spanish" dataDxfId="330"/>
    <tableColumn id="21" xr3:uid="{2B1DE434-1B8C-419C-A3CC-3563696ED079}" name="Suggested script Spanish" dataDxfId="329"/>
    <tableColumn id="22" xr3:uid="{ACF90FBB-6B82-4E3A-8E9E-CCB250C4FD4A}" name="Verification Type French" dataDxfId="328"/>
    <tableColumn id="23" xr3:uid="{9D560332-27E6-49A0-AA59-2B5AE5B76A32}" name="Suggested script French" dataDxfId="327"/>
    <tableColumn id="24" xr3:uid="{CCB735CC-7EF2-4A21-AAD9-5C2E6331360A}" name="Verification Type Portuguese" dataDxfId="326"/>
    <tableColumn id="25" xr3:uid="{93127F3F-8BEC-40F5-81B7-90E81B6F2D83}" name="Suggested script Portuguese" dataDxfId="325"/>
  </tableColumns>
  <tableStyleInfo name="TableStyleMedium3"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88A79FE5-A734-4244-9796-6C1494E89036}" name="Network_AgentGlobal" displayName="Network_AgentGlobal" ref="B3:S138" totalsRowShown="0" headerRowDxfId="324" dataDxfId="323">
  <sortState xmlns:xlrd2="http://schemas.microsoft.com/office/spreadsheetml/2017/richdata2" ref="B4:S126">
    <sortCondition ref="B3:B126"/>
  </sortState>
  <tableColumns count="18">
    <tableColumn id="1" xr3:uid="{6D7781C0-57D1-499B-97E9-30EB748E5FFF}" name="QNumber" dataDxfId="322">
      <calculatedColumnFormula>Network_AgentGlobal[[#This Row],[Question]]&amp;"."&amp;Network_AgentGlobal[[#This Row],[Action Type]]&amp;Network_AgentGlobal[[#This Row],[Country]]</calculatedColumnFormula>
    </tableColumn>
    <tableColumn id="2" xr3:uid="{908BFCE8-B764-4548-9957-C7D1EFDD6C05}" name="Section" dataDxfId="321">
      <calculatedColumnFormula>IFERROR(VLOOKUP(Network_AgentGlobal[[#This Row],[Question]],INDIRECT('Gen Info'!$D$4&amp;"[#All]"),13,FALSE),VLOOKUP(Network_AgentGlobal[[#This Row],[Question]],INDIRECT('Gen Info'!$D$4&amp;"_"&amp;'Gen Info'!$E$4&amp;"[#All]"),13,FALSE))</calculatedColumnFormula>
    </tableColumn>
    <tableColumn id="3" xr3:uid="{1FAF2986-537B-4991-9A74-6BF4819AE813}" name="Finding" dataDxfId="320">
      <calculatedColumnFormula array="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calculatedColumnFormula>
    </tableColumn>
    <tableColumn id="4" xr3:uid="{395DAF58-5C1B-4751-876F-047FBA8ACD7E}" name="Finding English" dataDxfId="319"/>
    <tableColumn id="5" xr3:uid="{B0488C3C-8C5C-4B9A-9569-5FD8C6520B9D}" name="Finding English AML" dataDxfId="318"/>
    <tableColumn id="6" xr3:uid="{FBCF2033-8359-4B21-89B4-58CA8CA11553}" name="Finding English CFT" dataDxfId="317"/>
    <tableColumn id="7" xr3:uid="{C3378789-3D75-4E51-83E0-0ACA98781E2F}" name="Finding English AntiFraud" dataDxfId="316"/>
    <tableColumn id="8" xr3:uid="{88F09E98-35B1-4CDD-A950-F2616321DDA1}" name="Action Required" dataDxfId="315">
      <calculatedColumnFormula array="1">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calculatedColumnFormula>
    </tableColumn>
    <tableColumn id="9" xr3:uid="{D3EA0D46-4F74-4E4B-BD6F-C98E0CB5FABF}" name="Action Required English" dataDxfId="314"/>
    <tableColumn id="10" xr3:uid="{430A885C-F8AD-477E-8044-29B30BABE833}" name="Finding Spanish" dataDxfId="313"/>
    <tableColumn id="11" xr3:uid="{0FC16D25-5AE4-42F1-AF58-E9DEBF3F2BF3}" name="Action Required Spanish" dataDxfId="312"/>
    <tableColumn id="12" xr3:uid="{F92D92CE-834F-49D4-892B-8E12C006256A}" name="Finding French" dataDxfId="311"/>
    <tableColumn id="13" xr3:uid="{ADEC64DE-7121-49E8-9139-DC418EE35B8B}" name="Action Required French" dataDxfId="310"/>
    <tableColumn id="14" xr3:uid="{EB07CE1C-5676-4B18-A595-B42FDD3CEA91}" name="Finding Portuguese" dataDxfId="309"/>
    <tableColumn id="15" xr3:uid="{5F8A61EA-6E65-4F99-B44B-690A469A6C58}" name="Action Required Portuguese" dataDxfId="308"/>
    <tableColumn id="16" xr3:uid="{77B09A23-2AC8-42B9-9CE2-BD82A5EC3829}" name="Action Type" dataDxfId="307"/>
    <tableColumn id="17" xr3:uid="{2710DC2F-8FB5-431A-A31B-9C3A1AA31939}" name="Question" dataDxfId="306"/>
    <tableColumn id="18" xr3:uid="{04205224-A1A2-42DB-A39E-AD67BAB0242E}" name="Country" dataDxfId="305"/>
  </tableColumns>
  <tableStyleInfo name="TableStyleLight2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613D8020-F254-4537-B5E5-83BE01BCF11C}" name="Master_Agent_HQsGlobal" displayName="Master_Agent_HQsGlobal" ref="U3:AL93" totalsRowShown="0" headerRowDxfId="304">
  <autoFilter ref="U3:AL93" xr:uid="{613D8020-F254-4537-B5E5-83BE01BCF11C}">
    <filterColumn colId="0">
      <filters>
        <filter val="GS10.GQ12.Response_Required"/>
        <filter val="GS10.GQ13.Response_Required"/>
        <filter val="GS10.GQ14.Response_Required"/>
        <filter val="GS10.GQ2.Response_Required"/>
        <filter val="GS10.GQ3.Response_Required"/>
        <filter val="GS10.GQ6.Response_Required"/>
        <filter val="GS10.GQ8.Response_Required"/>
        <filter val="GS10.GQ9.Response_Required"/>
        <filter val="GS11.GQ4.Response_Required"/>
        <filter val="GS11.RQ1.Response_RequiredUnited_States"/>
        <filter val="GS12.GQ1.Response_Required"/>
        <filter val="GS12.GQ2.Response_Required"/>
        <filter val="GS12.GQ3.Response_Required"/>
        <filter val="GS12.GQ4.Response_Required"/>
        <filter val="GS12.RQ3.Response_RequiredUnited_States"/>
        <filter val="GS12.RQ5.Response_RequiredUnited_States"/>
        <filter val="GS12.RQ7.Response_RequiredUnited_States"/>
        <filter val="GS2.GQ1.Response_Required"/>
        <filter val="GS3.GQ1.Response_Required"/>
        <filter val="GS3.GQ2.Response_Required"/>
        <filter val="GS3.GQ5.Response_Required"/>
        <filter val="GS3.GQ6.Response_Required"/>
        <filter val="GS4.GQ1.Response_Required"/>
        <filter val="GS4.GQ2.Response_Required"/>
        <filter val="GS4.GQ3.Response_Required"/>
        <filter val="GS4.GQ4.Response_Required"/>
        <filter val="GS4.GQ5.Response_Required"/>
        <filter val="GS4.GQ7.Response_Required"/>
        <filter val="GS5.GQ1.Response_Required"/>
        <filter val="GS5.GQ2.Response_Required"/>
        <filter val="GS5.RQ1.Response_RequiredUnited_States"/>
        <filter val="GS5.RQ2.Response_RequiredUnited_States"/>
        <filter val="GS6.GQ1.Response_Required"/>
        <filter val="GS6.GQ2.Response_Required"/>
        <filter val="GS6.GQ3.Response_Required"/>
        <filter val="GS6.GQ4.Response_Required"/>
        <filter val="GS6.GQ5.Response_Required"/>
        <filter val="GS6.GQ6.Response_Required"/>
        <filter val="GS7.GQ4.Response_Required"/>
        <filter val="GS7.GQ5.Response_Required"/>
        <filter val="GS7.GQ6.Response_Required"/>
        <filter val="GS8.GQ1.Response_Required"/>
        <filter val="GS8.GQ2.Response_Required"/>
        <filter val="GS9.GQ1.Response_Required"/>
        <filter val="GS9.GQ3.Response_Required"/>
      </filters>
    </filterColumn>
  </autoFilter>
  <tableColumns count="18">
    <tableColumn id="1" xr3:uid="{2CA8F306-06BF-4284-A629-A43F6ACFEB00}" name="Qnumber">
      <calculatedColumnFormula>Master_Agent_HQsGlobal[[#This Row],[Question]]&amp;"."&amp;Master_Agent_HQsGlobal[[#This Row],[Action Type]]&amp;Master_Agent_HQsGlobal[[#This Row],[Country]]</calculatedColumnFormula>
    </tableColumn>
    <tableColumn id="2" xr3:uid="{C0DA83D6-E5FA-4C08-8F06-B26C2DADFC20}" name="Section">
      <calculatedColumnFormula>IFERROR(VLOOKUP(Master_Agent_HQsGlobal[[#This Row],[Question]],Master_Agent_HQs[#All],13,FALSE),VLOOKUP(Master_Agent_HQsGlobal[[#This Row],[Question]],INDIRECT("Master_Agent_HQs"&amp;'Gen Info'!$E$4&amp;"[#All]"),13,FALSE))</calculatedColumnFormula>
    </tableColumn>
    <tableColumn id="3" xr3:uid="{05FC4927-6B45-41B8-84B8-C56D1EDDA76D}" name="Finding">
      <calculatedColumnFormula array="1">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calculatedColumnFormula>
    </tableColumn>
    <tableColumn id="4" xr3:uid="{EE5F7898-5D9E-4D29-8B5A-D0E66A320A29}" name="Finding English"/>
    <tableColumn id="5" xr3:uid="{27DCE5B3-964D-4F73-80F0-3E74074F3D3D}" name="Finding English AML"/>
    <tableColumn id="6" xr3:uid="{9607374C-0E02-4D04-8D4E-EE6330FF9343}" name="Finding English CFT"/>
    <tableColumn id="7" xr3:uid="{67A5F884-847A-4420-ABC1-91A5753F1CDA}" name="Finding English AntiFraud"/>
    <tableColumn id="8" xr3:uid="{6BFCDD06-C92B-4266-9AE4-4418CD8AE7D2}" name="Action Required">
      <calculatedColumnFormula array="1">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calculatedColumnFormula>
    </tableColumn>
    <tableColumn id="9" xr3:uid="{BF9B39CA-8776-445B-AB59-8F8E86133138}" name="Action Required English"/>
    <tableColumn id="10" xr3:uid="{A8590FE3-A3E9-4B0E-B0A2-13F42D286E49}" name="Finding Spanish"/>
    <tableColumn id="11" xr3:uid="{697B0519-B65A-4F21-B3D7-CFCDC3EC6AC5}" name="Action Required Spanish"/>
    <tableColumn id="12" xr3:uid="{A466B2EE-793D-4F2D-916A-D47B1C11C6F8}" name="Finding French"/>
    <tableColumn id="13" xr3:uid="{12FB8034-9B67-46DC-94E6-5010F6BA0F0E}" name="Action Required French"/>
    <tableColumn id="14" xr3:uid="{1D989D1F-333A-467C-BDD6-DC79801E7EA1}" name="Finding Portuguese"/>
    <tableColumn id="15" xr3:uid="{F86F3565-6198-4E3A-BA9F-CB41C20B4200}" name="Action Required Portuguese"/>
    <tableColumn id="16" xr3:uid="{10BCC161-E59F-4C6A-A735-71933B2A288E}" name="Action Type"/>
    <tableColumn id="17" xr3:uid="{19E1F65F-A2A7-479F-B834-72291F16B10D}" name="Question"/>
    <tableColumn id="18" xr3:uid="{2EE9D5D0-3E39-4877-9695-D7741494DF9D}" name="Country"/>
  </tableColumns>
  <tableStyleInfo name="TableStyleMedium4"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F2C99F39-430F-4F9C-B251-23397098A230}" name="IndependentGlobal" displayName="IndependentGlobal" ref="AO3:BF164" totalsRowShown="0" headerRowDxfId="303">
  <sortState xmlns:xlrd2="http://schemas.microsoft.com/office/spreadsheetml/2017/richdata2" ref="AO4:BF140">
    <sortCondition ref="BE3:BE140"/>
  </sortState>
  <tableColumns count="18">
    <tableColumn id="1" xr3:uid="{C2C9F60E-56AE-430B-B237-0EC070C2C91A}" name="QNumber" dataDxfId="302">
      <calculatedColumnFormula>IndependentGlobal[[#This Row],[Question]]&amp;"."&amp;IndependentGlobal[[#This Row],[Action Type]]&amp;IndependentGlobal[[#This Row],[Country]]</calculatedColumnFormula>
    </tableColumn>
    <tableColumn id="2" xr3:uid="{69699F89-E390-48E6-A343-2D936288FF64}" name="Section" dataDxfId="301">
      <calculatedColumnFormula>IFERROR(VLOOKUP(IndependentGlobal[[#This Row],[Question]],Independent[#All],13,FALSE),VLOOKUP(IndependentGlobal[[#This Row],[Question]],INDIRECT("Independent_"&amp;'Gen Info'!$E$4&amp;"[#All]"),13,FALSE))</calculatedColumnFormula>
    </tableColumn>
    <tableColumn id="3" xr3:uid="{A5F53DBC-7AC1-4C68-A54E-1CF139D12C16}" name="Finding" dataDxfId="300">
      <calculatedColumnFormula array="1">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calculatedColumnFormula>
    </tableColumn>
    <tableColumn id="4" xr3:uid="{72678104-ED98-4E30-937D-7F8C3F59EBF5}" name="Finding English"/>
    <tableColumn id="5" xr3:uid="{9AF57AE6-BBAE-4A59-AE1B-037B28AFCAE3}" name="Finding English AML"/>
    <tableColumn id="6" xr3:uid="{7DD0870B-F480-4BC7-BCA2-8E2A3AE779C5}" name="Finding English CFT"/>
    <tableColumn id="7" xr3:uid="{D757403A-47A0-43BA-827E-5229BAAE358E}" name="Finding English AntiFraud"/>
    <tableColumn id="8" xr3:uid="{D127312D-F1D7-410D-A20C-045AE68B9529}" name="Action Required" dataDxfId="299">
      <calculatedColumnFormula array="1">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calculatedColumnFormula>
    </tableColumn>
    <tableColumn id="9" xr3:uid="{28EC9899-DDE4-4FDB-A56D-EAD31E9A864F}" name="Action Required English"/>
    <tableColumn id="10" xr3:uid="{29FE3B8D-F90D-416C-9991-8A3EBA27AAA5}" name="Finding Spanish"/>
    <tableColumn id="11" xr3:uid="{5D81657D-62CC-435B-B1FF-4DB5B3165978}" name="Action Required Spanish"/>
    <tableColumn id="12" xr3:uid="{048236AB-D129-429C-89DD-2815F593C1ED}" name="Finding French"/>
    <tableColumn id="13" xr3:uid="{61474AC5-1C54-497A-B949-3C7AC215B5DD}" name="Action Required French"/>
    <tableColumn id="14" xr3:uid="{571673FE-B1EE-4301-B410-A52B627A852A}" name="Finding Portuguese"/>
    <tableColumn id="15" xr3:uid="{C4EF260F-8804-4C3B-9311-3E283C480C9E}" name="Action Required Portuguese"/>
    <tableColumn id="16" xr3:uid="{7F3B2041-3819-4BF9-9820-583B9EA00D18}" name="Action Type"/>
    <tableColumn id="17" xr3:uid="{09648735-F344-4A32-8F99-179123FAE932}" name="Question" dataDxfId="298" dataCellStyle="Normal"/>
    <tableColumn id="18" xr3:uid="{413A9913-EF08-477A-B735-4BB71261FA73}" name="Country"/>
  </tableColumns>
  <tableStyleInfo name="TableStyleLight1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325C44E8-FF1A-4A47-B20B-422112EFC7CB}" name="Independent_MO_OnlyGlobal" displayName="Independent_MO_OnlyGlobal" ref="BH3:BY90" totalsRowShown="0" headerRowDxfId="297">
  <tableColumns count="18">
    <tableColumn id="1" xr3:uid="{B81C489E-FCEF-449D-8418-FC9F0C4B00DF}" name="QNumber" dataDxfId="296">
      <calculatedColumnFormula>Independent_MO_OnlyGlobal[[#This Row],[Question]]&amp;"."&amp;Independent_MO_OnlyGlobal[[#This Row],[Action Type]]&amp;Independent_MO_OnlyGlobal[[#This Row],[Country]]</calculatedColumnFormula>
    </tableColumn>
    <tableColumn id="2" xr3:uid="{E5C3BECE-6773-4186-BF9B-6FB3927336F6}" name="Section" dataDxfId="295">
      <calculatedColumnFormula>IFERROR(VLOOKUP(Independent_MO_OnlyGlobal[[#This Row],[Question]],Independent_MO_Only[#All],13,FALSE),VLOOKUP(Independent_MO_OnlyGlobal[[#This Row],[Question]],INDIRECT("Independent_MO_Only"&amp;'Gen Info'!$E$4&amp;"[#All]"),13,FALSE))</calculatedColumnFormula>
    </tableColumn>
    <tableColumn id="3" xr3:uid="{CB0D8F44-5443-435B-88D3-85A4734FCC2F}" name="Finding" dataDxfId="294">
      <calculatedColumnFormula array="1">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calculatedColumnFormula>
    </tableColumn>
    <tableColumn id="4" xr3:uid="{9FAE6E68-19D7-4FE5-9331-0479320BB9B0}" name="Finding English"/>
    <tableColumn id="5" xr3:uid="{2F9096E2-8AAE-4846-9C26-8E639C86E77D}" name="Finding English AML"/>
    <tableColumn id="6" xr3:uid="{A85021D4-A08A-4388-81CE-C36D0511F6D7}" name="Finding English CFT"/>
    <tableColumn id="7" xr3:uid="{64F71905-0E29-48F2-A779-05AA0A7949D8}" name="Finding English AntiFraud"/>
    <tableColumn id="8" xr3:uid="{951A4B21-D372-4603-A604-CEDA6A964AF6}" name="Action Required" dataDxfId="293">
      <calculatedColumnFormula array="1">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calculatedColumnFormula>
    </tableColumn>
    <tableColumn id="9" xr3:uid="{5C2E61EC-621D-4228-AC2D-2F469FDF7D63}" name="Action Required English"/>
    <tableColumn id="10" xr3:uid="{EC6B44C2-F55D-491F-9DB9-BFD53910278E}" name="Finding Spanish"/>
    <tableColumn id="11" xr3:uid="{080F8E5C-0965-4590-8D2B-A8B924ED8CC2}" name="Action Required Spanish"/>
    <tableColumn id="12" xr3:uid="{70BC9BCC-D526-41E7-9563-DE53CE6DA50E}" name="Finding French"/>
    <tableColumn id="13" xr3:uid="{B4A0978F-B2F0-4E12-A972-08C6439C4042}" name="Action Required French"/>
    <tableColumn id="14" xr3:uid="{74E2C8B8-DA26-454B-A363-DE82BAF1659C}" name="Finding Portuguese"/>
    <tableColumn id="15" xr3:uid="{0EBBBE9D-4801-47D2-8EB5-CEA5E54A3E6A}" name="Action Required Portuguese"/>
    <tableColumn id="16" xr3:uid="{7EF8E197-A465-48AD-8189-446255857608}" name="Action Type"/>
    <tableColumn id="17" xr3:uid="{5AF51C0E-36CE-40BB-ADD5-3171363AB6B9}" name="Question"/>
    <tableColumn id="18" xr3:uid="{89198B86-1A34-4A61-BF68-264C76D2D8B3}" name="Country"/>
  </tableColumns>
  <tableStyleInfo name="TableStyleLight2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E3112EB5-E3FA-45A9-8DA9-FAF5906FB572}" name="Network_MO_OnlyGlobal" displayName="Network_MO_OnlyGlobal" ref="CB3:CS41" totalsRowShown="0" headerRowDxfId="292" dataDxfId="291" headerRowCellStyle="Bad">
  <tableColumns count="18">
    <tableColumn id="1" xr3:uid="{AB8D4AD4-2996-47BB-8C76-0B1AA03EBB92}" name="QNumber" dataDxfId="290">
      <calculatedColumnFormula>Network_MO_OnlyGlobal[[#This Row],[Question]]&amp;"."&amp;Network_MO_OnlyGlobal[[#This Row],[Action Type]]&amp;Network_MO_OnlyGlobal[[#This Row],[Country]]</calculatedColumnFormula>
    </tableColumn>
    <tableColumn id="2" xr3:uid="{A4814894-CCFF-42AE-9D8F-429DC4968E0D}" name="Section" dataDxfId="289">
      <calculatedColumnFormula>IFERROR(VLOOKUP(Network_MO_OnlyGlobal[[#This Row],[Question]],#REF!,13,FALSE),VLOOKUP(Network_MO_OnlyGlobal[[#This Row],[Question]],INDIRECT("Network_Agent_"&amp;'Gen Info'!$E$4&amp;"[#All]"),13,FALSE))</calculatedColumnFormula>
    </tableColumn>
    <tableColumn id="3" xr3:uid="{A67E0911-29A3-4960-8BBA-B52AC1367549}" name="Finding" dataDxfId="288">
      <calculatedColumnFormula array="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calculatedColumnFormula>
    </tableColumn>
    <tableColumn id="4" xr3:uid="{E5DF25CD-2379-4B6C-898D-379DB6553127}" name="Finding English" dataDxfId="287"/>
    <tableColumn id="5" xr3:uid="{0345D169-0B69-4FE6-8CBA-A8BD10059A4E}" name="Finding English AML" dataDxfId="286"/>
    <tableColumn id="6" xr3:uid="{C767F389-5825-46CE-B6D1-E51AC508BA70}" name="Finding English CFT" dataDxfId="285"/>
    <tableColumn id="7" xr3:uid="{CB14BB55-FDEE-4B4F-981A-F07373D19E50}" name="Finding English AntiFraud" dataDxfId="284"/>
    <tableColumn id="8" xr3:uid="{F99BBFF0-1FE2-4C87-BD80-BA846C17F453}" name="Action Required" dataDxfId="283">
      <calculatedColumnFormula array="1">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calculatedColumnFormula>
    </tableColumn>
    <tableColumn id="9" xr3:uid="{638B5043-48F9-4849-B005-C49F8FED2F47}" name="Action Required English" dataDxfId="282"/>
    <tableColumn id="10" xr3:uid="{B74E883D-431F-461E-82FA-39808FB06B80}" name="Finding Spanish" dataDxfId="281"/>
    <tableColumn id="11" xr3:uid="{1B5DB28D-EF2F-4D67-8F3E-CF322661692A}" name="Action Required Spanish" dataDxfId="280"/>
    <tableColumn id="12" xr3:uid="{DC81AEAF-405A-4430-AB17-D2E0DBAD9ECC}" name="Finding French" dataDxfId="279"/>
    <tableColumn id="13" xr3:uid="{A12E0DDB-667F-448F-BF87-7D01E5B3488C}" name="Action Required French" dataDxfId="278"/>
    <tableColumn id="14" xr3:uid="{5E8B6E64-DAA1-46A9-993B-E1466616E126}" name="Finding Portuguese" dataDxfId="277"/>
    <tableColumn id="15" xr3:uid="{294B8CB2-BF5F-4238-9E7F-6250F01BAB7C}" name="Action Required Portuguese" dataDxfId="276"/>
    <tableColumn id="16" xr3:uid="{117D9C12-7186-4335-BE50-C963508F0458}" name="Action Type" dataDxfId="275"/>
    <tableColumn id="17" xr3:uid="{B4BC500F-96EC-45D2-B9EE-E5988FF59E0C}" name="Question" dataDxfId="274"/>
    <tableColumn id="18" xr3:uid="{EDFB2F5D-B787-4A37-B374-480E9C32F24E}" name="Country" dataDxfId="273"/>
  </tableColumns>
  <tableStyleInfo name="TableStyleLight13"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ACED97-C1C0-4E3E-A4C2-4E194E73B4AB}" name="HQ_MO_OnlyGlobal" displayName="HQ_MO_OnlyGlobal" ref="CV3:DM38" totalsRowShown="0" headerRowDxfId="272" dataDxfId="271">
  <tableColumns count="18">
    <tableColumn id="1" xr3:uid="{E9C01E2B-45D0-464A-BA4F-692C8C0C58FE}" name="QNumber" dataDxfId="270">
      <calculatedColumnFormula>HQ_MO_OnlyGlobal[[#This Row],[Question]]&amp;"."&amp;HQ_MO_OnlyGlobal[[#This Row],[Action Type]]&amp;HQ_MO_OnlyGlobal[[#This Row],[Country]]</calculatedColumnFormula>
    </tableColumn>
    <tableColumn id="2" xr3:uid="{FA36A218-4875-4CAF-82C9-CD0C4F9530BF}" name="Section" dataDxfId="269">
      <calculatedColumnFormula>IFERROR(VLOOKUP(HQ_MO_OnlyGlobal[[#This Row],[Question]],INDIRECT('Gen Info'!$D$4&amp;"[#All]"),13,FALSE),VLOOKUP(HQ_MO_OnlyGlobal[[#This Row],[Question]],INDIRECT('Gen Info'!$D$4&amp;"_"&amp;'Gen Info'!$E$4&amp;"[#All]"),13,FALSE))</calculatedColumnFormula>
    </tableColumn>
    <tableColumn id="3" xr3:uid="{BAD64CDC-C6BD-41C8-821B-DE1DB005BE4D}" name="Finding" dataDxfId="268">
      <calculatedColumnFormula array="1">IFERROR(_xlfn.IFS(LocationInfo[Select Letter Language]="English",_xlfn.IFS(VLOOKUP(HQ_MO_OnlyGlobal[[#This Row],[Question]],CallTb[[#All],[iWatch '#]:[Finding Type]],6,FALSE)="","",VLOOKUP(HQ_MO_OnlyGlobal[[#This Row],[Question]],CallTb[[#All],[iWatch '#]:[Finding Type]],6,FALSE)="No_AML",HQ_MO_OnlyGlobal[[#This Row],[Finding English AML]],VLOOKUP(HQ_MO_OnlyGlobal[[#This Row],[Question]],CallTb[[#All],[iWatch '#]:[Finding Type]],6,FALSE)="No",HQ_MO_OnlyGlobal[[#This Row],[Finding English]]),LocationInfo[Select Letter Language]="Spanish",HQ_MO_OnlyGlobal[[#This Row],[Finding Spanish]],LocationInfo[Select Letter Language]="French",HQ_MO_OnlyGlobal[[#This Row],[Finding French]],LocationInfo[Select Letter Language]="Portuguese",HQ_MO_OnlyGlobal[[#This Row],[Finding Portuguese]]),"")</calculatedColumnFormula>
    </tableColumn>
    <tableColumn id="4" xr3:uid="{0C315D54-90A4-4C41-9493-8E75010AEFC1}" name="Finding English" dataDxfId="267"/>
    <tableColumn id="5" xr3:uid="{2C6A2098-2F81-4528-9451-97810C56F03B}" name="Finding English AML" dataDxfId="266"/>
    <tableColumn id="6" xr3:uid="{8FC510F8-C250-466D-A869-54692CA57C0A}" name="Finding English CFT" dataDxfId="265"/>
    <tableColumn id="7" xr3:uid="{DC03214E-290A-4EA2-908D-EA8C04CD1FE8}" name="Finding English AntiFraud" dataDxfId="264"/>
    <tableColumn id="8" xr3:uid="{DC502E5A-D562-4321-AA63-2B1A0FC93743}" name="Action Required" dataDxfId="263">
      <calculatedColumnFormula array="1">IFERROR(_xlfn.IFS(LocationInfo[Select Letter Language]="English",HQ_MO_OnlyGlobal[[#This Row],[Action Required English]],LocationInfo[Select Letter Language]="Spanish",HQ_MO_OnlyGlobal[[#This Row],[Action Required Spanish]],LocationInfo[Select Letter Language]="French",HQ_MO_OnlyGlobal[[#This Row],[Action Required French]],LocationInfo[Select Letter Language]="Portuguese",HQ_MO_OnlyGlobal[[#This Row],[Action Required Portuguese]]),"")</calculatedColumnFormula>
    </tableColumn>
    <tableColumn id="9" xr3:uid="{0A30D34D-81B4-41F1-BB5A-AD115B61D3F5}" name="Action Required English" dataDxfId="262"/>
    <tableColumn id="10" xr3:uid="{84CE2EF8-EE88-4020-83CE-E34F9C287BA9}" name="Finding Spanish" dataDxfId="261"/>
    <tableColumn id="11" xr3:uid="{9BF00A24-B268-4911-B311-FDB4E67E0F20}" name="Action Required Spanish" dataDxfId="260"/>
    <tableColumn id="12" xr3:uid="{24824F4F-52AE-412D-A319-2E40DD54C2F1}" name="Finding French" dataDxfId="259"/>
    <tableColumn id="13" xr3:uid="{59AB677A-0F3A-4249-8379-0FA46924F294}" name="Action Required French" dataDxfId="258"/>
    <tableColumn id="14" xr3:uid="{0A86705A-5BE5-4855-8605-22BC072B7D46}" name="Finding Portuguese" dataDxfId="257"/>
    <tableColumn id="15" xr3:uid="{CD2ED8A6-0928-4D43-8CFA-8EA83A9ED7EF}" name="Action Required Portuguese" dataDxfId="256"/>
    <tableColumn id="16" xr3:uid="{22413F0A-EF24-4E3A-BC62-F98CA1644FC0}" name="Action Type" dataDxfId="255"/>
    <tableColumn id="17" xr3:uid="{3B9D812A-F799-405C-ABD1-48ED5F08BEEA}" name="Question" dataDxfId="254"/>
    <tableColumn id="18" xr3:uid="{EE7CE712-649F-4D5E-8BAD-AF3ED1ABBDC3}" name="Country" dataDxfId="253"/>
  </tableColumns>
  <tableStyleInfo name="TableStyleLight2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826EA73-3A05-40D8-A3FB-AA0B862789EF}" name="IndependentOrderUnited_States" displayName="IndependentOrderUnited_States" ref="AS2:AU72" totalsRowShown="0" dataDxfId="252" dataCellStyle="Normal">
  <autoFilter ref="AS2:AU72" xr:uid="{9826EA73-3A05-40D8-A3FB-AA0B862789EF}"/>
  <sortState xmlns:xlrd2="http://schemas.microsoft.com/office/spreadsheetml/2017/richdata2" ref="AS3:AU72">
    <sortCondition ref="AU2:AU72"/>
  </sortState>
  <tableColumns count="3">
    <tableColumn id="1" xr3:uid="{A4174FE5-7933-4C57-925C-BD40D7DD2B40}" name="iWatch #" dataDxfId="251" dataCellStyle="Normal"/>
    <tableColumn id="2" xr3:uid="{3F4E903E-1751-47A7-A326-DE850D156A6D}" name="Call Flow Order" dataDxfId="250" dataCellStyle="Normal"/>
    <tableColumn id="3" xr3:uid="{51CF6359-B677-4148-ABB8-BEC2C751D366}" name="iWatch Order" dataDxfId="249" dataCellStyle="Normal"/>
  </tableColumns>
  <tableStyleInfo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D76BDF6-5E77-4587-9DF7-BCD0526C59C8}" name="IndependentOrderCanada" displayName="IndependentOrderCanada" ref="BA2:BC72" totalsRowShown="0" headerRowDxfId="248" dataDxfId="247">
  <autoFilter ref="BA2:BC72" xr:uid="{4D76BDF6-5E77-4587-9DF7-BCD0526C59C8}"/>
  <sortState xmlns:xlrd2="http://schemas.microsoft.com/office/spreadsheetml/2017/richdata2" ref="BA3:BC78">
    <sortCondition ref="BB2:BB78"/>
  </sortState>
  <tableColumns count="3">
    <tableColumn id="1" xr3:uid="{35E38EA0-93E6-4745-89A7-237D7197A38D}" name="iWatch #" dataDxfId="246"/>
    <tableColumn id="2" xr3:uid="{A58A2806-4D38-4851-87CD-408DEE7E4650}" name="Call Flow Order" dataDxfId="245"/>
    <tableColumn id="3" xr3:uid="{B9CE1FA3-D592-4DDE-AF9E-B67DF1C27052}" name="iWatch Order" dataDxfId="244"/>
  </tableColumns>
  <tableStyleInfo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2F1219D-A1CF-4B48-9754-F05D4FA39312}" name="IndependentROrderCanada" displayName="IndependentROrderCanada" ref="BE2:BG7" totalsRowShown="0" headerRowDxfId="243" dataDxfId="242">
  <autoFilter ref="BE2:BG7" xr:uid="{62F1219D-A1CF-4B48-9754-F05D4FA39312}"/>
  <sortState xmlns:xlrd2="http://schemas.microsoft.com/office/spreadsheetml/2017/richdata2" ref="BE3:BG15">
    <sortCondition descending="1" ref="BF2:BF15"/>
  </sortState>
  <tableColumns count="3">
    <tableColumn id="1" xr3:uid="{7778AC07-8701-4CAA-BD90-BA08F2BCB4F9}" name="iWatch #" dataDxfId="241"/>
    <tableColumn id="2" xr3:uid="{558DA783-0525-4E01-8F51-7216B26F435D}" name="Call Flow Order" dataDxfId="240"/>
    <tableColumn id="3" xr3:uid="{A82B02AF-C5B3-437C-A65A-6758C3CBDE4D}" name="iWatch Order" dataDxfId="239"/>
  </tableColumns>
  <tableStyleInfo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FDA1413-7F52-457C-AE57-C340114AD06E}" name="IndependentROrderUnited_States" displayName="IndependentROrderUnited_States" ref="AW2:AY25" totalsRowShown="0" headerRowDxfId="238" dataDxfId="237" dataCellStyle="Normal">
  <autoFilter ref="AW2:AY25" xr:uid="{EFDA1413-7F52-457C-AE57-C340114AD06E}"/>
  <sortState xmlns:xlrd2="http://schemas.microsoft.com/office/spreadsheetml/2017/richdata2" ref="AW3:AY25">
    <sortCondition ref="AY2:AY25"/>
  </sortState>
  <tableColumns count="3">
    <tableColumn id="1" xr3:uid="{CBCF4BFD-1846-4013-ADD0-A4B16DE8CC9B}" name="iWatch #" dataDxfId="236" dataCellStyle="Normal"/>
    <tableColumn id="2" xr3:uid="{BB010C49-0208-403C-A1F6-2DCF74065A5A}" name="Call Flow Order" dataDxfId="235" dataCellStyle="Normal"/>
    <tableColumn id="3" xr3:uid="{729F7037-16EE-4EAE-97BA-133013D9797A}" name="iWatch Order" dataDxfId="234" dataCellStyle="Normal"/>
  </tableColumns>
  <tableStyleInfo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86EBB31-86BA-4261-893F-C3316FFC5076}" name="IndependentOrder" displayName="IndependentOrder" ref="AO2:AQ72" totalsRowShown="0" headerRowDxfId="233" dataDxfId="232">
  <autoFilter ref="AO2:AQ72" xr:uid="{486EBB31-86BA-4261-893F-C3316FFC5076}"/>
  <sortState xmlns:xlrd2="http://schemas.microsoft.com/office/spreadsheetml/2017/richdata2" ref="AO3:AQ72">
    <sortCondition ref="AQ3:AQ72" customList="GS1.GQ1,GS1.GQ2,GS1.GQ3,GS1.GQ4,GS1.GQ5,GS1.GQ6,GS1.GQ7,GS1.GQ8,GS1.GQ9,GS1.GQ10,GS1.GQ11,GS1.GQ12,GS1.GQ13,GS1.GQ14,GS1.GQ15,GS1.GQ16,GS1.GQ17,GS1.GQ18,GS1.GQ19,GS1.GQ20,GS2.GQ1,GS2.GQ2,GS2.GQ3,GS2.GQ4,GS2.GQ5,GS2.GQ6,GS2.GQ7,GS2.GQ8,GS2.GQ9,GS2.GQ10,GS2.GQ11,GS2.GQ12,GS2.GQ13,GS2.GQ14,GS2.GQ15,GS2.GQ16,GS2.GQ17,GS2.GQ18,GS2.GQ19,GS2.GQ20,GS3.GQ1,GS3.GQ2,GS3.GQ3,GS3.GQ4,GS3.GQ5,GS3.GQ6,GS3.GQ7,GS3.GQ8,GS3.GQ9,GS3.GQ10,GS3.GQ11,GS3.GQ12,GS3.GQ13,GS3.GQ14,GS3.GQ15,GS3.GQ16,GS3.GQ17,GS3.GQ18,GS3.GQ19,GS3.GQ20,GS4.GQ1,GS4.GQ2,GS4.GQ3,GS4.GQ4,GS4.GQ5,GS4.GQ6,GS4.GQ7,GS4.GQ8,GS4.GQ9,GS4.GQ10,GS4.GQ11,GS4.GQ12,GS4.GQ13,GS4.GQ14,GS4.GQ15,GS4.GQ16,GS4.GQ17,GS4.GQ18,GS4.GQ19,GS4.GQ20,GS5.GQ1,GS5.GQ2,GS5.GQ3,GS5.GQ4,GS5.GQ5,GS5.GQ6,GS5.GQ7,GS5.GQ8,GS5.GQ9,GS5.GQ10,GS5.GQ11,GS5.GQ12,GS5.GQ13,GS5.GQ14,GS5.GQ15,GS5.GQ16,GS5.GQ17,GS5.GQ18,GS5.GQ19,GS5.GQ20,GS6.GQ1,GS6.GQ2,GS6.GQ3,GS6.GQ4,GS6.GQ5,GS6.GQ6,GS6.GQ7,GS6.GQ8,GS6.GQ9,GS6.GQ10,GS6.GQ11,GS6.GQ12,GS6.GQ13,GS6.GQ14,GS6.GQ15,GS6.GQ16,GS6.GQ17,GS6.GQ18,GS6.GQ19,GS6.GQ20,GS7.GQ1,GS7.GQ2,GS7.GQ3,GS7.GQ4,GS7.GQ5,GS7.GQ6,GS7.GQ7,GS7.GQ8,GS7.GQ9,GS7.GQ10,GS7.GQ11,GS7.GQ12,GS7.GQ13,GS7.GQ14,GS7.GQ15,GS7.GQ16,GS7.GQ17,GS7.GQ18,GS7.GQ19,GS7.GQ20,GS8.GQ1,GS8.GQ2,GS8.GQ3,GS8.GQ4,GS8.GQ5,GS8.GQ6,GS8.GQ7,GS8.GQ8,GS8.GQ9,GS8.GQ10,GS8.GQ11,GS8.GQ12,GS8.GQ13,GS8.GQ14,GS8.GQ15,GS8.GQ16,GS8.GQ17,GS8.GQ18,GS8.GQ19,GS8.GQ20,GS9.GQ1,GS9.GQ2,GS9.GQ3,GS9.GQ4,GS9.GQ5,GS9.GQ6,GS9.GQ7,GS9.GQ8,GS9.GQ9,GS9.GQ10,GS9.GQ11,GS9.GQ12,GS9.GQ13,GS9.GQ14,GS9.GQ15,GS9.GQ16,GS9.GQ17,GS9.GQ18,GS9.GQ19,GS9.GQ20,GS10.GQ1,GS10.GQ2,GS10.GQ3,GS10.GQ4,GS10.GQ5,GS10.GQ6,GS10.GQ7,GS10.GQ8,GS10.GQ9,GS10.GQ10,GS10.GQ11,GS10.GQ12,GS10.GQ13,GS10.GQ14,GS10.GQ15,GS10.GQ16,GS10.GQ17,GS10.GQ18,GS10.GQ19,GS10.GQ20,GS11.GQ1,GS11.GQ2,GS11.GQ3,GS11.GQ4,GS11.GQ5,GS11.GQ6,GS11.GQ7,GS11.GQ8,GS11.GQ9,GS11.GQ10,GS11.GQ11,GS11.GQ12,GS11.GQ13,GS11.GQ14,GS11.GQ15,GS11.GQ16,GS11.GQ17,GS11.GQ18,GS11.GQ19,GS11.GQ20,GS12.GQ1,GS12.GQ2,GS12.GQ3,GS12.GQ4,GS12.GQ5,GS12.GQ6,GS12.GQ7,GS12.GQ8"/>
  </sortState>
  <tableColumns count="3">
    <tableColumn id="1" xr3:uid="{8BA88266-411F-4800-98C5-E1FAF8466F16}" name="iWatch #" dataDxfId="231"/>
    <tableColumn id="2" xr3:uid="{67079FCD-2966-4607-A81F-1799A5D390D0}" name="Call Flow Order" dataDxfId="230" dataCellStyle="Normal"/>
    <tableColumn id="3" xr3:uid="{B8AA821E-CE91-4AB2-BCBF-8497D06AEB4C}" name="iWatch Order" dataDxfId="229"/>
  </tableColumns>
  <tableStyleInfo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C20A5C1-A80A-4CEC-8F5C-9B7A3EC1C555}" name="Master_Agent_HQsOrderUnited_States" displayName="Master_Agent_HQsOrderUnited_States" ref="E2:G65" totalsRowShown="0" headerRowDxfId="228" dataDxfId="227" dataCellStyle="Normal">
  <autoFilter ref="E2:G65" xr:uid="{4C20A5C1-A80A-4CEC-8F5C-9B7A3EC1C555}"/>
  <sortState xmlns:xlrd2="http://schemas.microsoft.com/office/spreadsheetml/2017/richdata2" ref="E3:G65">
    <sortCondition ref="G2:G65"/>
  </sortState>
  <tableColumns count="3">
    <tableColumn id="1" xr3:uid="{E16B7FF8-7DD3-4C44-97A1-99BE0F037923}" name="iWatch #" dataDxfId="226" dataCellStyle="Normal"/>
    <tableColumn id="2" xr3:uid="{EDA62521-F3A5-48A9-AEBD-731A318EDC4D}" name="Call Flow Order" dataDxfId="225" dataCellStyle="Normal"/>
    <tableColumn id="3" xr3:uid="{34770151-9C06-4EF6-83D8-756F62077579}" name="iWatch Order" dataDxfId="224" dataCellStyle="Normal"/>
  </tableColumns>
  <tableStyleInfo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2958E58-72D3-4EEC-8C05-75022FB7A5D9}" name="Master_Agent_HQsROrderUnited_States" displayName="Master_Agent_HQsROrderUnited_States" ref="I2:K12" totalsRowShown="0" headerRowDxfId="223" dataDxfId="222" dataCellStyle="Normal">
  <autoFilter ref="I2:K12" xr:uid="{A2958E58-72D3-4EEC-8C05-75022FB7A5D9}"/>
  <sortState xmlns:xlrd2="http://schemas.microsoft.com/office/spreadsheetml/2017/richdata2" ref="I3:K12">
    <sortCondition ref="K2:K12"/>
  </sortState>
  <tableColumns count="3">
    <tableColumn id="1" xr3:uid="{0C6B83B4-341F-4748-82C6-650FFBD73A8C}" name="iWatch #" dataDxfId="221" dataCellStyle="Normal"/>
    <tableColumn id="2" xr3:uid="{4347D5B2-A220-4C06-A343-669B292C0CFA}" name="Call Flow Order" dataDxfId="220" dataCellStyle="Normal"/>
    <tableColumn id="3" xr3:uid="{8829E919-80AE-48B3-A2FA-0459A719232C}" name="iWatch Order" dataDxfId="219" dataCellStyle="Normal"/>
  </tableColumns>
  <tableStyleInfo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B55A22E-DDD6-4316-957E-FAAACA05981C}" name="Independent_MO_OnlyOrderUnited_States" displayName="Independent_MO_OnlyOrderUnited_States" ref="Y2:AA58" totalsRowShown="0" headerRowDxfId="218" dataDxfId="217" dataCellStyle="Normal">
  <autoFilter ref="Y2:AA58" xr:uid="{CB55A22E-DDD6-4316-957E-FAAACA05981C}"/>
  <sortState xmlns:xlrd2="http://schemas.microsoft.com/office/spreadsheetml/2017/richdata2" ref="Y3:AA59">
    <sortCondition ref="Y2:Y59"/>
  </sortState>
  <tableColumns count="3">
    <tableColumn id="1" xr3:uid="{75815E46-41DA-46ED-8558-8F8AE36AD183}" name="iWatch #" dataDxfId="216" dataCellStyle="Normal"/>
    <tableColumn id="2" xr3:uid="{C3AAD6E9-59F3-40B3-B758-105248E8F15D}" name="Call Flow Order" dataDxfId="215" dataCellStyle="Normal"/>
    <tableColumn id="3" xr3:uid="{9051CA70-BA7C-4EF4-821D-44B28CDBA33D}" name="iWatch Order" dataDxfId="214" dataCellStyle="Normal"/>
  </tableColumns>
  <tableStyleInfo name="TableStyleLight1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FD15DFDA-A048-4375-B9E3-0DEAD0AF0E48}" name="Independent_MO_OnlyROrderUnited_States" displayName="Independent_MO_OnlyROrderUnited_States" ref="AC2:AE10" totalsRowShown="0" headerRowDxfId="213" dataDxfId="212" dataCellStyle="Normal">
  <autoFilter ref="AC2:AE10" xr:uid="{FD15DFDA-A048-4375-B9E3-0DEAD0AF0E48}"/>
  <sortState xmlns:xlrd2="http://schemas.microsoft.com/office/spreadsheetml/2017/richdata2" ref="AC3:AE10">
    <sortCondition ref="AC2:AC10"/>
  </sortState>
  <tableColumns count="3">
    <tableColumn id="1" xr3:uid="{3A23767E-2D0C-448F-805D-21AC2A9FB57F}" name="iWatch #" dataDxfId="211" dataCellStyle="Normal"/>
    <tableColumn id="2" xr3:uid="{552B55F7-E802-489D-82B1-9A7FC0C942B3}" name="Call Flow Order" dataDxfId="210" dataCellStyle="Normal"/>
    <tableColumn id="3" xr3:uid="{5118BBFF-2BBE-4DD2-8E4F-26B770FF64EF}" name="iWatch Order" dataDxfId="209" dataCellStyle="Normal"/>
  </tableColumns>
  <tableStyleInfo name="TableStyleLight1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D6D0C0AB-1689-41D1-835F-232165986CF7}" name="Independent_MO_OnlyROrderCanada" displayName="Independent_MO_OnlyROrderCanada" ref="AK2:AM12" totalsRowShown="0" headerRowDxfId="208" dataDxfId="207">
  <autoFilter ref="AK2:AM12" xr:uid="{D6D0C0AB-1689-41D1-835F-232165986CF7}"/>
  <tableColumns count="3">
    <tableColumn id="1" xr3:uid="{382085E6-CDC2-4E86-A46F-004A123D1048}" name="iWatch #" dataDxfId="206"/>
    <tableColumn id="2" xr3:uid="{C6532854-293E-4DD2-BFB7-863DF4F4CB23}" name="Call Flow Order" dataDxfId="205"/>
    <tableColumn id="3" xr3:uid="{BB196108-69C3-40CB-9E0F-A1BE43B60941}" name="iWatch Order" dataDxfId="204"/>
  </tableColumns>
  <tableStyleInfo name="TableStyleLight1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4301FA2-2696-4F90-8381-7A5D12610C02}" name="Independent_MO_OnlyOrderCanada" displayName="Independent_MO_OnlyOrderCanada" ref="AG2:AI58" totalsRowShown="0" headerRowDxfId="203" dataDxfId="202">
  <autoFilter ref="AG2:AI58" xr:uid="{A4301FA2-2696-4F90-8381-7A5D12610C02}"/>
  <tableColumns count="3">
    <tableColumn id="1" xr3:uid="{B8DCFE43-81DB-4DC9-AC30-BEB4913C7141}" name="iWatch #" dataDxfId="201"/>
    <tableColumn id="2" xr3:uid="{EB7EE465-30BD-44A0-A938-A2E2A576AFA1}" name="Call Flow Order" dataDxfId="200"/>
    <tableColumn id="3" xr3:uid="{61CD0526-EA6A-4C95-B975-DCDD5AE43EE1}" name="iWatch Order" dataDxfId="199"/>
  </tableColumns>
  <tableStyleInfo name="TableStyleLight1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ECCDFFAC-3723-4023-8596-711640CFBE93}" name="Independent_MO_OnlyOrder" displayName="Independent_MO_OnlyOrder" ref="U2:W58" totalsRowShown="0" headerRowDxfId="198" dataDxfId="197">
  <autoFilter ref="U2:W58" xr:uid="{ECCDFFAC-3723-4023-8596-711640CFBE93}"/>
  <sortState xmlns:xlrd2="http://schemas.microsoft.com/office/spreadsheetml/2017/richdata2" ref="U3:W59">
    <sortCondition ref="V2:V59"/>
  </sortState>
  <tableColumns count="3">
    <tableColumn id="1" xr3:uid="{21FAD7D6-53A5-4B68-8B24-18DAC5557747}" name="iWatch #" dataDxfId="196"/>
    <tableColumn id="2" xr3:uid="{4D144A45-AF03-4FD6-944C-9814FB4B834D}" name="Call Flow Order" dataDxfId="195"/>
    <tableColumn id="3" xr3:uid="{4E2DF572-6467-41DF-8811-8EA9D3886500}" name="iWatch Order" dataDxfId="194"/>
  </tableColumns>
  <tableStyleInfo name="TableStyleLight1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70852777-0805-4DE5-99DC-609FF8B14715}" name="Master_Agent_HQsOrder" displayName="Master_Agent_HQsOrder" ref="A2:C65" totalsRowShown="0" headerRowDxfId="193" dataDxfId="192">
  <autoFilter ref="A2:C65" xr:uid="{70852777-0805-4DE5-99DC-609FF8B14715}"/>
  <sortState xmlns:xlrd2="http://schemas.microsoft.com/office/spreadsheetml/2017/richdata2" ref="A3:C65">
    <sortCondition ref="A3:A65" customList="GS1.GQ1,GS1.GQ2,GS1.GQ3,GS1.GQ4,GS1.GQ5,GS1.GQ6,GS1.GQ7,GS1.GQ8,GS1.GQ9,GS1.GQ10,GS1.GQ11,GS1.GQ12,GS1.GQ13,GS1.GQ14,GS1.GQ15,GS1.GQ16,GS1.GQ17,GS1.GQ18,GS1.GQ19,GS1.GQ20,GS2.GQ1,GS2.GQ2,GS2.GQ3,GS2.GQ4,GS2.GQ5,GS2.GQ6,GS2.GQ7,GS2.GQ8,GS2.GQ9,GS2.GQ10,GS2.GQ11,GS2.GQ12,GS2.GQ13,GS2.GQ14,GS2.GQ15,GS2.GQ16,GS2.GQ17,GS2.GQ18,GS2.GQ19,GS2.GQ20,GS3.GQ1,GS3.GQ2,GS3.GQ3,GS3.GQ4,GS3.GQ5,GS3.GQ6,GS3.GQ7,GS3.GQ8,GS3.GQ9,GS3.GQ10,GS3.GQ11,GS3.GQ12,GS3.GQ13,GS3.GQ14,GS3.GQ15,GS3.GQ16,GS3.GQ17,GS3.GQ18,GS3.GQ19,GS3.GQ20,GS4.GQ1,GS4.GQ2,GS4.GQ3,GS4.GQ4,GS4.GQ5,GS4.GQ6,GS4.GQ7,GS4.GQ8,GS4.GQ9,GS4.GQ10,GS4.GQ11,GS4.GQ12,GS4.GQ13,GS4.GQ14,GS4.GQ15,GS4.GQ16,GS4.GQ17,GS4.GQ18,GS4.GQ19,GS4.GQ20,GS5.GQ1,GS5.GQ2,GS5.GQ3,GS5.GQ4,GS5.GQ5,GS5.GQ6,GS5.GQ7,GS5.GQ8,GS5.GQ9,GS5.GQ10,GS5.GQ11,GS5.GQ12,GS5.GQ13,GS5.GQ14,GS5.GQ15,GS5.GQ16,GS5.GQ17,GS5.GQ18,GS5.GQ19,GS5.GQ20,GS6.GQ1,GS6.GQ2,GS6.GQ3,GS6.GQ4,GS6.GQ5,GS6.GQ6,GS6.GQ7,GS6.GQ8,GS6.GQ9,GS6.GQ10,GS6.GQ11,GS6.GQ12,GS6.GQ13,GS6.GQ14,GS6.GQ15,GS6.GQ16,GS6.GQ17,GS6.GQ18,GS6.GQ19,GS6.GQ20,GS7.GQ1,GS7.GQ2,GS7.GQ3,GS7.GQ4,GS7.GQ5,GS7.GQ6,GS7.GQ7,GS7.GQ8,GS7.GQ9,GS7.GQ10,GS7.GQ11,GS7.GQ12,GS7.GQ13,GS7.GQ14,GS7.GQ15,GS7.GQ16,GS7.GQ17,GS7.GQ18,GS7.GQ19,GS7.GQ20,GS8.GQ1,GS8.GQ2,GS8.GQ3,GS8.GQ4,GS8.GQ5,GS8.GQ6,GS8.GQ7,GS8.GQ8,GS8.GQ9,GS8.GQ10,GS8.GQ11,GS8.GQ12,GS8.GQ13,GS8.GQ14,GS8.GQ15,GS8.GQ16,GS8.GQ17,GS8.GQ18,GS8.GQ19,GS8.GQ20,GS9.GQ1,GS9.GQ2,GS9.GQ3,GS9.GQ4,GS9.GQ5,GS9.GQ6,GS9.GQ7,GS9.GQ8,GS9.GQ9,GS9.GQ10,GS9.GQ11,GS9.GQ12,GS9.GQ13,GS9.GQ14,GS9.GQ15,GS9.GQ16,GS9.GQ17,GS9.GQ18,GS9.GQ19,GS9.GQ20,GS10.GQ1,GS10.GQ2,GS10.GQ3,GS10.GQ4,GS10.GQ5,GS10.GQ6,GS10.GQ7,GS10.GQ8,GS10.GQ9,GS10.GQ10,GS10.GQ11,GS10.GQ12,GS10.GQ13,GS10.GQ14,GS10.GQ15,GS10.GQ16,GS10.GQ17,GS10.GQ18,GS10.GQ19,GS10.GQ20,GS11.GQ1,GS11.GQ2,GS11.GQ3,GS11.GQ4,GS11.GQ5,GS11.GQ6,GS11.GQ7,GS11.GQ8,GS11.GQ9,GS11.GQ10,GS11.GQ11,GS11.GQ12,GS11.GQ13,GS11.GQ14,GS11.GQ15,GS11.GQ16,GS11.GQ17,GS11.GQ18,GS11.GQ19,GS11.GQ20,GS12.GQ1,GS12.GQ2,GS12.GQ3,GS12.GQ4,GS12.GQ5,GS12.GQ6,GS12.GQ7,GS12.GQ8"/>
  </sortState>
  <tableColumns count="3">
    <tableColumn id="1" xr3:uid="{E2B5614C-693E-41E6-8656-71C1ED93795C}" name="iWatch #" dataDxfId="191"/>
    <tableColumn id="2" xr3:uid="{5FEDC88D-D73F-4856-8D49-3137887269F4}" name="Call Flow Order" dataDxfId="190"/>
    <tableColumn id="3" xr3:uid="{CF6EFEB9-DC2B-432B-A746-2C55F0213013}" name="iWatch Order" dataDxfId="189"/>
  </tableColumns>
  <tableStyleInfo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57745762-E0B3-4231-8E6A-3D42892AB29D}" name="Master_Agent_HQsOrderCanada" displayName="Master_Agent_HQsOrderCanada" ref="M2:O65" totalsRowShown="0" headerRowDxfId="188" dataDxfId="187">
  <autoFilter ref="M2:O65" xr:uid="{57745762-E0B3-4231-8E6A-3D42892AB29D}"/>
  <sortState xmlns:xlrd2="http://schemas.microsoft.com/office/spreadsheetml/2017/richdata2" ref="M3:O63">
    <sortCondition ref="O2:O63"/>
  </sortState>
  <tableColumns count="3">
    <tableColumn id="1" xr3:uid="{9F22D346-A702-48E2-B021-F6268BF1E63B}" name="iWatch #" dataDxfId="186"/>
    <tableColumn id="2" xr3:uid="{410F738F-2EE6-4F7E-8FC1-03672E8371E7}" name="Call Flow Order" dataDxfId="185"/>
    <tableColumn id="3" xr3:uid="{F7456386-D459-43D4-8928-0A2B2AA3209F}" name="iWatch Order" dataDxfId="184"/>
  </tableColumns>
  <tableStyleInfo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DCAFD7F-6FC7-479C-A2A7-3DFC81109913}" name="Master_Agent_HQsROrderCanada" displayName="Master_Agent_HQsROrderCanada" ref="Q2:S3" totalsRowShown="0" headerRowDxfId="183" dataDxfId="182">
  <autoFilter ref="Q2:S3" xr:uid="{FDCAFD7F-6FC7-479C-A2A7-3DFC81109913}"/>
  <sortState xmlns:xlrd2="http://schemas.microsoft.com/office/spreadsheetml/2017/richdata2" ref="Q3:S8">
    <sortCondition ref="S2:S8"/>
  </sortState>
  <tableColumns count="3">
    <tableColumn id="1" xr3:uid="{CAC6F7B4-C87D-4FD5-90F9-D14F6DE36A0D}" name="iWatch #" dataDxfId="181"/>
    <tableColumn id="2" xr3:uid="{812CDB65-0403-4C6A-8513-17CD8932AE18}" name="Call Flow Order" dataDxfId="180"/>
    <tableColumn id="3" xr3:uid="{60439D6C-0A58-46A0-9123-8876F2BE7825}" name="iWatch Order" dataDxfId="179"/>
  </tableColumns>
  <tableStyleInfo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8588D2E4-3C7B-464E-B761-DCFB0371CE20}" name="Table69" displayName="Table69" ref="CC2:CE116" totalsRowShown="0" headerRowDxfId="178" dataDxfId="177">
  <autoFilter ref="CC2:CE116" xr:uid="{8588D2E4-3C7B-464E-B761-DCFB0371CE20}"/>
  <tableColumns count="3">
    <tableColumn id="1" xr3:uid="{9C22FF7D-5760-4D41-9FDA-987514764AD0}" name="Language" dataDxfId="176"/>
    <tableColumn id="2" xr3:uid="{E8926114-3783-4B9A-BECE-6B67B6630822}" name="Code" dataDxfId="175"/>
    <tableColumn id="3" xr3:uid="{AB9894D7-31D8-4692-8681-69B89F67DAE2}" name="Lan Trans" dataDxfId="174"/>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D42D8A4E-21C8-4001-8AB6-E745E85C1F2F}" name="tblColoring" displayName="tblColoring" ref="CK2:CL18" totalsRowShown="0" headerRowDxfId="173" dataDxfId="172">
  <autoFilter ref="CK2:CL18" xr:uid="{D42D8A4E-21C8-4001-8AB6-E745E85C1F2F}"/>
  <tableColumns count="2">
    <tableColumn id="1" xr3:uid="{30179481-B7FD-4ECF-A286-F3FF65871293}" name="Section" dataDxfId="171"/>
    <tableColumn id="2" xr3:uid="{07F76900-5EE2-4FA6-A450-4C53DB5DF44E}" name="Coloring" dataDxfId="170"/>
  </tableColumns>
  <tableStyleInfo name="TableStyleMedium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E50C4AAC-C372-4BA0-B604-99AE6506B59B}" name="IndependentOrderAustralia" displayName="IndependentOrderAustralia" ref="BA82:BC151" totalsRowShown="0" headerRowDxfId="169" dataDxfId="167" headerRowBorderDxfId="168" tableBorderDxfId="166">
  <autoFilter ref="BA82:BC151" xr:uid="{E50C4AAC-C372-4BA0-B604-99AE6506B59B}"/>
  <sortState xmlns:xlrd2="http://schemas.microsoft.com/office/spreadsheetml/2017/richdata2" ref="BA83:BC154">
    <sortCondition ref="BB82:BB154"/>
  </sortState>
  <tableColumns count="3">
    <tableColumn id="1" xr3:uid="{31A02E74-95E3-4FDA-9500-B24455A7A406}" name="iWatch #" dataDxfId="165"/>
    <tableColumn id="2" xr3:uid="{F6D3A635-88AB-4842-97FD-4D9CC2275A85}" name="Call Flow Order" dataDxfId="164"/>
    <tableColumn id="3" xr3:uid="{590552DE-83E4-4C31-8A09-B1EA27475828}" name="iWatch Order" dataDxfId="163"/>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57D507E4-15C3-40B6-B98C-29FA497EDCE1}" name="IndependentROrderAustralia" displayName="IndependentROrderAustralia" ref="BE82:BG88" totalsRowShown="0" headerRowDxfId="162" dataDxfId="160" headerRowBorderDxfId="161" tableBorderDxfId="159">
  <autoFilter ref="BE82:BG88" xr:uid="{57D507E4-15C3-40B6-B98C-29FA497EDCE1}"/>
  <sortState xmlns:xlrd2="http://schemas.microsoft.com/office/spreadsheetml/2017/richdata2" ref="BE83:BG89">
    <sortCondition ref="BF82:BF89"/>
  </sortState>
  <tableColumns count="3">
    <tableColumn id="1" xr3:uid="{2E172B00-F1F5-4149-8B20-373A912A7DE6}" name="iWatch #" dataDxfId="158"/>
    <tableColumn id="2" xr3:uid="{827EF8CB-F213-4D8A-9B51-86EEBA33CF80}" name="Call Flow Order" dataDxfId="157"/>
    <tableColumn id="3" xr3:uid="{9C2B0122-862F-40E7-9115-6DEFB19652E1}" name="iWatch Order" dataDxfId="15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CEA8B23-1948-4E63-B74B-46B04D50B125}" name="Network_Agent_FTFOrderIndia_FTF" displayName="Network_Agent_FTFOrderIndia_FTF" ref="CG56:CI81" totalsRowShown="0" headerRowDxfId="155" dataDxfId="154">
  <autoFilter ref="CG56:CI81" xr:uid="{ACEA8B23-1948-4E63-B74B-46B04D50B125}"/>
  <tableColumns count="3">
    <tableColumn id="1" xr3:uid="{C8A6C109-E411-42EF-A3F6-74A07023E058}" name="iWatch #" dataDxfId="153"/>
    <tableColumn id="2" xr3:uid="{B4364623-F045-4B30-ABDB-2B3875F2460D}" name="Call Flow Order" dataDxfId="152"/>
    <tableColumn id="3" xr3:uid="{FB52BB82-D512-4DAC-B41A-774172FBB19A}" name="iWatch Order" dataDxfId="151"/>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2EE6AEDE-29D9-44CE-8903-2966C4D5422C}" name="Network_Agent_FTFROrderIndia_FTF" displayName="Network_Agent_FTFROrderIndia_FTF" ref="CK56:CM65" totalsRowShown="0" headerRowDxfId="150" dataDxfId="149">
  <autoFilter ref="CK56:CM65" xr:uid="{2EE6AEDE-29D9-44CE-8903-2966C4D5422C}"/>
  <tableColumns count="3">
    <tableColumn id="1" xr3:uid="{6D12BC06-B4D8-48C0-B82A-186E965FE431}" name="iWatch #" dataDxfId="148"/>
    <tableColumn id="2" xr3:uid="{88B0CFC6-ECE9-43CD-844E-8F68892EBF4A}" name="Call Flow Order" dataDxfId="147"/>
    <tableColumn id="3" xr3:uid="{86CFA260-57E1-4278-8C2C-18D5CD367D25}" name="iWatch Order" dataDxfId="146"/>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E8D548AF-AA41-466C-BBC0-8CEEC632E1A7}" name="Network_MO_OnlyOrder" displayName="Network_MO_OnlyOrder" ref="CN2:CP27" totalsRowShown="0" headerRowDxfId="145" dataDxfId="144">
  <autoFilter ref="CN2:CP27" xr:uid="{E8D548AF-AA41-466C-BBC0-8CEEC632E1A7}"/>
  <tableColumns count="3">
    <tableColumn id="1" xr3:uid="{1C398DD7-5FD4-4C69-BD77-C5A9A28BD1BA}" name="iWatch #" dataDxfId="143"/>
    <tableColumn id="2" xr3:uid="{4E222FD8-D86E-4E5B-81EF-CDA2F08EFD62}" name="Call Flow Order" dataDxfId="142"/>
    <tableColumn id="3" xr3:uid="{33E22847-220B-40EC-9416-FB60D42FF8C1}" name="iWatch Order" dataDxfId="141"/>
  </tableColumns>
  <tableStyleInfo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D27B283-B2F7-43CB-B821-C9BC8EC2A307}" name="Network_MO_OnlyOrderUnited_States" displayName="Network_MO_OnlyOrderUnited_States" ref="CR2:CT27" totalsRowShown="0" headerRowDxfId="140" dataDxfId="139">
  <autoFilter ref="CR2:CT27" xr:uid="{7D27B283-B2F7-43CB-B821-C9BC8EC2A307}"/>
  <tableColumns count="3">
    <tableColumn id="1" xr3:uid="{ED98FCE6-D35A-4407-AC71-24FE81F1734B}" name="iWatch #" dataDxfId="138"/>
    <tableColumn id="2" xr3:uid="{92B1268D-93A7-4851-81C3-40A58A0FA582}" name="Call Flow Order" dataDxfId="137"/>
    <tableColumn id="3" xr3:uid="{CB093CC0-FF7C-4129-9851-C1E51E14DE3A}" name="iWatch Order" dataDxfId="136"/>
  </tableColumns>
  <tableStyleInfo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6F649D6-A29C-4B55-BD2C-BAE83F50199B}" name="Network_MO_OnlyROrderUnited_States" displayName="Network_MO_OnlyROrderUnited_States" ref="CV2:CX6" totalsRowShown="0" headerRowDxfId="135" dataDxfId="134">
  <autoFilter ref="CV2:CX6" xr:uid="{36F649D6-A29C-4B55-BD2C-BAE83F50199B}"/>
  <tableColumns count="3">
    <tableColumn id="1" xr3:uid="{4A37F054-2584-473C-9A48-B7C4B662B318}" name="iWatch #" dataDxfId="133"/>
    <tableColumn id="2" xr3:uid="{BD3B831C-D4DC-4869-A06D-779C95FBACC6}" name="Call Flow Order" dataDxfId="132"/>
    <tableColumn id="3" xr3:uid="{A9E51574-713A-4B2F-A9EE-42F56442EDDE}" name="iWatch Order" dataDxfId="131"/>
  </tableColumns>
  <tableStyleInfo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E2B16961-63CA-4958-AD16-5524B38967CD}" name="HQ_MO_OnlyOrder" displayName="HQ_MO_OnlyOrder" ref="CZ2:DB51" totalsRowShown="0" headerRowDxfId="130" dataDxfId="129">
  <autoFilter ref="CZ2:DB51" xr:uid="{E2B16961-63CA-4958-AD16-5524B38967CD}"/>
  <tableColumns count="3">
    <tableColumn id="1" xr3:uid="{6E64E9A9-5C16-4FD0-9CB4-A709C1B11450}" name="iWatch #" dataDxfId="128"/>
    <tableColumn id="2" xr3:uid="{5BFD8947-D24C-40F7-871A-8EC0B14A31FE}" name="Call Flow Order" dataDxfId="127"/>
    <tableColumn id="3" xr3:uid="{E8F734C6-ED2E-46AE-90A5-13D07E51BC5F}" name="iWatch Order" dataDxfId="126"/>
  </tableColumns>
  <tableStyleInfo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B5C517-01F8-4BA6-9972-762704A17B72}" name="HQ_MO_OnlyOrderUnited_States" displayName="HQ_MO_OnlyOrderUnited_States" ref="DD2:DF51" totalsRowShown="0" headerRowDxfId="125" dataDxfId="124">
  <autoFilter ref="DD2:DF51" xr:uid="{00B5C517-01F8-4BA6-9972-762704A17B72}"/>
  <tableColumns count="3">
    <tableColumn id="1" xr3:uid="{EEE974CD-23C7-4B68-8ED1-606A8EF2D50F}" name="iWatch #" dataDxfId="123"/>
    <tableColumn id="2" xr3:uid="{FBF6A824-0A5E-40A7-9DA3-98930EF84BA0}" name="Call Flow Order" dataDxfId="122"/>
    <tableColumn id="3" xr3:uid="{A149B5C7-8AE0-49FB-9340-FB49C2B95DBF}" name="iWatch Order" dataDxfId="121"/>
  </tableColumns>
  <tableStyleInfo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85978F63-765A-46E7-8DF6-CE2C83BC106C}" name="HQ_MO_OnlyROrderUnited_States" displayName="HQ_MO_OnlyROrderUnited_States" ref="DH2:DJ6" totalsRowShown="0" headerRowDxfId="120" dataDxfId="119">
  <autoFilter ref="DH2:DJ6" xr:uid="{85978F63-765A-46E7-8DF6-CE2C83BC106C}"/>
  <tableColumns count="3">
    <tableColumn id="1" xr3:uid="{44487B8A-6CD8-4EB0-A347-B34F4373465F}" name="iWatch #" dataDxfId="118"/>
    <tableColumn id="2" xr3:uid="{A86D5197-29A0-4F58-BB2C-AB884B10B4A5}" name="Call Flow Order" dataDxfId="117"/>
    <tableColumn id="3" xr3:uid="{574E80B3-726E-4BB3-936A-6205BA1B2686}" name="iWatch Order" dataDxfId="116"/>
  </tableColumns>
  <tableStyleInfo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9236277F-5DD7-4236-8611-022B644656C5}" name="Network_AgentOrderUnited_States" displayName="Network_AgentOrderUnited_States" ref="BM2:BO43" totalsRowShown="0" dataDxfId="115" dataCellStyle="Normal">
  <autoFilter ref="BM2:BO43" xr:uid="{9236277F-5DD7-4236-8611-022B644656C5}"/>
  <sortState xmlns:xlrd2="http://schemas.microsoft.com/office/spreadsheetml/2017/richdata2" ref="BM3:BO44">
    <sortCondition ref="BO2:BO44"/>
  </sortState>
  <tableColumns count="3">
    <tableColumn id="1" xr3:uid="{051B5557-6106-4B5A-A265-490C4CE3AF3A}" name="iWatch #" dataDxfId="114" dataCellStyle="Normal"/>
    <tableColumn id="2" xr3:uid="{0BA6BB4D-5EC6-45ED-A71C-811DAC909E5F}" name="Call Flow Order" dataDxfId="113" dataCellStyle="Normal"/>
    <tableColumn id="3" xr3:uid="{C6FAFB76-BB59-4A26-A18B-E32B5BB2FEF0}" name="iWatch Order" dataDxfId="112" dataCellStyle="Normal"/>
  </tableColumns>
  <tableStyleInfo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6CD1074-9CC8-458D-9135-0EDA29088456}" name="Network_AgentROrderUnited_States" displayName="Network_AgentROrderUnited_States" ref="BQ2:BS16" totalsRowShown="0" dataDxfId="111" dataCellStyle="Normal">
  <autoFilter ref="BQ2:BS16" xr:uid="{56CD1074-9CC8-458D-9135-0EDA29088456}"/>
  <sortState xmlns:xlrd2="http://schemas.microsoft.com/office/spreadsheetml/2017/richdata2" ref="BQ3:BS16">
    <sortCondition ref="BS2:BS16"/>
  </sortState>
  <tableColumns count="3">
    <tableColumn id="1" xr3:uid="{5BA30417-9D8D-47C7-8AC4-F84B1B99ED8D}" name="iWatch #" dataDxfId="110" dataCellStyle="Normal"/>
    <tableColumn id="2" xr3:uid="{7E895B02-4201-42D3-9DC3-68B89E256967}" name="Call Flow Order" dataDxfId="109" dataCellStyle="Normal"/>
    <tableColumn id="3" xr3:uid="{66465DCF-9D08-4864-ADB1-8A08FBB268CC}" name="iWatch Order" dataDxfId="108" dataCellStyle="Normal"/>
  </tableColumns>
  <tableStyleInfo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F607E1D-A3A8-4E58-B811-1514D756B1CD}" name="Network_AgentOrder" displayName="Network_AgentOrder" ref="BI2:BK43" totalsRowShown="0" dataDxfId="107">
  <autoFilter ref="BI2:BK43" xr:uid="{0F607E1D-A3A8-4E58-B811-1514D756B1CD}"/>
  <sortState xmlns:xlrd2="http://schemas.microsoft.com/office/spreadsheetml/2017/richdata2" ref="BI3:BK43">
    <sortCondition ref="BK2:BK43"/>
  </sortState>
  <tableColumns count="3">
    <tableColumn id="1" xr3:uid="{DEDB6FE7-56AD-41A6-BEE5-6531660AFF92}" name="iWatch #" dataDxfId="106"/>
    <tableColumn id="2" xr3:uid="{15FE35C3-CFCD-4EDC-B332-2DBD7329882C}" name="Call Flow Order" dataDxfId="105"/>
    <tableColumn id="3" xr3:uid="{947BED7D-506B-442C-9F88-BA0810B58A4C}" name="iWatch Order" dataDxfId="104"/>
  </tableColumns>
  <tableStyleInfo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B4ECC016-6A9C-4AD0-8331-106EA1889C68}" name="Network_AgentOrderCanada" displayName="Network_AgentOrderCanada" ref="BU2:BW43" totalsRowShown="0" dataDxfId="103">
  <autoFilter ref="BU2:BW43" xr:uid="{B4ECC016-6A9C-4AD0-8331-106EA1889C68}"/>
  <sortState xmlns:xlrd2="http://schemas.microsoft.com/office/spreadsheetml/2017/richdata2" ref="BU3:BW45">
    <sortCondition ref="BV2:BV45"/>
  </sortState>
  <tableColumns count="3">
    <tableColumn id="1" xr3:uid="{AD3A04D2-A509-45D1-A376-A16DB0E1DD16}" name="iWatch#" dataDxfId="102"/>
    <tableColumn id="2" xr3:uid="{2F03552D-1D86-42D5-9097-96F243EA1F5A}" name="Call Flow Order" dataDxfId="101"/>
    <tableColumn id="3" xr3:uid="{C79082C9-B05E-40B1-AB63-F990C40D0B60}" name="iWatch Order" dataDxfId="100"/>
  </tableColumns>
  <tableStyleInfo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FF40FD76-8832-418D-8AC1-71B349EFC783}" name="Network_AgentROrderCanada" displayName="Network_AgentROrderCanada" ref="BY2:CA7" totalsRowShown="0" dataDxfId="99" dataCellStyle="Normal">
  <autoFilter ref="BY2:CA7" xr:uid="{FF40FD76-8832-418D-8AC1-71B349EFC783}"/>
  <sortState xmlns:xlrd2="http://schemas.microsoft.com/office/spreadsheetml/2017/richdata2" ref="BY3:CA9">
    <sortCondition ref="BZ2:BZ9"/>
  </sortState>
  <tableColumns count="3">
    <tableColumn id="1" xr3:uid="{94DF5EAF-85F6-43E1-A46A-E13FEEA9FBE0}" name="iWatch #" dataDxfId="98" dataCellStyle="Normal"/>
    <tableColumn id="2" xr3:uid="{B9A039AF-30E8-4E18-8FD1-5B21A9500FA0}" name="Call Flow Order" dataDxfId="97" dataCellStyle="Normal"/>
    <tableColumn id="3" xr3:uid="{F45749BE-AECB-43B4-8928-B4E262B77C39}" name="iWatch Order" dataDxfId="96" dataCellStyle="Normal"/>
  </tableColumns>
  <tableStyleInfo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EC79F5F-3902-41D6-81F5-6E4CDFD34091}" name="Network_AgentOrderIndia" displayName="Network_AgentOrderIndia" ref="BM53:BO94" totalsRowShown="0" headerRowDxfId="95" dataDxfId="94">
  <autoFilter ref="BM53:BO94" xr:uid="{0EC79F5F-3902-41D6-81F5-6E4CDFD34091}"/>
  <tableColumns count="3">
    <tableColumn id="1" xr3:uid="{F8C0ABD6-B91B-4CF6-AECF-B6A6715DC28A}" name="iWatch #" dataDxfId="93"/>
    <tableColumn id="2" xr3:uid="{03B49B73-EC0E-417E-B7C8-0DA4EF4ADD6F}" name="Call Flow Order" dataDxfId="92"/>
    <tableColumn id="3" xr3:uid="{3995833E-45E2-45BF-9164-F0EECDED76CD}" name="iWatch Order" dataDxfId="91"/>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CA5C4D67-5292-49BB-B88D-27E6A1CC85EB}" name="Network_AgentROrderIndia" displayName="Network_AgentROrderIndia" ref="BQ53:BS58" totalsRowShown="0" headerRowDxfId="90" dataDxfId="89">
  <autoFilter ref="BQ53:BS58" xr:uid="{CA5C4D67-5292-49BB-B88D-27E6A1CC85EB}"/>
  <tableColumns count="3">
    <tableColumn id="1" xr3:uid="{61BEF44C-2300-4B80-8F6C-6EA055158CBD}" name="iWatch #" dataDxfId="88"/>
    <tableColumn id="2" xr3:uid="{CF8ACA2D-7747-42B3-8BA7-890D766A3943}" name="Call Flow Order" dataDxfId="87"/>
    <tableColumn id="3" xr3:uid="{EC248BDA-925C-426C-9962-48096D42D7F4}" name="iWatch Order" dataDxfId="86"/>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88530FD-B80F-41B5-86C2-6E436C13AE13}" name="Findingstbl" displayName="Findingstbl" ref="AA1:BL10" totalsRowShown="0" headerRowDxfId="85" headerRowBorderDxfId="84" headerRowCellStyle="Bad">
  <autoFilter ref="AA1:BL10" xr:uid="{588530FD-B80F-41B5-86C2-6E436C13AE13}"/>
  <tableColumns count="38">
    <tableColumn id="1" xr3:uid="{CEFFB735-D202-4D44-8122-2CAD14A9A3CC}" name="Qnumber">
      <calculatedColumnFormula>Findingstbl[[#This Row],[Question_Number]]</calculatedColumnFormula>
    </tableColumn>
    <tableColumn id="2" xr3:uid="{FB20E4AC-D084-492D-8098-F9FFEB0BF84F}" name="Case ID"/>
    <tableColumn id="3" xr3:uid="{82700A38-15C7-45D4-8657-01CF3B5BEF68}" name="Subject ID"/>
    <tableColumn id="4" xr3:uid="{6640DD76-29EE-40EC-A1CA-7DF2AD07F05F}" name="Subject Name"/>
    <tableColumn id="5" xr3:uid="{8D67A61F-1815-4D3C-B554-2659F5134F46}" name="Country"/>
    <tableColumn id="6" xr3:uid="{C3202500-E7AB-48E7-911D-8B123EAFAA1B}" name="Region"/>
    <tableColumn id="7" xr3:uid="{69AC3B8C-B496-4C96-B7D8-4461AE15EE81}" name="Sub-Region"/>
    <tableColumn id="8" xr3:uid="{3F497FB9-E709-4D3C-9495-9CDC0A0511B8}" name="Director"/>
    <tableColumn id="9" xr3:uid="{338BEBBD-27D2-454A-9D6C-634E025DA72E}" name="Start Date"/>
    <tableColumn id="10" xr3:uid="{3F8BD07E-0756-49B1-A67D-3B6C1F95936F}" name="Interview Section"/>
    <tableColumn id="11" xr3:uid="{A3E45250-4A49-4C4B-8DCF-B5B26C1F958C}" name="Question_Number"/>
    <tableColumn id="12" xr3:uid="{9C6E36B6-532E-4F23-9ED0-DD68C60098E1}" name="Question"/>
    <tableColumn id="13" xr3:uid="{40E55593-8BC8-4C89-AFBF-12596966E054}" name="Answer"/>
    <tableColumn id="14" xr3:uid="{7AF68A65-016F-4AE3-A036-5197D4451B54}" name="Finding"/>
    <tableColumn id="15" xr3:uid="{0BC54BD9-DB90-4E46-98EC-5DD672643E6A}" name="Referral Source"/>
    <tableColumn id="16" xr3:uid="{F5A2BA51-6A3A-486D-A33C-92971FA9069A}" name="Review Date"/>
    <tableColumn id="17" xr3:uid="{D9AD5E64-D0F7-44D3-A9FF-5D36FFD64F9E}" name="Questionnaire"/>
    <tableColumn id="18" xr3:uid="{9DE5947C-B78F-4E5C-91E2-EDB1E56C4984}" name="Agent Type"/>
    <tableColumn id="19" xr3:uid="{8BDB2E8E-C0BC-4B17-B36C-85580571EAAB}" name="FO Submitted Date"/>
    <tableColumn id="20" xr3:uid="{9B68E8D5-C213-45A1-928C-FB0A77DC6708}" name="Status"/>
    <tableColumn id="21" xr3:uid="{F0C32551-6659-48AD-93DB-31966220AE36}" name="Risk Level"/>
    <tableColumn id="22" xr3:uid="{85EE8350-75C6-40B3-8231-DE8ADBEE43A7}" name="Investigative Group"/>
    <tableColumn id="23" xr3:uid="{BE9E8E02-0433-4CF9-88A9-436ED4FB1411}" name="FOCO Name"/>
    <tableColumn id="24" xr3:uid="{2794F8C9-6518-411E-B08A-D10CECB4A532}" name="Submitted Quarter"/>
    <tableColumn id="25" xr3:uid="{607BDFEC-1634-456D-833B-5ABE7459C2A6}" name="Rec/Ren Flag"/>
    <tableColumn id="26" xr3:uid="{756E11A3-06E1-4795-A077-D1EA5FED5389}" name="GFS/GFO"/>
    <tableColumn id="27" xr3:uid="{B4F01E16-5554-4296-AFF3-4E16551C6BA5}" name="WUPSIL"/>
    <tableColumn id="28" xr3:uid="{E80DDA99-5344-4145-A68D-7C131EE405DE}" name="Finding Label"/>
    <tableColumn id="29" xr3:uid="{94C5EB16-9E10-4BA3-AF4F-6B4520FD06AA}" name="Completed Date"/>
    <tableColumn id="30" xr3:uid="{B7D05746-1E91-4B1F-BF43-0EA3829DBED9}" name="Average # of questions by Section"/>
    <tableColumn id="31" xr3:uid="{C2292288-7EC0-48C2-ABB3-BC65E7CD48CD}" name="APS"/>
    <tableColumn id="32" xr3:uid="{6320E56B-D638-4EA4-A1EF-4F56850F9493}" name="APS Risk"/>
    <tableColumn id="33" xr3:uid="{EFB940CB-2489-457B-9914-94262CC535E5}" name="Section"/>
    <tableColumn id="34" xr3:uid="{29DA8F31-D8C8-4AB2-B821-7EE1412225A2}" name="Agent Start Date"/>
    <tableColumn id="35" xr3:uid="{FCD47FED-CE0E-454A-BD8E-72F6E7895CC6}" name="Skip False" dataDxfId="83">
      <calculatedColumnFormula>IFERROR(IF(SEARCH(Findingstbl[[#This Row],[Finding Type]],Findingstbl[[#This Row],[Verify Question pool]])&gt;0,"True","False"),"False")</calculatedColumnFormula>
    </tableColumn>
    <tableColumn id="36" xr3:uid="{CDF6E952-AEBC-492D-ACBA-0061E1C91FCA}" name="Verify Question pool" dataDxfId="82">
      <calculatedColumnFormula>VLOOKUP(VLOOKUP(Findingstbl[[#This Row],[Qnumber]],CallTb[[#All],[iWatch '#]:[efral questions]],12,FALSE),$CE$2:$CF$7,2,FALSE)</calculatedColumnFormula>
    </tableColumn>
    <tableColumn id="37" xr3:uid="{CFF2D3DC-CADF-45FF-8D7E-C51EA152BE95}" name="Finding Type" dataDxfId="81">
      <calculatedColumnFormula>VLOOKUP(Findingstbl[[#This Row],[Risk Level]],$CB$1:$CC$9,2,FALSE)</calculatedColumnFormula>
    </tableColumn>
    <tableColumn id="38" xr3:uid="{9EEBAA9C-67E9-4BC0-B342-97186063F2D2}" name="Verification" dataDxfId="80">
      <calculatedColumnFormula>IF(OR(Findingstbl[[#This Row],[Risk Level]]="Follow up",Findingstbl[[#This Row],[Risk Level]]="With Findings",Findingstbl[[#This Row],[Risk Level]]="Suspension"),"True","False")</calculatedColumnFormula>
    </tableColumn>
  </tableColumns>
  <tableStyleInfo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C245BF91-2EF8-43F1-ABCF-55E0143DFB7C}" name="DBtoSelect71" displayName="DBtoSelect71" ref="T5:U184" totalsRowShown="0" headerRowDxfId="79" dataDxfId="78" tableBorderDxfId="77">
  <autoFilter ref="T5:U184" xr:uid="{83DF0F37-4AC6-4637-A5CA-6E3F9D75BA5A}"/>
  <tableColumns count="2">
    <tableColumn id="1" xr3:uid="{E4317A08-9D34-415D-8301-ED49A615A0C3}" name="Country" dataDxfId="76"/>
    <tableColumn id="2" xr3:uid="{9B3E7CF0-4C2D-4D3A-8C13-F99AA757B0C9}" name="DB" dataDxfId="75"/>
  </tableColumns>
  <tableStyleInfo name="TableStyleMedium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B6B34ABB-97B4-44FA-A319-1957E0BEFD19}" name="tblAmericasCountries72" displayName="tblAmericasCountries72" ref="AC5:AF201" totalsRowShown="0" headerRowDxfId="74" dataDxfId="73">
  <autoFilter ref="AC5:AF201" xr:uid="{A6F045DA-8798-4D08-B51D-92A16FED699E}"/>
  <tableColumns count="4">
    <tableColumn id="1" xr3:uid="{5C1BBFC9-59D8-4CC2-A025-9C3CC66307AE}" name="Country_Code" dataDxfId="72"/>
    <tableColumn id="2" xr3:uid="{CF5232FA-B3FA-4B3B-AE63-A0572FD77ABE}" name="Country" dataDxfId="71"/>
    <tableColumn id="3" xr3:uid="{2A6A8542-98A0-42A6-B862-6AB3FA3CEA1C}" name="Regions" dataDxfId="70"/>
    <tableColumn id="4" xr3:uid="{9047E655-52C9-4C96-92EE-55D94511DC25}" name="Americas Sub Region" dataDxfId="69"/>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E1B5628D-5F2E-4736-9535-BCEDD6A9E5D5}" name="IndependentUnited_States_DocsQ" displayName="IndependentUnited_States_DocsQ" ref="AU5:AY32" totalsRowShown="0" headerRowDxfId="68" dataDxfId="67">
  <autoFilter ref="AU5:AY32" xr:uid="{07F7DFB4-3EA6-4FB7-97AB-8EC48B5CD4AE}"/>
  <tableColumns count="5">
    <tableColumn id="1" xr3:uid="{9F0F4BB8-868D-4BBB-9C9B-C3C2990636EA}" name="iWatch Number" dataDxfId="66"/>
    <tableColumn id="2" xr3:uid="{D28AD199-F95F-492A-8F12-4C2D2E42B9C5}" name="Document Required" dataDxfId="65"/>
    <tableColumn id="3" xr3:uid="{F702E508-037D-4211-A133-B44458D6F1CE}" name="Response" dataDxfId="64"/>
    <tableColumn id="4" xr3:uid="{887D2D95-BB06-4FC1-B936-2CFDEFBFFF6D}" name="Response Options" dataDxfId="63"/>
    <tableColumn id="5" xr3:uid="{2AD0E53F-7174-4E17-A89C-F8CCAB1DAEFE}" name="iWatch Question" dataDxfId="62"/>
  </tableColumns>
  <tableStyleInfo name="TableStyleMedium2"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80307E25-EA3E-4C62-AC59-D27FC0A1BCFB}" name="IndependentCanada_DocsQ" displayName="IndependentCanada_DocsQ" ref="BA5:BE27" totalsRowShown="0" headerRowDxfId="61" dataDxfId="60">
  <autoFilter ref="BA5:BE27" xr:uid="{9EF84C26-68D3-450A-9890-1A3B8DB9B179}"/>
  <tableColumns count="5">
    <tableColumn id="1" xr3:uid="{F3E30ADE-2AAC-405D-A775-D852DFC6AFA1}" name="iWatch Number" dataDxfId="59"/>
    <tableColumn id="2" xr3:uid="{6E8550B1-34E1-442C-B2FF-AF7A74F9E41C}" name="Document Required" dataDxfId="58"/>
    <tableColumn id="3" xr3:uid="{413F54C0-8A4F-4781-9D66-F6771631FCA7}" name="Response" dataDxfId="57"/>
    <tableColumn id="4" xr3:uid="{2312BE8E-ADA6-4106-8751-B4CABE7C7350}" name="Response Options" dataDxfId="56"/>
    <tableColumn id="5" xr3:uid="{14291EC7-172E-41F4-B16A-DCE655B31A67}" name="iWatch Question" dataDxfId="55"/>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7FB79B1-AD76-43E2-A597-4BB9C9D0673C}" name="IndependentAustralia_DocsQ" displayName="IndependentAustralia_DocsQ" ref="BG5:BK28" totalsRowShown="0" headerRowDxfId="54" dataDxfId="53">
  <autoFilter ref="BG5:BK28" xr:uid="{C785E2BF-0E27-4A01-8B0B-57D5169BEA96}"/>
  <tableColumns count="5">
    <tableColumn id="1" xr3:uid="{D161D745-1E04-4BA5-A02E-D046D098067B}" name="iWatch Number" dataDxfId="52"/>
    <tableColumn id="2" xr3:uid="{92BDC349-A5AE-4D4A-9D11-1B4EBABCA63F}" name="Document Required" dataDxfId="51"/>
    <tableColumn id="3" xr3:uid="{A7ABD524-381C-46F3-928C-F2E274C98B7A}" name="Response" dataDxfId="50"/>
    <tableColumn id="4" xr3:uid="{C1BE8719-A061-4D82-9A59-5E5AED8FF50C}" name="Response Options" dataDxfId="49"/>
    <tableColumn id="5" xr3:uid="{44511E2A-6D27-4B9E-8EEE-CC0C14704767}" name="iWatch Question" dataDxfId="48"/>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C23136D-B9CE-45E8-A5C0-9AD7E06B7509}" name="Master_Agent_HQsUnited_States_DocsQ" displayName="Master_Agent_HQsUnited_States_DocsQ" ref="BM5:BQ37" totalsRowShown="0" headerRowDxfId="47" dataDxfId="46">
  <autoFilter ref="BM5:BQ37" xr:uid="{79EB877B-00B7-4F25-AE9E-41110BA4343A}"/>
  <tableColumns count="5">
    <tableColumn id="1" xr3:uid="{367EE5EA-64C8-4910-B10B-39C382E5A28D}" name="iWatch Number" dataDxfId="45"/>
    <tableColumn id="2" xr3:uid="{82CD0DA2-7733-457E-BA6C-458FCB6F37F8}" name="Document Required" dataDxfId="44"/>
    <tableColumn id="3" xr3:uid="{97338DAF-0843-4408-A955-7A82CFDE8B4E}" name="Response" dataDxfId="43"/>
    <tableColumn id="4" xr3:uid="{33933838-9A5C-4894-9140-EE21561BFA68}" name="Response Options" dataDxfId="42"/>
    <tableColumn id="5" xr3:uid="{4302146F-689A-4CFB-9BDB-A4CB0A5AC0E5}" name="iWatch Question" dataDxfId="41"/>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3A94FB18-BD2B-4336-81D3-CCCB8C528672}" name="Master_Agent_HQsMalaysia_DocsQ" displayName="Master_Agent_HQsMalaysia_DocsQ" ref="BS5:BW34" totalsRowShown="0" headerRowDxfId="40" dataDxfId="39">
  <autoFilter ref="BS5:BW34" xr:uid="{30F96C4F-4576-406C-84E2-EAB35FA71BC9}"/>
  <tableColumns count="5">
    <tableColumn id="1" xr3:uid="{769F8154-31E0-4C17-A61B-97A498F77E04}" name="iWatch Number" dataDxfId="38"/>
    <tableColumn id="2" xr3:uid="{7ED9387F-D4B7-42AA-A860-61F348A62D29}" name="Document Required" dataDxfId="37"/>
    <tableColumn id="3" xr3:uid="{6DAE81DA-B920-42AB-8CC9-CEB23920CC13}" name="Response" dataDxfId="36"/>
    <tableColumn id="4" xr3:uid="{2B4AA982-509C-4236-8394-8D00F4B85DED}" name="Response Options" dataDxfId="35"/>
    <tableColumn id="5" xr3:uid="{54BF670B-408C-48F2-8EB2-F342C5AF8D05}" name="iWatch Question" dataDxfId="34"/>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351D8492-C2A4-4027-95D8-B98F66BCF756}" name="Master_Agent_HQsCanada_DocsQ" displayName="Master_Agent_HQsCanada_DocsQ" ref="BY5:CC33" totalsRowShown="0" headerRowDxfId="33" dataDxfId="31" headerRowBorderDxfId="32" tableBorderDxfId="30">
  <autoFilter ref="BY5:CC33" xr:uid="{F5DC7F35-D7C4-44B4-8107-5CDB683AA7BA}"/>
  <tableColumns count="5">
    <tableColumn id="1" xr3:uid="{94BB18C0-D6B7-4D75-B59E-E37D7F67EF83}" name="iWatch Number" dataDxfId="29"/>
    <tableColumn id="2" xr3:uid="{688C081A-F892-42BE-9DF6-687A62ADB387}" name="Document Required" dataDxfId="28"/>
    <tableColumn id="3" xr3:uid="{B48E676E-1907-4A49-A6AB-EEDF8A4652AE}" name="Response" dataDxfId="27"/>
    <tableColumn id="4" xr3:uid="{06C12131-D798-49B3-BD11-AC5018EF187D}" name="Response Options" dataDxfId="26"/>
    <tableColumn id="5" xr3:uid="{C178BC81-A880-411E-833F-8F680CA65D21}" name="iWatch Question" dataDxfId="25"/>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6D6E8AF5-F972-467B-A5D5-F7034B95F33C}" name="Independent_MO_OnlyUnited_States_DocsQ" displayName="Independent_MO_OnlyUnited_States_DocsQ" ref="AU43:AY49" totalsRowShown="0" headerRowDxfId="24" dataDxfId="23">
  <autoFilter ref="AU43:AY49" xr:uid="{9966F054-6998-4E23-B3D1-72C13C479979}"/>
  <tableColumns count="5">
    <tableColumn id="1" xr3:uid="{210C7563-A092-4C49-9542-7AE0073805EB}" name="iWatch Number" dataDxfId="22"/>
    <tableColumn id="2" xr3:uid="{8CD31B4E-8FAC-47DD-BDE0-675FDE585423}" name="Document Required" dataDxfId="21"/>
    <tableColumn id="3" xr3:uid="{2A5C0154-F107-4D49-920A-27E9FAF383E3}" name="Response" dataDxfId="20"/>
    <tableColumn id="4" xr3:uid="{8E028380-572A-4973-8FD8-E78ABAAD2292}" name="Response Options" dataDxfId="19"/>
    <tableColumn id="5" xr3:uid="{929F4EF0-3EC1-469F-A606-69008BED6259}" name="iWatch Question" dataDxfId="18"/>
  </tableColumns>
  <tableStyleInfo name="TableStyleMedium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B20C861F-448A-4240-ADC9-03E4BD16B7D8}" name="QType80" displayName="QType80" ref="CI5:CO15" totalsRowShown="0" headerRowDxfId="17" dataDxfId="16">
  <autoFilter ref="CI5:CO15" xr:uid="{E96580B8-D0B2-48EA-BC03-84F565EEF419}"/>
  <tableColumns count="7">
    <tableColumn id="1" xr3:uid="{63EAE18B-0026-49D9-A7B0-930AE604D79E}" name="Country" dataDxfId="15"/>
    <tableColumn id="2" xr3:uid="{1EDCE2A3-6F41-49C8-88F3-5942DA8A5F66}" name="Independent" dataDxfId="14"/>
    <tableColumn id="4" xr3:uid="{58594F4A-E51E-43C6-8DCD-D024C71FBFFE}" name="Network_Agent" dataDxfId="13"/>
    <tableColumn id="6" xr3:uid="{2FF96B27-44B7-4A6A-82A3-D087E706E22C}" name="Master_Agent_HQs" dataDxfId="12"/>
    <tableColumn id="3" xr3:uid="{0A099C3D-A868-40CC-9BB8-23296A0DD29B}" name="Independent_MO_Only" dataDxfId="11"/>
    <tableColumn id="5" xr3:uid="{D0C6B459-6EF1-4FC4-90D8-F19B00E22E4D}" name="Network_MO_Only" dataDxfId="10"/>
    <tableColumn id="7" xr3:uid="{4229B2F4-4802-41D9-AD1E-1F68811D4B7F}" name="HQ_MO_Only" dataDxfId="9"/>
  </tableColumns>
  <tableStyleInfo name="TableStyleMedium2"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B839B933-E85E-4148-A28C-651937C4C800}" name="GAODB" displayName="GAODB" ref="D5:Y6" totalsRowShown="0" headerRowDxfId="8" headerRowBorderDxfId="7" tableBorderDxfId="6">
  <autoFilter ref="D5:Y6" xr:uid="{B839B933-E85E-4148-A28C-651937C4C800}"/>
  <tableColumns count="22">
    <tableColumn id="1" xr3:uid="{535C6806-B16E-4173-8317-BA5D77749237}" name="Case ID"/>
    <tableColumn id="2" xr3:uid="{96241FA7-753B-4488-872E-3EB29CC6A626}" name="Subject Name"/>
    <tableColumn id="3" xr3:uid="{9339FCBC-31A1-4C11-8481-D84C87B2C76A}" name="Status"/>
    <tableColumn id="4" xr3:uid="{FAAB9457-ABC9-4A6D-8B58-001E08AB96A4}" name="Referral Source"/>
    <tableColumn id="5" xr3:uid="{10261FE1-74F4-488D-9DEE-172C331A0DDE}" name="Processing Stage"/>
    <tableColumn id="6" xr3:uid="{8426BDBC-C6CA-49F6-A842-45E69D0E32C4}" name="Start Date"/>
    <tableColumn id="7" xr3:uid="{DD255739-B1C6-4863-AC1B-1533C1E2F554}" name="Risk Level"/>
    <tableColumn id="8" xr3:uid="{9C6F44EA-B23A-4519-B9AC-6ECF567EBE34}" name="State Province"/>
    <tableColumn id="9" xr3:uid="{7301477F-BDFB-4E79-99E5-75F9096BBF86}" name="Review Date"/>
    <tableColumn id="10" xr3:uid="{19DD4C1F-BB7C-49F4-86EC-66B9DAE44BD8}" name="APS Risk"/>
    <tableColumn id="11" xr3:uid="{9339C214-B55F-4063-83D5-74B3CF777EF5}" name="Latest Schedule Date (Log)"/>
    <tableColumn id="12" xr3:uid="{1B84C8A8-5C16-4FEE-BA2F-5220FE6314D8}" name="Interview Completed Date"/>
    <tableColumn id="13" xr3:uid="{FEF2F4F8-3E1A-4FD4-A997-A03B25A01FCE}" name="Rescheduled Date"/>
    <tableColumn id="14" xr3:uid="{2DAB3E8D-BAEE-49E0-A2C3-4301EB38AA98}" name="Scheduled Date"/>
    <tableColumn id="15" xr3:uid="{18D2F300-149B-4849-93EB-3EC42D978EE4}" name="Appointment Status"/>
    <tableColumn id="16" xr3:uid="{3B273107-4E90-4713-B04C-5FA67A280956}" name="BO Tracking Status"/>
    <tableColumn id="17" xr3:uid="{51E30469-9287-4673-BA83-EDD4D5DB009F}" name="FO Attempt Count"/>
    <tableColumn id="18" xr3:uid="{C10CA9E2-9947-4089-8249-FCBB08EAD0F3}" name="BO Attempt Count"/>
    <tableColumn id="19" xr3:uid="{B25E02A5-5C7A-418F-879A-4D676161EC55}" name="Acct Number(s)"/>
    <tableColumn id="20" xr3:uid="{A24AAF07-6903-48B4-84C8-4FF1724678D3}" name="Final Off/On Flag"/>
    <tableColumn id="21" xr3:uid="{29DAC403-A03C-4A7E-9CBC-A5F1540E4AA8}" name="Start Quarter"/>
    <tableColumn id="22" xr3:uid="{06083278-CFB6-445A-91AB-F2CACA97B9CD}" name="FOCO User Name"/>
  </tableColumns>
  <tableStyleInfo name="Table Style 1"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6FA94C39-12CE-4B74-AF4C-AA33A7742818}" name="Findings" displayName="Findings" ref="BA5:BS6" totalsRowShown="0" headerRowDxfId="5" headerRowBorderDxfId="4" tableBorderDxfId="3">
  <autoFilter ref="BA5:BS6" xr:uid="{6FA94C39-12CE-4B74-AF4C-AA33A7742818}"/>
  <tableColumns count="19">
    <tableColumn id="1" xr3:uid="{37675651-DA76-4940-98AC-8C80A0D9F7B0}" name="Case ID"/>
    <tableColumn id="2" xr3:uid="{B8E9C527-6453-4CFA-A4FA-05EB5B2D2464}" name="Subject Name"/>
    <tableColumn id="3" xr3:uid="{A8360AB1-7553-40CD-9957-E0A79E168F3B}" name="Start Date"/>
    <tableColumn id="4" xr3:uid="{EB47E622-6417-4AA8-BAA3-C095447155BF}" name="Interview Section"/>
    <tableColumn id="5" xr3:uid="{E77D9CC7-7889-4BFB-8B4A-70B1F0290CFA}" name="Question Number"/>
    <tableColumn id="6" xr3:uid="{54335929-4EAB-4C33-BD4B-48CF7A45D08E}" name="Question"/>
    <tableColumn id="7" xr3:uid="{4F14ACEE-30E5-4C6B-A0C8-3BA8AFB580C7}" name="Finding"/>
    <tableColumn id="8" xr3:uid="{87A391BF-9AE2-4FEA-931F-370E3A64CC8E}" name="Referral Source"/>
    <tableColumn id="9" xr3:uid="{559F5142-6C4B-4577-AA13-BD283E968F9E}" name="Review Date"/>
    <tableColumn id="10" xr3:uid="{E22F9591-3B2C-468A-8FE8-3F3EFD3546A6}" name="Questionnaire"/>
    <tableColumn id="11" xr3:uid="{0A1155A5-DE54-474F-A9E8-0D5367AA4D1D}" name="Status"/>
    <tableColumn id="12" xr3:uid="{64FA398E-DE1B-4581-8172-29FBA9599189}" name="Risk Level"/>
    <tableColumn id="13" xr3:uid="{E62E49CA-3CC1-4755-8356-D4CF892EEE6E}" name="Investigative Group"/>
    <tableColumn id="14" xr3:uid="{97016CF9-4ADD-4461-9CE0-615842B0CBE5}" name="FOCO Name"/>
    <tableColumn id="15" xr3:uid="{97A4D8CA-3D60-4721-9C8C-81E6035E78BE}" name="APS"/>
    <tableColumn id="16" xr3:uid="{DC52C5EA-63C4-4666-BA2A-18E991CC1E56}" name="APS Risk"/>
    <tableColumn id="17" xr3:uid="{561EB0A9-9FAC-48B1-B391-637C4513F301}" name="Section"/>
    <tableColumn id="18" xr3:uid="{6A858761-7CEF-4252-87AE-6763B0F63A1E}" name="Finding Label"/>
    <tableColumn id="19" xr3:uid="{EEA986C1-9A10-4B66-9CD8-EDDD36EF2F0F}" name="Acct Number(s)"/>
  </tableColumns>
  <tableStyleInfo name="Table Style 1"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CBD697B4-BCB3-41B2-91C7-DC2B1A8D5ECC}" name="AdditionalCases" displayName="AdditionalCases" ref="CA5:CQ6" totalsRowShown="0" headerRowDxfId="2" headerRowBorderDxfId="1" tableBorderDxfId="0">
  <autoFilter ref="CA5:CQ6" xr:uid="{CBD697B4-BCB3-41B2-91C7-DC2B1A8D5ECC}"/>
  <tableColumns count="17">
    <tableColumn id="1" xr3:uid="{F1A7B70C-AF90-41BA-A5B5-222A687A7F1C}" name="CASE ID"/>
    <tableColumn id="2" xr3:uid="{51B7D082-EAEB-43DF-9DA7-2B6E7AC613D5}" name="SUBJECT NAME"/>
    <tableColumn id="3" xr3:uid="{7F01D007-F8A5-4ED8-9582-88E4029AF1F1}" name="INVESTIGATIVE GROUP"/>
    <tableColumn id="4" xr3:uid="{4659F6C7-3E55-4F1A-B09B-7CA001C461FA}" name="START DATE"/>
    <tableColumn id="5" xr3:uid="{46765093-A84A-4E08-8076-25E95E719E85}" name="LAST MODIFIED DATE"/>
    <tableColumn id="6" xr3:uid="{0204279B-B417-4E60-A6B2-BF8DEB770CBD}" name="STATUS"/>
    <tableColumn id="7" xr3:uid="{B1FCAB36-EE53-4122-A7A2-D94E5747A927}" name="RISK LEVEL DESCRIPTION"/>
    <tableColumn id="8" xr3:uid="{E955BF49-2F5F-4F1D-BF2C-7E0D537973F3}" name="REFERRAL SOURCE DESCRIPTION"/>
    <tableColumn id="9" xr3:uid="{57DF024F-EC59-4307-BBF7-682F83C9BAEA}" name="SCHEDULED DATE"/>
    <tableColumn id="10" xr3:uid="{65C3AD5A-1289-4EBB-B818-C1DB176E7CEB}" name="REVIEW DATE"/>
    <tableColumn id="11" xr3:uid="{30461852-EC31-4F20-89D8-1E1CB80E1006}" name="APS"/>
    <tableColumn id="12" xr3:uid="{F8034928-AC84-44AC-BB84-0E84B46F777F}" name="LOCATION STATUS FLAG"/>
    <tableColumn id="13" xr3:uid="{67A8A124-920F-4986-844F-454F0D0A56DC}" name="STATE PROVINCE"/>
    <tableColumn id="14" xr3:uid="{0213F6DE-9C5B-4B42-8589-AE7DDD0B5940}" name="ASSIGNED TO"/>
    <tableColumn id="15" xr3:uid="{C20EB071-6762-4736-953C-A89BCFABA2E2}" name="BOCO NAME"/>
    <tableColumn id="16" xr3:uid="{C7F45112-0EF2-4AF2-A8AA-F7D2E59BBA5E}" name="BUSINESS GROUP ID"/>
    <tableColumn id="17" xr3:uid="{BE1C132D-A900-4CBE-A75A-9379A0CFCFD0}" name="STATUS DATE"/>
  </tableColumns>
  <tableStyleInfo name="Table Style 1"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3C3F039-2BCD-49D7-945B-94DB142447E8}" name="Table90" displayName="Table90" ref="E7:G442" totalsRowShown="0">
  <autoFilter ref="E7:G442" xr:uid="{73C3F039-2BCD-49D7-945B-94DB142447E8}"/>
  <tableColumns count="3">
    <tableColumn id="1" xr3:uid="{6E88D563-6ED8-427D-B1A0-E9DAA5262518}" name="#"/>
    <tableColumn id="2" xr3:uid="{D858DC98-E56A-4CD3-9CD2-A9E21F96E738}" name="CLASIFICATION"/>
    <tableColumn id="3" xr3:uid="{F64EFE9D-1135-4EDE-B775-548D5433FBBC}" name="PHRASE"/>
  </tableColumns>
  <tableStyleInfo name="TableStyleMedium5"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7BDD480-DC2A-4124-BACE-9F6742330E7F}" name="QType" displayName="QType" ref="B5:H15" totalsRowShown="0">
  <autoFilter ref="B5:H15" xr:uid="{77BDD480-DC2A-4124-BACE-9F6742330E7F}"/>
  <tableColumns count="7">
    <tableColumn id="1" xr3:uid="{3C947080-B026-4B4D-8D81-2505FA6063AE}" name="Country"/>
    <tableColumn id="2" xr3:uid="{B44AA6EE-4BD6-4E6F-9AB2-C95297120856}" name="Independent"/>
    <tableColumn id="3" xr3:uid="{0CBA7D4E-C36D-424D-9525-6DF91B94D60A}" name="Network_Agent"/>
    <tableColumn id="4" xr3:uid="{D5BF8AC1-5839-4FD4-B5B2-88A0C7FF5CF0}" name="Master_Agent_HQs"/>
    <tableColumn id="5" xr3:uid="{8283BA4C-CB8D-4976-8B78-1BF009D8C136}" name="Independent_MO_Only"/>
    <tableColumn id="6" xr3:uid="{6F025365-E5DD-427F-9F4C-AE5302C1C92D}" name="Network_MO_Only"/>
    <tableColumn id="7" xr3:uid="{A8C8F7D9-5249-44C9-B636-3FDAC26212FB}" name="HQ_MO_Only"/>
  </tableColumns>
  <tableStyleInfo name="TableStyleMedium2"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7887278-ED3C-493C-965F-D0A7DB3E9475}" name="tblAmericasCountries" displayName="tblAmericasCountries" ref="J5:M201" totalsRowShown="0">
  <autoFilter ref="J5:M201" xr:uid="{47887278-ED3C-493C-965F-D0A7DB3E9475}"/>
  <tableColumns count="4">
    <tableColumn id="1" xr3:uid="{00CD62E6-E2E1-4457-966E-557A37A76FB1}" name="Country_Code"/>
    <tableColumn id="2" xr3:uid="{5C5BAEF5-22E5-4258-92C2-47FA23391FB1}" name="Country"/>
    <tableColumn id="3" xr3:uid="{866DBF6A-B1EA-4A86-A0E0-4B852462EF64}" name="Regions"/>
    <tableColumn id="4" xr3:uid="{C8501A28-176E-4B30-B4C2-55FEA4EF3C79}" name="Americas Sub Region"/>
  </tableColumns>
  <tableStyleInfo name="TableStyleMedium2"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89464CE-DC3C-4288-86D6-8B3A42862CAC}" name="Table70" displayName="Table70" ref="O5:Q15" totalsRowShown="0">
  <autoFilter ref="O5:Q15" xr:uid="{189464CE-DC3C-4288-86D6-8B3A42862CAC}"/>
  <tableColumns count="3">
    <tableColumn id="1" xr3:uid="{4D8B60C4-A65F-4B73-8E59-F95806911520}" name="Language"/>
    <tableColumn id="2" xr3:uid="{C8EED727-9304-4169-B8C0-DCF51A09886D}" name="Code"/>
    <tableColumn id="3" xr3:uid="{D93C3FB3-6732-467A-96EE-8C249147166A}" name="Lan Trans"/>
  </tableColumns>
  <tableStyleInfo name="TableStyleMedium2"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6E1D9D2-45C4-4E3C-AECF-65776B6A9273}" name="DBtoSelect" displayName="DBtoSelect" ref="S5:T181" totalsRowShown="0">
  <autoFilter ref="S5:T181" xr:uid="{56E1D9D2-45C4-4E3C-AECF-65776B6A9273}"/>
  <tableColumns count="2">
    <tableColumn id="1" xr3:uid="{BF5E229E-8223-4F33-A658-A04ED463B47F}" name="Country"/>
    <tableColumn id="2" xr3:uid="{2A9F1B39-EFFF-43D5-9E6B-69B0E39C02B8}" name="DB"/>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ustomProperty" Target="../customProperty1.bin"/><Relationship Id="rId13" Type="http://schemas.openxmlformats.org/officeDocument/2006/relationships/table" Target="../tables/table1.xml"/><Relationship Id="rId3" Type="http://schemas.openxmlformats.org/officeDocument/2006/relationships/hyperlink" Target="mailto:joseluis.jurado@westernunion.com" TargetMode="External"/><Relationship Id="rId7" Type="http://schemas.openxmlformats.org/officeDocument/2006/relationships/hyperlink" Target="mailto:joseluis.jurado@westernunion.com;" TargetMode="External"/><Relationship Id="rId12" Type="http://schemas.openxmlformats.org/officeDocument/2006/relationships/vmlDrawing" Target="../drawings/vmlDrawing1.vml"/><Relationship Id="rId2" Type="http://schemas.openxmlformats.org/officeDocument/2006/relationships/hyperlink" Target="file:///C:\GAO\GAODRG\007%20Agent%20and%20Partner%20Oversight\Forms\AllItems.aspx" TargetMode="External"/><Relationship Id="rId1" Type="http://schemas.openxmlformats.org/officeDocument/2006/relationships/hyperlink" Target="file:///C:\NorthAmericaComplianceTools-RawData\Shared%20Documents\Forms\AllItems.aspx%3fviewid=3eafdab6-7763-4b23-a1de-ad2dd2ca4515" TargetMode="External"/><Relationship Id="rId6" Type="http://schemas.openxmlformats.org/officeDocument/2006/relationships/hyperlink" Target="mailto:joseluis.jurado@westernunion.com;" TargetMode="External"/><Relationship Id="rId11" Type="http://schemas.openxmlformats.org/officeDocument/2006/relationships/drawing" Target="../drawings/drawing1.xml"/><Relationship Id="rId5" Type="http://schemas.openxmlformats.org/officeDocument/2006/relationships/hyperlink" Target="mailto:joseluis.jurado@westernunion.com" TargetMode="External"/><Relationship Id="rId15" Type="http://schemas.openxmlformats.org/officeDocument/2006/relationships/comments" Target="../comments1.xml"/><Relationship Id="rId10" Type="http://schemas.openxmlformats.org/officeDocument/2006/relationships/customProperty" Target="../customProperty3.bin"/><Relationship Id="rId4" Type="http://schemas.openxmlformats.org/officeDocument/2006/relationships/hyperlink" Target="mailto:joseluis.jurado@westernunion.com" TargetMode="External"/><Relationship Id="rId9" Type="http://schemas.openxmlformats.org/officeDocument/2006/relationships/customProperty" Target="../customProperty2.bin"/><Relationship Id="rId1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5.bin"/><Relationship Id="rId7" Type="http://schemas.microsoft.com/office/2007/relationships/slicer" Target="../slicers/slicer1.xml"/><Relationship Id="rId2" Type="http://schemas.openxmlformats.org/officeDocument/2006/relationships/customProperty" Target="../customProperty4.bin"/><Relationship Id="rId1" Type="http://schemas.openxmlformats.org/officeDocument/2006/relationships/printerSettings" Target="../printerSettings/printerSettings1.bin"/><Relationship Id="rId6" Type="http://schemas.openxmlformats.org/officeDocument/2006/relationships/table" Target="../tables/table3.xml"/><Relationship Id="rId5" Type="http://schemas.openxmlformats.org/officeDocument/2006/relationships/drawing" Target="../drawings/drawing2.xml"/><Relationship Id="rId4" Type="http://schemas.openxmlformats.org/officeDocument/2006/relationships/customProperty" Target="../customProperty6.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8.bin"/><Relationship Id="rId7" Type="http://schemas.microsoft.com/office/2007/relationships/slicer" Target="../slicers/slicer2.xml"/><Relationship Id="rId2" Type="http://schemas.openxmlformats.org/officeDocument/2006/relationships/customProperty" Target="../customProperty7.bin"/><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drawing" Target="../drawings/drawing3.xml"/><Relationship Id="rId4" Type="http://schemas.openxmlformats.org/officeDocument/2006/relationships/customProperty" Target="../customProperty9.bin"/></Relationships>
</file>

<file path=xl/worksheets/_rels/sheet4.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customProperty" Target="../customProperty10.bin"/><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8" Type="http://schemas.openxmlformats.org/officeDocument/2006/relationships/hyperlink" Target="mailto:Leticia.Lee@westernunion.com" TargetMode="External"/><Relationship Id="rId13" Type="http://schemas.openxmlformats.org/officeDocument/2006/relationships/customProperty" Target="../customProperty14.bin"/><Relationship Id="rId3" Type="http://schemas.openxmlformats.org/officeDocument/2006/relationships/hyperlink" Target="mailto:Leticia.Lee@westernunion.com" TargetMode="External"/><Relationship Id="rId7" Type="http://schemas.openxmlformats.org/officeDocument/2006/relationships/hyperlink" Target="mailto:Leticia.Lee@westernunion.com" TargetMode="External"/><Relationship Id="rId12" Type="http://schemas.openxmlformats.org/officeDocument/2006/relationships/customProperty" Target="../customProperty13.bin"/><Relationship Id="rId2" Type="http://schemas.openxmlformats.org/officeDocument/2006/relationships/hyperlink" Target="mailto:Leticia.Lee@westernunion.com" TargetMode="External"/><Relationship Id="rId1" Type="http://schemas.openxmlformats.org/officeDocument/2006/relationships/hyperlink" Target="mailto:Leticia.Lee@westernunion.com" TargetMode="External"/><Relationship Id="rId6" Type="http://schemas.openxmlformats.org/officeDocument/2006/relationships/hyperlink" Target="mailto:Leticia.Lee@westernunion.com" TargetMode="External"/><Relationship Id="rId11" Type="http://schemas.openxmlformats.org/officeDocument/2006/relationships/printerSettings" Target="../printerSettings/printerSettings3.bin"/><Relationship Id="rId5" Type="http://schemas.openxmlformats.org/officeDocument/2006/relationships/hyperlink" Target="mailto:Leticia.Lee@westernunion.com" TargetMode="External"/><Relationship Id="rId15" Type="http://schemas.openxmlformats.org/officeDocument/2006/relationships/drawing" Target="../drawings/drawing4.xml"/><Relationship Id="rId10" Type="http://schemas.openxmlformats.org/officeDocument/2006/relationships/hyperlink" Target="mailto:Leticia.Lee@westernunion.com" TargetMode="External"/><Relationship Id="rId4" Type="http://schemas.openxmlformats.org/officeDocument/2006/relationships/hyperlink" Target="mailto:Leticia.Lee@westernunion.com" TargetMode="External"/><Relationship Id="rId9" Type="http://schemas.openxmlformats.org/officeDocument/2006/relationships/hyperlink" Target="mailto:Leticia.Lee@westernunion.com" TargetMode="External"/><Relationship Id="rId14" Type="http://schemas.openxmlformats.org/officeDocument/2006/relationships/customProperty" Target="../customProperty15.bin"/></Relationships>
</file>

<file path=xl/worksheets/_rels/sheet6.xml.rels><?xml version="1.0" encoding="UTF-8" standalone="yes"?>
<Relationships xmlns="http://schemas.openxmlformats.org/package/2006/relationships"><Relationship Id="rId3" Type="http://schemas.openxmlformats.org/officeDocument/2006/relationships/hyperlink" Target="mailto:Ronald.Ruiz@westernunion.com" TargetMode="External"/><Relationship Id="rId7" Type="http://schemas.openxmlformats.org/officeDocument/2006/relationships/table" Target="../tables/table7.xml"/><Relationship Id="rId2" Type="http://schemas.openxmlformats.org/officeDocument/2006/relationships/hyperlink" Target="mailto:Nickole.aguilarnavarro@westernunion.com" TargetMode="External"/><Relationship Id="rId1" Type="http://schemas.openxmlformats.org/officeDocument/2006/relationships/hyperlink" Target="mailto:mariajose.roacabalceta@wu.com" TargetMode="External"/><Relationship Id="rId6" Type="http://schemas.openxmlformats.org/officeDocument/2006/relationships/customProperty" Target="../customProperty18.bin"/><Relationship Id="rId5" Type="http://schemas.openxmlformats.org/officeDocument/2006/relationships/customProperty" Target="../customProperty17.bin"/><Relationship Id="rId4" Type="http://schemas.openxmlformats.org/officeDocument/2006/relationships/customProperty" Target="../customProperty16.bin"/></Relationships>
</file>

<file path=xl/worksheets/_rels/sheet7.xml.rels><?xml version="1.0" encoding="UTF-8" standalone="yes"?>
<Relationships xmlns="http://schemas.openxmlformats.org/package/2006/relationships"><Relationship Id="rId8" Type="http://schemas.openxmlformats.org/officeDocument/2006/relationships/table" Target="../tables/table10.xml"/><Relationship Id="rId13" Type="http://schemas.openxmlformats.org/officeDocument/2006/relationships/table" Target="../tables/table15.xml"/><Relationship Id="rId18" Type="http://schemas.openxmlformats.org/officeDocument/2006/relationships/table" Target="../tables/table20.xml"/><Relationship Id="rId3" Type="http://schemas.openxmlformats.org/officeDocument/2006/relationships/customProperty" Target="../customProperty20.bin"/><Relationship Id="rId21" Type="http://schemas.openxmlformats.org/officeDocument/2006/relationships/table" Target="../tables/table23.xml"/><Relationship Id="rId7" Type="http://schemas.openxmlformats.org/officeDocument/2006/relationships/table" Target="../tables/table9.xml"/><Relationship Id="rId12" Type="http://schemas.openxmlformats.org/officeDocument/2006/relationships/table" Target="../tables/table14.xml"/><Relationship Id="rId17" Type="http://schemas.openxmlformats.org/officeDocument/2006/relationships/table" Target="../tables/table19.xml"/><Relationship Id="rId2" Type="http://schemas.openxmlformats.org/officeDocument/2006/relationships/customProperty" Target="../customProperty19.bin"/><Relationship Id="rId16" Type="http://schemas.openxmlformats.org/officeDocument/2006/relationships/table" Target="../tables/table18.xml"/><Relationship Id="rId20" Type="http://schemas.openxmlformats.org/officeDocument/2006/relationships/table" Target="../tables/table22.xml"/><Relationship Id="rId1" Type="http://schemas.openxmlformats.org/officeDocument/2006/relationships/printerSettings" Target="../printerSettings/printerSettings4.bin"/><Relationship Id="rId6" Type="http://schemas.openxmlformats.org/officeDocument/2006/relationships/table" Target="../tables/table8.xml"/><Relationship Id="rId11" Type="http://schemas.openxmlformats.org/officeDocument/2006/relationships/table" Target="../tables/table13.xml"/><Relationship Id="rId5" Type="http://schemas.openxmlformats.org/officeDocument/2006/relationships/vmlDrawing" Target="../drawings/vmlDrawing2.vml"/><Relationship Id="rId15" Type="http://schemas.openxmlformats.org/officeDocument/2006/relationships/table" Target="../tables/table17.xml"/><Relationship Id="rId23" Type="http://schemas.openxmlformats.org/officeDocument/2006/relationships/comments" Target="../comments2.xml"/><Relationship Id="rId10" Type="http://schemas.openxmlformats.org/officeDocument/2006/relationships/table" Target="../tables/table12.xml"/><Relationship Id="rId19" Type="http://schemas.openxmlformats.org/officeDocument/2006/relationships/table" Target="../tables/table21.xml"/><Relationship Id="rId4" Type="http://schemas.openxmlformats.org/officeDocument/2006/relationships/customProperty" Target="../customProperty21.bin"/><Relationship Id="rId9" Type="http://schemas.openxmlformats.org/officeDocument/2006/relationships/table" Target="../tables/table11.xml"/><Relationship Id="rId14" Type="http://schemas.openxmlformats.org/officeDocument/2006/relationships/table" Target="../tables/table16.xml"/><Relationship Id="rId22" Type="http://schemas.openxmlformats.org/officeDocument/2006/relationships/table" Target="../tables/table24.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9.xml"/><Relationship Id="rId3" Type="http://schemas.openxmlformats.org/officeDocument/2006/relationships/customProperty" Target="../customProperty24.bin"/><Relationship Id="rId7" Type="http://schemas.openxmlformats.org/officeDocument/2006/relationships/table" Target="../tables/table28.xml"/><Relationship Id="rId2" Type="http://schemas.openxmlformats.org/officeDocument/2006/relationships/customProperty" Target="../customProperty23.bin"/><Relationship Id="rId1" Type="http://schemas.openxmlformats.org/officeDocument/2006/relationships/customProperty" Target="../customProperty22.bin"/><Relationship Id="rId6" Type="http://schemas.openxmlformats.org/officeDocument/2006/relationships/table" Target="../tables/table27.xml"/><Relationship Id="rId5" Type="http://schemas.openxmlformats.org/officeDocument/2006/relationships/table" Target="../tables/table26.xml"/><Relationship Id="rId4" Type="http://schemas.openxmlformats.org/officeDocument/2006/relationships/table" Target="../tables/table25.xml"/><Relationship Id="rId9" Type="http://schemas.openxmlformats.org/officeDocument/2006/relationships/table" Target="../tables/table30.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27.bin"/><Relationship Id="rId2" Type="http://schemas.openxmlformats.org/officeDocument/2006/relationships/customProperty" Target="../customProperty26.bin"/><Relationship Id="rId1" Type="http://schemas.openxmlformats.org/officeDocument/2006/relationships/customProperty" Target="../customProperty25.bin"/></Relationships>
</file>

<file path=xl/worksheets/_rels/sheet10.xml.rels><?xml version="1.0" encoding="UTF-8" standalone="yes"?>
<Relationships xmlns="http://schemas.openxmlformats.org/package/2006/relationships"><Relationship Id="rId13" Type="http://schemas.openxmlformats.org/officeDocument/2006/relationships/table" Target="../tables/table40.xml"/><Relationship Id="rId18" Type="http://schemas.openxmlformats.org/officeDocument/2006/relationships/table" Target="../tables/table45.xml"/><Relationship Id="rId26" Type="http://schemas.openxmlformats.org/officeDocument/2006/relationships/table" Target="../tables/table53.xml"/><Relationship Id="rId21" Type="http://schemas.openxmlformats.org/officeDocument/2006/relationships/table" Target="../tables/table48.xml"/><Relationship Id="rId34" Type="http://schemas.openxmlformats.org/officeDocument/2006/relationships/table" Target="../tables/table61.xml"/><Relationship Id="rId7" Type="http://schemas.openxmlformats.org/officeDocument/2006/relationships/table" Target="../tables/table34.xml"/><Relationship Id="rId12" Type="http://schemas.openxmlformats.org/officeDocument/2006/relationships/table" Target="../tables/table39.xml"/><Relationship Id="rId17" Type="http://schemas.openxmlformats.org/officeDocument/2006/relationships/table" Target="../tables/table44.xml"/><Relationship Id="rId25" Type="http://schemas.openxmlformats.org/officeDocument/2006/relationships/table" Target="../tables/table52.xml"/><Relationship Id="rId33" Type="http://schemas.openxmlformats.org/officeDocument/2006/relationships/table" Target="../tables/table60.xml"/><Relationship Id="rId2" Type="http://schemas.openxmlformats.org/officeDocument/2006/relationships/customProperty" Target="../customProperty29.bin"/><Relationship Id="rId16" Type="http://schemas.openxmlformats.org/officeDocument/2006/relationships/table" Target="../tables/table43.xml"/><Relationship Id="rId20" Type="http://schemas.openxmlformats.org/officeDocument/2006/relationships/table" Target="../tables/table47.xml"/><Relationship Id="rId29" Type="http://schemas.openxmlformats.org/officeDocument/2006/relationships/table" Target="../tables/table56.xml"/><Relationship Id="rId1" Type="http://schemas.openxmlformats.org/officeDocument/2006/relationships/customProperty" Target="../customProperty28.bin"/><Relationship Id="rId6" Type="http://schemas.openxmlformats.org/officeDocument/2006/relationships/table" Target="../tables/table33.xml"/><Relationship Id="rId11" Type="http://schemas.openxmlformats.org/officeDocument/2006/relationships/table" Target="../tables/table38.xml"/><Relationship Id="rId24" Type="http://schemas.openxmlformats.org/officeDocument/2006/relationships/table" Target="../tables/table51.xml"/><Relationship Id="rId32" Type="http://schemas.openxmlformats.org/officeDocument/2006/relationships/table" Target="../tables/table59.xml"/><Relationship Id="rId37" Type="http://schemas.openxmlformats.org/officeDocument/2006/relationships/table" Target="../tables/table64.xml"/><Relationship Id="rId5" Type="http://schemas.openxmlformats.org/officeDocument/2006/relationships/table" Target="../tables/table32.xml"/><Relationship Id="rId15" Type="http://schemas.openxmlformats.org/officeDocument/2006/relationships/table" Target="../tables/table42.xml"/><Relationship Id="rId23" Type="http://schemas.openxmlformats.org/officeDocument/2006/relationships/table" Target="../tables/table50.xml"/><Relationship Id="rId28" Type="http://schemas.openxmlformats.org/officeDocument/2006/relationships/table" Target="../tables/table55.xml"/><Relationship Id="rId36" Type="http://schemas.openxmlformats.org/officeDocument/2006/relationships/table" Target="../tables/table63.xml"/><Relationship Id="rId10" Type="http://schemas.openxmlformats.org/officeDocument/2006/relationships/table" Target="../tables/table37.xml"/><Relationship Id="rId19" Type="http://schemas.openxmlformats.org/officeDocument/2006/relationships/table" Target="../tables/table46.xml"/><Relationship Id="rId31" Type="http://schemas.openxmlformats.org/officeDocument/2006/relationships/table" Target="../tables/table58.xml"/><Relationship Id="rId4" Type="http://schemas.openxmlformats.org/officeDocument/2006/relationships/table" Target="../tables/table31.xml"/><Relationship Id="rId9" Type="http://schemas.openxmlformats.org/officeDocument/2006/relationships/table" Target="../tables/table36.xml"/><Relationship Id="rId14" Type="http://schemas.openxmlformats.org/officeDocument/2006/relationships/table" Target="../tables/table41.xml"/><Relationship Id="rId22" Type="http://schemas.openxmlformats.org/officeDocument/2006/relationships/table" Target="../tables/table49.xml"/><Relationship Id="rId27" Type="http://schemas.openxmlformats.org/officeDocument/2006/relationships/table" Target="../tables/table54.xml"/><Relationship Id="rId30" Type="http://schemas.openxmlformats.org/officeDocument/2006/relationships/table" Target="../tables/table57.xml"/><Relationship Id="rId35" Type="http://schemas.openxmlformats.org/officeDocument/2006/relationships/table" Target="../tables/table62.xml"/><Relationship Id="rId8" Type="http://schemas.openxmlformats.org/officeDocument/2006/relationships/table" Target="../tables/table35.xml"/><Relationship Id="rId3" Type="http://schemas.openxmlformats.org/officeDocument/2006/relationships/customProperty" Target="../customProperty30.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customProperty" Target="../customProperty31.bin"/><Relationship Id="rId4" Type="http://schemas.openxmlformats.org/officeDocument/2006/relationships/table" Target="../tables/table65.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69.xml"/><Relationship Id="rId13" Type="http://schemas.openxmlformats.org/officeDocument/2006/relationships/table" Target="../tables/table74.xml"/><Relationship Id="rId3" Type="http://schemas.openxmlformats.org/officeDocument/2006/relationships/customProperty" Target="../customProperty35.bin"/><Relationship Id="rId7" Type="http://schemas.openxmlformats.org/officeDocument/2006/relationships/table" Target="../tables/table68.xml"/><Relationship Id="rId12" Type="http://schemas.openxmlformats.org/officeDocument/2006/relationships/table" Target="../tables/table73.xml"/><Relationship Id="rId2" Type="http://schemas.openxmlformats.org/officeDocument/2006/relationships/customProperty" Target="../customProperty34.bin"/><Relationship Id="rId1" Type="http://schemas.openxmlformats.org/officeDocument/2006/relationships/printerSettings" Target="../printerSettings/printerSettings5.bin"/><Relationship Id="rId6" Type="http://schemas.openxmlformats.org/officeDocument/2006/relationships/table" Target="../tables/table67.xml"/><Relationship Id="rId11" Type="http://schemas.openxmlformats.org/officeDocument/2006/relationships/table" Target="../tables/table72.xml"/><Relationship Id="rId5" Type="http://schemas.openxmlformats.org/officeDocument/2006/relationships/table" Target="../tables/table66.xml"/><Relationship Id="rId10" Type="http://schemas.openxmlformats.org/officeDocument/2006/relationships/table" Target="../tables/table71.xml"/><Relationship Id="rId4" Type="http://schemas.openxmlformats.org/officeDocument/2006/relationships/customProperty" Target="../customProperty36.bin"/><Relationship Id="rId9" Type="http://schemas.openxmlformats.org/officeDocument/2006/relationships/table" Target="../tables/table70.xml"/><Relationship Id="rId14" Type="http://schemas.openxmlformats.org/officeDocument/2006/relationships/table" Target="../tables/table75.xml"/></Relationships>
</file>

<file path=xl/worksheets/_rels/sheet13.xml.rels><?xml version="1.0" encoding="UTF-8" standalone="yes"?>
<Relationships xmlns="http://schemas.openxmlformats.org/package/2006/relationships"><Relationship Id="rId26" Type="http://schemas.openxmlformats.org/officeDocument/2006/relationships/ctrlProp" Target="../ctrlProps/ctrlProp20.xml"/><Relationship Id="rId21" Type="http://schemas.openxmlformats.org/officeDocument/2006/relationships/ctrlProp" Target="../ctrlProps/ctrlProp15.xml"/><Relationship Id="rId42" Type="http://schemas.openxmlformats.org/officeDocument/2006/relationships/ctrlProp" Target="../ctrlProps/ctrlProp36.xml"/><Relationship Id="rId47" Type="http://schemas.openxmlformats.org/officeDocument/2006/relationships/ctrlProp" Target="../ctrlProps/ctrlProp41.xml"/><Relationship Id="rId63" Type="http://schemas.openxmlformats.org/officeDocument/2006/relationships/ctrlProp" Target="../ctrlProps/ctrlProp57.xml"/><Relationship Id="rId68" Type="http://schemas.openxmlformats.org/officeDocument/2006/relationships/ctrlProp" Target="../ctrlProps/ctrlProp62.xml"/><Relationship Id="rId84" Type="http://schemas.openxmlformats.org/officeDocument/2006/relationships/ctrlProp" Target="../ctrlProps/ctrlProp78.xml"/><Relationship Id="rId89" Type="http://schemas.openxmlformats.org/officeDocument/2006/relationships/ctrlProp" Target="../ctrlProps/ctrlProp83.xml"/><Relationship Id="rId16" Type="http://schemas.openxmlformats.org/officeDocument/2006/relationships/ctrlProp" Target="../ctrlProps/ctrlProp10.xml"/><Relationship Id="rId11" Type="http://schemas.openxmlformats.org/officeDocument/2006/relationships/ctrlProp" Target="../ctrlProps/ctrlProp5.xml"/><Relationship Id="rId32" Type="http://schemas.openxmlformats.org/officeDocument/2006/relationships/ctrlProp" Target="../ctrlProps/ctrlProp26.xml"/><Relationship Id="rId37" Type="http://schemas.openxmlformats.org/officeDocument/2006/relationships/ctrlProp" Target="../ctrlProps/ctrlProp31.xml"/><Relationship Id="rId53" Type="http://schemas.openxmlformats.org/officeDocument/2006/relationships/ctrlProp" Target="../ctrlProps/ctrlProp47.xml"/><Relationship Id="rId58" Type="http://schemas.openxmlformats.org/officeDocument/2006/relationships/ctrlProp" Target="../ctrlProps/ctrlProp52.xml"/><Relationship Id="rId74" Type="http://schemas.openxmlformats.org/officeDocument/2006/relationships/ctrlProp" Target="../ctrlProps/ctrlProp68.xml"/><Relationship Id="rId79" Type="http://schemas.openxmlformats.org/officeDocument/2006/relationships/ctrlProp" Target="../ctrlProps/ctrlProp73.xml"/><Relationship Id="rId5" Type="http://schemas.openxmlformats.org/officeDocument/2006/relationships/drawing" Target="../drawings/drawing5.xml"/><Relationship Id="rId90" Type="http://schemas.openxmlformats.org/officeDocument/2006/relationships/ctrlProp" Target="../ctrlProps/ctrlProp84.xml"/><Relationship Id="rId95" Type="http://schemas.openxmlformats.org/officeDocument/2006/relationships/ctrlProp" Target="../ctrlProps/ctrlProp89.xml"/><Relationship Id="rId22" Type="http://schemas.openxmlformats.org/officeDocument/2006/relationships/ctrlProp" Target="../ctrlProps/ctrlProp16.xml"/><Relationship Id="rId27" Type="http://schemas.openxmlformats.org/officeDocument/2006/relationships/ctrlProp" Target="../ctrlProps/ctrlProp21.xml"/><Relationship Id="rId43" Type="http://schemas.openxmlformats.org/officeDocument/2006/relationships/ctrlProp" Target="../ctrlProps/ctrlProp37.xml"/><Relationship Id="rId48" Type="http://schemas.openxmlformats.org/officeDocument/2006/relationships/ctrlProp" Target="../ctrlProps/ctrlProp42.xml"/><Relationship Id="rId64" Type="http://schemas.openxmlformats.org/officeDocument/2006/relationships/ctrlProp" Target="../ctrlProps/ctrlProp58.xml"/><Relationship Id="rId69" Type="http://schemas.openxmlformats.org/officeDocument/2006/relationships/ctrlProp" Target="../ctrlProps/ctrlProp63.xml"/><Relationship Id="rId80" Type="http://schemas.openxmlformats.org/officeDocument/2006/relationships/ctrlProp" Target="../ctrlProps/ctrlProp74.xml"/><Relationship Id="rId85" Type="http://schemas.openxmlformats.org/officeDocument/2006/relationships/ctrlProp" Target="../ctrlProps/ctrlProp79.xml"/><Relationship Id="rId3" Type="http://schemas.openxmlformats.org/officeDocument/2006/relationships/customProperty" Target="../customProperty38.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59" Type="http://schemas.openxmlformats.org/officeDocument/2006/relationships/ctrlProp" Target="../ctrlProps/ctrlProp53.xml"/><Relationship Id="rId67" Type="http://schemas.openxmlformats.org/officeDocument/2006/relationships/ctrlProp" Target="../ctrlProps/ctrlProp61.xml"/><Relationship Id="rId20" Type="http://schemas.openxmlformats.org/officeDocument/2006/relationships/ctrlProp" Target="../ctrlProps/ctrlProp14.xml"/><Relationship Id="rId41" Type="http://schemas.openxmlformats.org/officeDocument/2006/relationships/ctrlProp" Target="../ctrlProps/ctrlProp35.xml"/><Relationship Id="rId54" Type="http://schemas.openxmlformats.org/officeDocument/2006/relationships/ctrlProp" Target="../ctrlProps/ctrlProp48.xml"/><Relationship Id="rId62" Type="http://schemas.openxmlformats.org/officeDocument/2006/relationships/ctrlProp" Target="../ctrlProps/ctrlProp56.xml"/><Relationship Id="rId70" Type="http://schemas.openxmlformats.org/officeDocument/2006/relationships/ctrlProp" Target="../ctrlProps/ctrlProp64.xml"/><Relationship Id="rId75" Type="http://schemas.openxmlformats.org/officeDocument/2006/relationships/ctrlProp" Target="../ctrlProps/ctrlProp69.xml"/><Relationship Id="rId83" Type="http://schemas.openxmlformats.org/officeDocument/2006/relationships/ctrlProp" Target="../ctrlProps/ctrlProp77.xml"/><Relationship Id="rId88" Type="http://schemas.openxmlformats.org/officeDocument/2006/relationships/ctrlProp" Target="../ctrlProps/ctrlProp82.xml"/><Relationship Id="rId91" Type="http://schemas.openxmlformats.org/officeDocument/2006/relationships/ctrlProp" Target="../ctrlProps/ctrlProp85.xml"/><Relationship Id="rId96" Type="http://schemas.openxmlformats.org/officeDocument/2006/relationships/ctrlProp" Target="../ctrlProps/ctrlProp90.xml"/><Relationship Id="rId1" Type="http://schemas.openxmlformats.org/officeDocument/2006/relationships/printerSettings" Target="../printerSettings/printerSettings6.bin"/><Relationship Id="rId6" Type="http://schemas.openxmlformats.org/officeDocument/2006/relationships/vmlDrawing" Target="../drawings/vmlDrawing3.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57" Type="http://schemas.openxmlformats.org/officeDocument/2006/relationships/ctrlProp" Target="../ctrlProps/ctrlProp51.xml"/><Relationship Id="rId10" Type="http://schemas.openxmlformats.org/officeDocument/2006/relationships/ctrlProp" Target="../ctrlProps/ctrlProp4.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60" Type="http://schemas.openxmlformats.org/officeDocument/2006/relationships/ctrlProp" Target="../ctrlProps/ctrlProp54.xml"/><Relationship Id="rId65" Type="http://schemas.openxmlformats.org/officeDocument/2006/relationships/ctrlProp" Target="../ctrlProps/ctrlProp59.xml"/><Relationship Id="rId73" Type="http://schemas.openxmlformats.org/officeDocument/2006/relationships/ctrlProp" Target="../ctrlProps/ctrlProp67.xml"/><Relationship Id="rId78" Type="http://schemas.openxmlformats.org/officeDocument/2006/relationships/ctrlProp" Target="../ctrlProps/ctrlProp72.xml"/><Relationship Id="rId81" Type="http://schemas.openxmlformats.org/officeDocument/2006/relationships/ctrlProp" Target="../ctrlProps/ctrlProp75.xml"/><Relationship Id="rId86" Type="http://schemas.openxmlformats.org/officeDocument/2006/relationships/ctrlProp" Target="../ctrlProps/ctrlProp80.xml"/><Relationship Id="rId94" Type="http://schemas.openxmlformats.org/officeDocument/2006/relationships/ctrlProp" Target="../ctrlProps/ctrlProp88.xml"/><Relationship Id="rId99" Type="http://schemas.openxmlformats.org/officeDocument/2006/relationships/ctrlProp" Target="../ctrlProps/ctrlProp93.xml"/><Relationship Id="rId4" Type="http://schemas.openxmlformats.org/officeDocument/2006/relationships/customProperty" Target="../customProperty39.bin"/><Relationship Id="rId9" Type="http://schemas.openxmlformats.org/officeDocument/2006/relationships/ctrlProp" Target="../ctrlProps/ctrlProp3.xml"/><Relationship Id="rId13" Type="http://schemas.openxmlformats.org/officeDocument/2006/relationships/ctrlProp" Target="../ctrlProps/ctrlProp7.xml"/><Relationship Id="rId18" Type="http://schemas.openxmlformats.org/officeDocument/2006/relationships/ctrlProp" Target="../ctrlProps/ctrlProp12.xml"/><Relationship Id="rId39" Type="http://schemas.openxmlformats.org/officeDocument/2006/relationships/ctrlProp" Target="../ctrlProps/ctrlProp33.xml"/><Relationship Id="rId34" Type="http://schemas.openxmlformats.org/officeDocument/2006/relationships/ctrlProp" Target="../ctrlProps/ctrlProp28.xml"/><Relationship Id="rId50" Type="http://schemas.openxmlformats.org/officeDocument/2006/relationships/ctrlProp" Target="../ctrlProps/ctrlProp44.xml"/><Relationship Id="rId55" Type="http://schemas.openxmlformats.org/officeDocument/2006/relationships/ctrlProp" Target="../ctrlProps/ctrlProp49.xml"/><Relationship Id="rId76" Type="http://schemas.openxmlformats.org/officeDocument/2006/relationships/ctrlProp" Target="../ctrlProps/ctrlProp70.xml"/><Relationship Id="rId97" Type="http://schemas.openxmlformats.org/officeDocument/2006/relationships/ctrlProp" Target="../ctrlProps/ctrlProp91.xml"/><Relationship Id="rId7" Type="http://schemas.openxmlformats.org/officeDocument/2006/relationships/ctrlProp" Target="../ctrlProps/ctrlProp1.xml"/><Relationship Id="rId71" Type="http://schemas.openxmlformats.org/officeDocument/2006/relationships/ctrlProp" Target="../ctrlProps/ctrlProp65.xml"/><Relationship Id="rId92" Type="http://schemas.openxmlformats.org/officeDocument/2006/relationships/ctrlProp" Target="../ctrlProps/ctrlProp86.xml"/><Relationship Id="rId2" Type="http://schemas.openxmlformats.org/officeDocument/2006/relationships/customProperty" Target="../customProperty37.bin"/><Relationship Id="rId29" Type="http://schemas.openxmlformats.org/officeDocument/2006/relationships/ctrlProp" Target="../ctrlProps/ctrlProp23.xml"/><Relationship Id="rId24" Type="http://schemas.openxmlformats.org/officeDocument/2006/relationships/ctrlProp" Target="../ctrlProps/ctrlProp18.xml"/><Relationship Id="rId40" Type="http://schemas.openxmlformats.org/officeDocument/2006/relationships/ctrlProp" Target="../ctrlProps/ctrlProp34.xml"/><Relationship Id="rId45" Type="http://schemas.openxmlformats.org/officeDocument/2006/relationships/ctrlProp" Target="../ctrlProps/ctrlProp39.xml"/><Relationship Id="rId66" Type="http://schemas.openxmlformats.org/officeDocument/2006/relationships/ctrlProp" Target="../ctrlProps/ctrlProp60.xml"/><Relationship Id="rId87" Type="http://schemas.openxmlformats.org/officeDocument/2006/relationships/ctrlProp" Target="../ctrlProps/ctrlProp81.xml"/><Relationship Id="rId61" Type="http://schemas.openxmlformats.org/officeDocument/2006/relationships/ctrlProp" Target="../ctrlProps/ctrlProp55.xml"/><Relationship Id="rId82" Type="http://schemas.openxmlformats.org/officeDocument/2006/relationships/ctrlProp" Target="../ctrlProps/ctrlProp76.xml"/><Relationship Id="rId19" Type="http://schemas.openxmlformats.org/officeDocument/2006/relationships/ctrlProp" Target="../ctrlProps/ctrlProp13.xml"/><Relationship Id="rId14" Type="http://schemas.openxmlformats.org/officeDocument/2006/relationships/ctrlProp" Target="../ctrlProps/ctrlProp8.xml"/><Relationship Id="rId30" Type="http://schemas.openxmlformats.org/officeDocument/2006/relationships/ctrlProp" Target="../ctrlProps/ctrlProp24.xml"/><Relationship Id="rId35" Type="http://schemas.openxmlformats.org/officeDocument/2006/relationships/ctrlProp" Target="../ctrlProps/ctrlProp29.xml"/><Relationship Id="rId56" Type="http://schemas.openxmlformats.org/officeDocument/2006/relationships/ctrlProp" Target="../ctrlProps/ctrlProp50.xml"/><Relationship Id="rId77" Type="http://schemas.openxmlformats.org/officeDocument/2006/relationships/ctrlProp" Target="../ctrlProps/ctrlProp71.xml"/><Relationship Id="rId8" Type="http://schemas.openxmlformats.org/officeDocument/2006/relationships/ctrlProp" Target="../ctrlProps/ctrlProp2.xml"/><Relationship Id="rId51" Type="http://schemas.openxmlformats.org/officeDocument/2006/relationships/ctrlProp" Target="../ctrlProps/ctrlProp45.xml"/><Relationship Id="rId72" Type="http://schemas.openxmlformats.org/officeDocument/2006/relationships/ctrlProp" Target="../ctrlProps/ctrlProp66.xml"/><Relationship Id="rId93" Type="http://schemas.openxmlformats.org/officeDocument/2006/relationships/ctrlProp" Target="../ctrlProps/ctrlProp87.xml"/><Relationship Id="rId98" Type="http://schemas.openxmlformats.org/officeDocument/2006/relationships/ctrlProp" Target="../ctrlProps/ctrlProp92.x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42.bin"/><Relationship Id="rId2" Type="http://schemas.openxmlformats.org/officeDocument/2006/relationships/customProperty" Target="../customProperty41.bin"/><Relationship Id="rId1" Type="http://schemas.openxmlformats.org/officeDocument/2006/relationships/customProperty" Target="../customProperty40.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45.bin"/><Relationship Id="rId2" Type="http://schemas.openxmlformats.org/officeDocument/2006/relationships/customProperty" Target="../customProperty44.bin"/><Relationship Id="rId1" Type="http://schemas.openxmlformats.org/officeDocument/2006/relationships/customProperty" Target="../customProperty43.bin"/><Relationship Id="rId6" Type="http://schemas.openxmlformats.org/officeDocument/2006/relationships/table" Target="../tables/table78.xml"/><Relationship Id="rId5" Type="http://schemas.openxmlformats.org/officeDocument/2006/relationships/table" Target="../tables/table77.xml"/><Relationship Id="rId4" Type="http://schemas.openxmlformats.org/officeDocument/2006/relationships/table" Target="../tables/table76.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47.bin"/><Relationship Id="rId2" Type="http://schemas.openxmlformats.org/officeDocument/2006/relationships/customProperty" Target="../customProperty46.bin"/><Relationship Id="rId1" Type="http://schemas.openxmlformats.org/officeDocument/2006/relationships/hyperlink" Target="mailto:joseluis.jurado@westernunion.com" TargetMode="External"/><Relationship Id="rId5" Type="http://schemas.openxmlformats.org/officeDocument/2006/relationships/table" Target="../tables/table79.xml"/><Relationship Id="rId4" Type="http://schemas.openxmlformats.org/officeDocument/2006/relationships/customProperty" Target="../customProperty48.bin"/></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51.bin"/><Relationship Id="rId7" Type="http://schemas.openxmlformats.org/officeDocument/2006/relationships/table" Target="../tables/table83.xml"/><Relationship Id="rId2" Type="http://schemas.openxmlformats.org/officeDocument/2006/relationships/customProperty" Target="../customProperty50.bin"/><Relationship Id="rId1" Type="http://schemas.openxmlformats.org/officeDocument/2006/relationships/customProperty" Target="../customProperty49.bin"/><Relationship Id="rId6" Type="http://schemas.openxmlformats.org/officeDocument/2006/relationships/table" Target="../tables/table82.xml"/><Relationship Id="rId5" Type="http://schemas.openxmlformats.org/officeDocument/2006/relationships/table" Target="../tables/table81.xml"/><Relationship Id="rId4" Type="http://schemas.openxmlformats.org/officeDocument/2006/relationships/table" Target="../tables/table80.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54.bin"/><Relationship Id="rId2" Type="http://schemas.openxmlformats.org/officeDocument/2006/relationships/customProperty" Target="../customProperty53.bin"/><Relationship Id="rId1" Type="http://schemas.openxmlformats.org/officeDocument/2006/relationships/customProperty" Target="../customProperty5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8DFBF-D75B-4DB3-AD3D-42A37D924360}">
  <sheetPr codeName="Sheet1"/>
  <dimension ref="B1:BC70"/>
  <sheetViews>
    <sheetView showGridLines="0" tabSelected="1" zoomScale="75" zoomScaleNormal="75" workbookViewId="0">
      <selection activeCell="H4" sqref="H4"/>
    </sheetView>
  </sheetViews>
  <sheetFormatPr defaultColWidth="9.453125" defaultRowHeight="14.5"/>
  <cols>
    <col min="1" max="1" width="2.54296875" style="29" customWidth="1"/>
    <col min="2" max="3" width="20.54296875" style="29" customWidth="1"/>
    <col min="4" max="4" width="29" style="29" customWidth="1"/>
    <col min="5" max="5" width="36.453125" style="29" customWidth="1"/>
    <col min="6" max="6" width="24.453125" style="29" customWidth="1"/>
    <col min="7" max="7" width="26.54296875" style="29" hidden="1" customWidth="1"/>
    <col min="8" max="11" width="25.54296875" style="29" customWidth="1"/>
    <col min="12" max="12" width="33.453125" style="29" customWidth="1"/>
    <col min="13" max="13" width="29.453125" style="29" customWidth="1"/>
    <col min="14" max="14" width="13" style="29" customWidth="1"/>
    <col min="15" max="15" width="25.453125" style="29" customWidth="1"/>
    <col min="16" max="17" width="18.453125" style="29" customWidth="1"/>
    <col min="18" max="18" width="14.453125" style="29" customWidth="1"/>
    <col min="19" max="19" width="11.54296875" style="29" customWidth="1"/>
    <col min="20" max="20" width="9.453125" style="29" customWidth="1"/>
    <col min="21" max="21" width="20.54296875" style="29" customWidth="1"/>
    <col min="22" max="22" width="16.54296875" style="29" customWidth="1"/>
    <col min="23" max="23" width="41.54296875" style="29" customWidth="1"/>
    <col min="24" max="24" width="27" style="29" hidden="1" customWidth="1"/>
    <col min="25" max="25" width="32" style="29" hidden="1" customWidth="1"/>
    <col min="26" max="26" width="30.453125" style="29" hidden="1" customWidth="1"/>
    <col min="27" max="27" width="46" style="29" hidden="1" customWidth="1"/>
    <col min="28" max="28" width="32.453125" style="29" hidden="1" customWidth="1"/>
    <col min="29" max="29" width="23.54296875" style="29" hidden="1" customWidth="1"/>
    <col min="30" max="35" width="9.453125" style="29" customWidth="1"/>
    <col min="36" max="38" width="9.453125" style="29" hidden="1" customWidth="1"/>
    <col min="39" max="39" width="29.54296875" style="29" hidden="1" customWidth="1"/>
    <col min="40" max="40" width="23.54296875" style="29" hidden="1" customWidth="1"/>
    <col min="41" max="16384" width="9.453125" style="29"/>
  </cols>
  <sheetData>
    <row r="1" spans="2:55" ht="47" thickBot="1">
      <c r="B1" s="63" t="s">
        <v>0</v>
      </c>
      <c r="C1" s="64">
        <v>45327.395833333336</v>
      </c>
      <c r="D1" s="63" t="str">
        <f>IFERROR(INDEX(QType[#All],MATCH(IF(OR($E$4="United_States",$E$4="Mexico",$E$4="Canada",$E$4="Australia",$E$4="New Zealand",$E$4="India_FTF",$E$4="India"),$E$4,VLOOKUP($E$4,tblAmericasCountries[[#All],[Country]:[Regions]],2,FALSE)),QType[[#All],[Country]],0),MATCH($D$4,QType[#Headers],0)),"")</f>
        <v>Global Network Location PR Questionnaire v4</v>
      </c>
      <c r="E1" s="28" t="s">
        <v>1</v>
      </c>
      <c r="F1" s="1" t="s">
        <v>2</v>
      </c>
      <c r="H1" s="65" t="str">
        <f>"Compliance Review Tool  (CRT) 
 "&amp;D4&amp;" Questionnaire 
"&amp;F4&amp;"  "&amp;$E$4</f>
        <v>Compliance Review Tool  (CRT) 
 Network_Agent Questionnaire 
Spanish  Mexico</v>
      </c>
      <c r="I1" s="30"/>
      <c r="J1" s="31"/>
      <c r="K1" s="32"/>
      <c r="L1" s="33"/>
      <c r="M1" s="34"/>
      <c r="O1" s="28" t="s">
        <v>3</v>
      </c>
      <c r="AM1" s="35" t="str">
        <f>PROPER(TEXT(A7," DDDD, MMMM D, YYYY"))</f>
        <v xml:space="preserve"> Saturday, January 0, 1900</v>
      </c>
      <c r="AN1" s="35" t="str">
        <f>PROPER(TEXT(B7," DDDD, MMMM D, YYYY"))</f>
        <v xml:space="preserve"> Tuesday, September 2, 2025</v>
      </c>
      <c r="BA1" s="350" t="s">
        <v>4</v>
      </c>
      <c r="BB1" s="351" t="s">
        <v>5</v>
      </c>
      <c r="BC1" s="351" t="s">
        <v>5</v>
      </c>
    </row>
    <row r="2" spans="2:55">
      <c r="AB2" s="36">
        <f>IFERROR(VLOOKUP($E$14,'Defined Ranges'!B4:C7,2,FALSE)+IF(C5="Yes",1,0),30)</f>
        <v>20</v>
      </c>
      <c r="AJ2" s="35" t="b">
        <f ca="1">IF(OR($C$4="",$D$4="",$H$4="",$I$4="",$K$4="",$F$4="",$M$4="",$O$4="",$P$4="",$U$4="",$B$4="",$E$4="",$D$4="",$D$4="",$J$4="",$B$17="",$C$17="",B7="",R4="",S4="",E14=" -- Select BO due date --"),FALSE,TRUE)</f>
        <v>1</v>
      </c>
      <c r="AL2" s="37" t="str">
        <f>IF($D$4="Network_Agent",IF((($E$4="United_States")+($E$4="Canada")),IF($F$4&lt;&gt;"English","Not Allowed",""),""),"")</f>
        <v/>
      </c>
      <c r="AM2" s="35" t="str">
        <f>IF(((D4="Independent")+(D4="Master_Agent_HQs"))*((E4="United_States")+(E4="Canada")+(E4="Australia")),$D$4&amp;$E$4,"No")</f>
        <v>No</v>
      </c>
      <c r="AN2" s="35" t="str">
        <f>PROPER(TEXT(B7," DDDD, MMMM D, YYYY"))</f>
        <v xml:space="preserve"> Tuesday, September 2, 2025</v>
      </c>
      <c r="BA2" s="350" t="s">
        <v>4</v>
      </c>
      <c r="BB2" s="351" t="s">
        <v>6</v>
      </c>
    </row>
    <row r="3" spans="2:55" ht="33.75" customHeight="1" thickBot="1">
      <c r="B3" s="38" t="s">
        <v>7</v>
      </c>
      <c r="C3" s="39" t="s">
        <v>8</v>
      </c>
      <c r="D3" s="39" t="s">
        <v>9</v>
      </c>
      <c r="E3" s="39" t="s">
        <v>10</v>
      </c>
      <c r="F3" s="39" t="s">
        <v>11</v>
      </c>
      <c r="G3" s="39" t="s">
        <v>12</v>
      </c>
      <c r="H3" s="39" t="s">
        <v>13</v>
      </c>
      <c r="I3" s="39" t="s">
        <v>14</v>
      </c>
      <c r="J3" s="39" t="s">
        <v>15</v>
      </c>
      <c r="K3" s="39" t="s">
        <v>16</v>
      </c>
      <c r="L3" s="39" t="s">
        <v>17</v>
      </c>
      <c r="M3" s="39" t="s">
        <v>18</v>
      </c>
      <c r="N3" s="39" t="s">
        <v>19</v>
      </c>
      <c r="O3" s="39" t="s">
        <v>20</v>
      </c>
      <c r="P3" s="39" t="s">
        <v>21</v>
      </c>
      <c r="Q3" s="39" t="s">
        <v>22</v>
      </c>
      <c r="R3" s="39" t="s">
        <v>23</v>
      </c>
      <c r="S3" s="39" t="s">
        <v>24</v>
      </c>
      <c r="T3" s="39" t="s">
        <v>25</v>
      </c>
      <c r="U3" s="39" t="s">
        <v>26</v>
      </c>
      <c r="V3" s="39" t="s">
        <v>27</v>
      </c>
      <c r="W3" s="40" t="s">
        <v>28</v>
      </c>
      <c r="X3" s="41" t="s">
        <v>29</v>
      </c>
      <c r="Y3" s="41" t="s">
        <v>30</v>
      </c>
      <c r="Z3" s="41" t="s">
        <v>31</v>
      </c>
      <c r="AA3" s="41" t="s">
        <v>32</v>
      </c>
      <c r="AB3" s="41" t="s">
        <v>33</v>
      </c>
      <c r="AC3" s="42" t="s">
        <v>34</v>
      </c>
      <c r="AJ3" s="35" t="str">
        <f>IF(COUNTA(M17:M74)=0,"No Docs Selected","")</f>
        <v>No Docs Selected</v>
      </c>
      <c r="BA3" s="350" t="s">
        <v>4</v>
      </c>
      <c r="BB3" s="351" t="s">
        <v>35</v>
      </c>
    </row>
    <row r="4" spans="2:55" ht="33.75" customHeight="1" thickBot="1">
      <c r="B4" s="43">
        <f ca="1">IF(C5="Yes",TODAY()+1,TODAY())</f>
        <v>45954</v>
      </c>
      <c r="C4" s="44">
        <v>10000002179028</v>
      </c>
      <c r="D4" s="45" t="s">
        <v>3484</v>
      </c>
      <c r="E4" s="46" t="s">
        <v>3500</v>
      </c>
      <c r="F4" s="47" t="s">
        <v>137</v>
      </c>
      <c r="G4" s="48"/>
      <c r="H4" s="463" t="s">
        <v>5264</v>
      </c>
      <c r="I4" s="49" t="s">
        <v>5264</v>
      </c>
      <c r="J4" s="50" t="s">
        <v>5264</v>
      </c>
      <c r="K4" s="51" t="s">
        <v>5264</v>
      </c>
      <c r="L4" s="52" t="s">
        <v>5269</v>
      </c>
      <c r="M4" s="52" t="s">
        <v>5270</v>
      </c>
      <c r="N4" s="52" t="s">
        <v>5271</v>
      </c>
      <c r="O4" s="52" t="s">
        <v>5288</v>
      </c>
      <c r="P4" s="52" t="s">
        <v>5272</v>
      </c>
      <c r="Q4" s="52" t="s">
        <v>5273</v>
      </c>
      <c r="R4" s="52" t="s">
        <v>5274</v>
      </c>
      <c r="S4" s="52" t="s">
        <v>5275</v>
      </c>
      <c r="T4" s="52">
        <v>47930</v>
      </c>
      <c r="U4" s="52" t="s">
        <v>4225</v>
      </c>
      <c r="V4" s="52" t="s">
        <v>5276</v>
      </c>
      <c r="W4" s="53" t="s">
        <v>5277</v>
      </c>
      <c r="X4" s="49" t="str">
        <f>$B$17</f>
        <v>Carlos Eduardo</v>
      </c>
      <c r="Y4" s="54" t="str">
        <f>$C$17</f>
        <v>carlos.cedillo@progressa.mx</v>
      </c>
      <c r="Z4" s="79" t="str">
        <f ca="1">IF(OR(LocationInfo[[#This Row],[Select Letter Language]]="",$AB$2=0),"",PROPER(TEXT(LocationInfo[[#This Row],[Short Letter Date]],VLOOKUP(LocationInfo[[#This Row],[Select Letter Language]],Table70[#All],3,FALSE)&amp;IF(LocationInfo[[#This Row],[Select Letter Language]]="English","DDDD, MMMM D, YYYY","DDDD D MMMM, YYYY"))))</f>
        <v>Viernes 24 Octubre, 2025</v>
      </c>
      <c r="AA4" s="79" t="str" cm="1">
        <f t="array" aca="1" ref="AA4" ca="1">IF(OR(LocationInfo[[#This Row],[Select Letter Language]]="",AB2=0),"",PROPER(TEXT(IF(OR($AB$2=30,$AB$2=31,$AB$2=105,$AB$2=106,$AB$2=150,$AB$2=151),_xlfn.IFS(TEXT(IF($E$4="India_FTF",TODAY(),$B$7)+$AB$2,"ddd")="Sat",IF($E$4="India_FTF",TODAY(),$B$7)+$AB$2+2,TEXT(IF($E$4="India_FTF",TODAY(),$B$7)+$AB$2,"ddd")="Sun",IF($E$4="India_FTF",TODAY(),$B$7)+$AB$2+1,OR(TEXT(IF($E$4="India_FTF",TODAY(),$B$7)+$AB$2,"ddd")&lt;&gt;"Sat",TEXT(IF($E$4="India_FTF",TODAY(),$B$7)+$AB$2,"ddd")&lt;&gt;"Sun"),IF($E$4="India_FTF",TODAY(),$B$7)+$AB$2),IF(OR($E$4="Mexico",$E$4="Costa Rica",$E$4="Guatemala",$E$4="Nicaragua",$E$4="Honduras",$E$4="El Salvador"),$B$7+$AB$2,$B$7+$AB$2)),VLOOKUP(LocationInfo[[#This Row],[Select Letter Language]],Table70[#All],3,FALSE)&amp;IF(LocationInfo[[#This Row],[Select Letter Language]]="English","DDDD, MMMM D, YYYY","DDDD D MMMM, YYYY"))))</f>
        <v>Lunes 22 Septiembre, 2025</v>
      </c>
      <c r="AB4" s="79" t="str">
        <f ca="1">IF(OR(LocationInfo[[#This Row],[Select Letter Language]]="",$AB$2=0),"",PROPER(TEXT(WORKDAY($B$4,15),VLOOKUP(LocationInfo[[#This Row],[Select Letter Language]],Table70[#All],3,FALSE)&amp;IF(LocationInfo[[#This Row],[Select Letter Language]]="English","DDDD, MMMM D, YYYY","DDDD D MMMM, YYYY"))))</f>
        <v>Viernes 14 Noviembre, 2025</v>
      </c>
      <c r="AC4" s="55" t="str">
        <f>IF(OR(LocationInfo[[#This Row],[Select Letter Language]]=""),"",PROPER(TEXT(B7,VLOOKUP(LocationInfo[[#This Row],[Select Letter Language]],Table70[#All],3,FALSE)&amp;IF(LocationInfo[[#This Row],[Select Letter Language]]="English"," DDDD, MMMM D, YYYY"," DDDD D MMMM, YYYY"))))</f>
        <v xml:space="preserve"> Martes 2 Septiembre, 2025</v>
      </c>
      <c r="BA4" s="350" t="s">
        <v>4</v>
      </c>
      <c r="BB4" s="351" t="s">
        <v>5</v>
      </c>
    </row>
    <row r="5" spans="2:55" ht="33.75" customHeight="1" thickBot="1">
      <c r="D5" s="28" t="s">
        <v>36</v>
      </c>
      <c r="E5" s="3" t="s">
        <v>3477</v>
      </c>
    </row>
    <row r="6" spans="2:55" ht="26">
      <c r="B6" s="56" t="s">
        <v>37</v>
      </c>
      <c r="Z6" s="57">
        <f ca="1">B4</f>
        <v>45954</v>
      </c>
      <c r="AA6" s="57" cm="1">
        <f t="array" aca="1" ref="AA6" ca="1">IF(OR($AB$2=30),_xlfn.IFS(TEXT(IF($E$4="India_FTF",TODAY(),$B$7)+$AB$2,"ddd")="Sat",IF($E$4="India_FTF",TODAY(),$B$7)+$AB$2+2,TEXT(IF($E$4="India_FTF",TODAY(),$B$7)+$AB$2,"ddd")="Sun",IF($E$4="India_FTF",TODAY(),$B$7)+$AB$2+1,OR(TEXT(IF($E$4="India_FTF",TODAY(),$B$7)+$AB$2,"ddd")&lt;&gt;"Sat",TEXT(IF($E$4="India_FTF",TODAY(),$B$7)+$AB$2,"ddd")&lt;&gt;"Sun"),IF($E$4="India_FTF",TODAY(),$B$7)+$AB$2),IF(OR($E$4="Mexico",$E$4="Costa Rica",$E$4="Guatemala",$E$4="Nicaragua",$E$4="Honduras",$E$4="El Salvador"),$B$7+$AB$2,(WORKDAY(IF($E$4="India_FTF",TODAY(),$B$7),$AB$2))))</f>
        <v>45922</v>
      </c>
      <c r="AB6" s="36"/>
      <c r="AC6" s="57">
        <f>B7</f>
        <v>45902</v>
      </c>
    </row>
    <row r="7" spans="2:55" ht="33.75" customHeight="1" thickBot="1">
      <c r="B7" s="2">
        <v>45902</v>
      </c>
      <c r="AA7" s="153"/>
    </row>
    <row r="8" spans="2:55">
      <c r="K8" s="349"/>
      <c r="AA8" s="153"/>
    </row>
    <row r="9" spans="2:55" ht="15" thickBot="1">
      <c r="AA9" s="153"/>
    </row>
    <row r="10" spans="2:55" ht="20.9" customHeight="1" thickBot="1">
      <c r="J10" s="468" t="s">
        <v>38</v>
      </c>
      <c r="K10" s="469"/>
      <c r="L10" s="470"/>
      <c r="AA10" s="153"/>
    </row>
    <row r="11" spans="2:55" ht="17.5" thickBot="1">
      <c r="J11" s="58" t="s">
        <v>39</v>
      </c>
      <c r="K11" s="58" t="s">
        <v>40</v>
      </c>
      <c r="L11" s="58" t="s">
        <v>41</v>
      </c>
      <c r="AA11" s="153"/>
    </row>
    <row r="12" spans="2:55" ht="19" thickBot="1">
      <c r="H12" s="153"/>
      <c r="J12" s="4" t="s">
        <v>5264</v>
      </c>
      <c r="K12" s="5"/>
      <c r="L12" s="6"/>
      <c r="AA12" s="153"/>
    </row>
    <row r="13" spans="2:55" ht="15" thickBot="1">
      <c r="AA13" s="153"/>
    </row>
    <row r="14" spans="2:55" ht="35.15" customHeight="1" thickBot="1">
      <c r="E14" s="449" t="s">
        <v>3511</v>
      </c>
      <c r="AA14" s="153"/>
    </row>
    <row r="15" spans="2:55" ht="15" thickBot="1">
      <c r="AA15" s="153"/>
    </row>
    <row r="16" spans="2:55" ht="51.75" customHeight="1" thickBot="1">
      <c r="B16" s="59" t="s">
        <v>44</v>
      </c>
      <c r="C16" s="60" t="s">
        <v>45</v>
      </c>
      <c r="D16" s="60" t="s">
        <v>46</v>
      </c>
      <c r="E16" s="60" t="s">
        <v>31</v>
      </c>
      <c r="F16" s="60" t="s">
        <v>32</v>
      </c>
      <c r="G16" s="61" t="s">
        <v>47</v>
      </c>
      <c r="J16" s="68" t="s">
        <v>48</v>
      </c>
      <c r="K16" s="68" t="s">
        <v>49</v>
      </c>
      <c r="L16" s="68" t="str">
        <f>IF(AM2&lt;&gt;"No","Documentation required for "&amp;D4&amp;" agents in "&amp;E4&amp;".","Documentation not set/required at this time for "&amp;D4&amp;" agents in "&amp;E4&amp;".")</f>
        <v>Documentation not set/required at this time for Network_Agent agents in Mexico.</v>
      </c>
      <c r="M16" s="69" t="s">
        <v>50</v>
      </c>
      <c r="AA16" s="153"/>
    </row>
    <row r="17" spans="2:13" ht="51" customHeight="1">
      <c r="B17" s="416" t="s">
        <v>5266</v>
      </c>
      <c r="C17" s="467" t="s">
        <v>5267</v>
      </c>
      <c r="D17" s="467" t="s">
        <v>5267</v>
      </c>
      <c r="E17" s="77" t="str" cm="1">
        <f t="array" aca="1" ref="E17" ca="1">LocationInfo[Letter date]</f>
        <v>Viernes 24 Octubre, 2025</v>
      </c>
      <c r="F17" s="78" t="str" cm="1">
        <f t="array" aca="1" ref="F17" ca="1">LocationInfo[Due Date]</f>
        <v>Lunes 22 Septiembre, 2025</v>
      </c>
      <c r="G17" s="62"/>
      <c r="J17" s="303"/>
      <c r="K17" s="303"/>
      <c r="L17" s="261"/>
      <c r="M17" s="303"/>
    </row>
    <row r="18" spans="2:13" ht="15" thickBot="1">
      <c r="J18" s="303"/>
      <c r="K18" s="303"/>
      <c r="L18" s="261"/>
      <c r="M18" s="303"/>
    </row>
    <row r="19" spans="2:13" ht="15" thickBot="1">
      <c r="B19" s="66" t="s">
        <v>51</v>
      </c>
      <c r="C19" s="67">
        <v>45658</v>
      </c>
      <c r="J19" s="303"/>
      <c r="K19" s="303"/>
      <c r="L19" s="261"/>
      <c r="M19" s="303"/>
    </row>
    <row r="20" spans="2:13">
      <c r="J20" s="303"/>
      <c r="K20" s="303"/>
      <c r="L20" s="261"/>
      <c r="M20" s="303"/>
    </row>
    <row r="21" spans="2:13">
      <c r="J21" s="303"/>
      <c r="K21" s="303"/>
      <c r="L21" s="261"/>
      <c r="M21" s="303"/>
    </row>
    <row r="22" spans="2:13">
      <c r="J22" s="303"/>
      <c r="K22" s="303"/>
      <c r="L22" s="261"/>
      <c r="M22" s="303"/>
    </row>
    <row r="23" spans="2:13">
      <c r="J23" s="303"/>
      <c r="K23" s="303"/>
      <c r="L23" s="261"/>
      <c r="M23" s="303"/>
    </row>
    <row r="24" spans="2:13">
      <c r="J24" s="303"/>
      <c r="K24" s="303"/>
      <c r="L24" s="261"/>
      <c r="M24" s="303"/>
    </row>
    <row r="25" spans="2:13">
      <c r="J25" s="303"/>
      <c r="K25" s="303"/>
      <c r="L25" s="261"/>
      <c r="M25" s="303"/>
    </row>
    <row r="26" spans="2:13">
      <c r="J26" s="303"/>
      <c r="K26" s="303"/>
      <c r="L26" s="261"/>
      <c r="M26" s="303"/>
    </row>
    <row r="27" spans="2:13">
      <c r="J27" s="303"/>
      <c r="K27" s="303"/>
      <c r="L27" s="261"/>
      <c r="M27" s="303"/>
    </row>
    <row r="28" spans="2:13">
      <c r="J28" s="303"/>
      <c r="K28" s="303"/>
      <c r="L28" s="261"/>
      <c r="M28" s="303"/>
    </row>
    <row r="29" spans="2:13">
      <c r="J29" s="303"/>
      <c r="K29" s="303"/>
      <c r="L29" s="261"/>
      <c r="M29" s="303"/>
    </row>
    <row r="30" spans="2:13">
      <c r="J30" s="303"/>
      <c r="K30" s="303"/>
      <c r="L30" s="261"/>
      <c r="M30" s="303"/>
    </row>
    <row r="31" spans="2:13">
      <c r="J31" s="303"/>
      <c r="K31" s="303"/>
      <c r="L31" s="261"/>
      <c r="M31" s="303"/>
    </row>
    <row r="32" spans="2:13">
      <c r="J32" s="303"/>
      <c r="K32" s="303"/>
      <c r="L32" s="261"/>
      <c r="M32" s="303"/>
    </row>
    <row r="33" spans="10:13">
      <c r="J33" s="303"/>
      <c r="K33" s="303"/>
      <c r="L33" s="261"/>
      <c r="M33" s="303"/>
    </row>
    <row r="34" spans="10:13">
      <c r="J34" s="303"/>
      <c r="K34" s="303"/>
      <c r="L34" s="261"/>
      <c r="M34" s="303"/>
    </row>
    <row r="35" spans="10:13">
      <c r="J35" s="303"/>
      <c r="K35" s="303"/>
      <c r="L35" s="261"/>
      <c r="M35" s="303"/>
    </row>
    <row r="36" spans="10:13">
      <c r="J36" s="303"/>
      <c r="K36" s="303"/>
      <c r="L36" s="261"/>
      <c r="M36" s="303"/>
    </row>
    <row r="37" spans="10:13">
      <c r="J37" s="303"/>
      <c r="K37" s="303"/>
      <c r="L37" s="261"/>
      <c r="M37" s="303"/>
    </row>
    <row r="38" spans="10:13">
      <c r="J38" s="303"/>
      <c r="K38" s="303"/>
      <c r="L38" s="261"/>
      <c r="M38" s="303"/>
    </row>
    <row r="39" spans="10:13">
      <c r="J39" s="303"/>
      <c r="K39" s="303"/>
      <c r="L39" s="261"/>
      <c r="M39" s="303"/>
    </row>
    <row r="40" spans="10:13">
      <c r="J40" s="303"/>
      <c r="K40" s="303"/>
      <c r="L40" s="261"/>
      <c r="M40" s="303"/>
    </row>
    <row r="41" spans="10:13">
      <c r="J41" s="303"/>
      <c r="K41" s="303"/>
      <c r="L41" s="261"/>
      <c r="M41" s="303"/>
    </row>
    <row r="42" spans="10:13">
      <c r="J42" s="303"/>
      <c r="K42" s="303"/>
      <c r="L42" s="261"/>
      <c r="M42" s="303"/>
    </row>
    <row r="43" spans="10:13">
      <c r="J43" s="303"/>
      <c r="K43" s="303"/>
      <c r="L43" s="261"/>
      <c r="M43" s="303"/>
    </row>
    <row r="44" spans="10:13">
      <c r="J44" s="302"/>
      <c r="K44" s="302"/>
      <c r="L44" s="260"/>
      <c r="M44" s="302"/>
    </row>
    <row r="45" spans="10:13">
      <c r="J45" s="302"/>
      <c r="K45" s="302"/>
      <c r="L45" s="260"/>
      <c r="M45" s="302"/>
    </row>
    <row r="46" spans="10:13">
      <c r="J46" s="302"/>
      <c r="K46" s="302"/>
      <c r="L46" s="260"/>
      <c r="M46" s="302"/>
    </row>
    <row r="47" spans="10:13">
      <c r="J47" s="302"/>
      <c r="K47" s="302"/>
      <c r="L47" s="260"/>
      <c r="M47" s="302"/>
    </row>
    <row r="48" spans="10:13">
      <c r="J48" s="302"/>
      <c r="K48" s="302"/>
      <c r="L48" s="260"/>
      <c r="M48" s="302"/>
    </row>
    <row r="49" spans="10:13">
      <c r="J49" s="302"/>
      <c r="K49" s="302"/>
      <c r="L49" s="260"/>
      <c r="M49" s="302"/>
    </row>
    <row r="50" spans="10:13">
      <c r="J50" s="302"/>
      <c r="K50" s="302"/>
      <c r="L50" s="260"/>
      <c r="M50" s="302"/>
    </row>
    <row r="51" spans="10:13">
      <c r="J51" s="302"/>
      <c r="K51" s="302"/>
      <c r="L51" s="260"/>
      <c r="M51" s="302"/>
    </row>
    <row r="52" spans="10:13">
      <c r="J52" s="302"/>
      <c r="K52" s="302"/>
      <c r="L52" s="260"/>
      <c r="M52" s="302"/>
    </row>
    <row r="53" spans="10:13">
      <c r="J53" s="302"/>
      <c r="K53" s="302"/>
      <c r="L53" s="260"/>
      <c r="M53" s="302"/>
    </row>
    <row r="54" spans="10:13">
      <c r="J54" s="302"/>
      <c r="K54" s="302"/>
      <c r="L54" s="260"/>
      <c r="M54" s="302"/>
    </row>
    <row r="55" spans="10:13">
      <c r="J55" s="302"/>
      <c r="K55" s="302"/>
      <c r="L55" s="260"/>
      <c r="M55" s="302"/>
    </row>
    <row r="56" spans="10:13">
      <c r="J56" s="302"/>
      <c r="K56" s="302"/>
      <c r="L56" s="260"/>
      <c r="M56" s="302"/>
    </row>
    <row r="57" spans="10:13">
      <c r="J57" s="302"/>
      <c r="K57" s="302"/>
      <c r="L57" s="260"/>
      <c r="M57" s="302"/>
    </row>
    <row r="58" spans="10:13">
      <c r="J58" s="302"/>
      <c r="K58" s="302"/>
      <c r="L58" s="260"/>
      <c r="M58" s="302"/>
    </row>
    <row r="59" spans="10:13">
      <c r="J59" s="302"/>
      <c r="K59" s="302"/>
      <c r="L59" s="260"/>
      <c r="M59" s="302"/>
    </row>
    <row r="60" spans="10:13">
      <c r="J60" s="302"/>
      <c r="K60" s="302"/>
      <c r="L60" s="260"/>
      <c r="M60" s="302"/>
    </row>
    <row r="61" spans="10:13">
      <c r="J61" s="302"/>
      <c r="K61" s="302"/>
      <c r="L61" s="260"/>
      <c r="M61" s="302"/>
    </row>
    <row r="62" spans="10:13">
      <c r="J62" s="302"/>
      <c r="K62" s="302"/>
      <c r="L62" s="260"/>
      <c r="M62" s="302"/>
    </row>
    <row r="63" spans="10:13">
      <c r="J63" s="302"/>
      <c r="K63" s="302"/>
      <c r="L63" s="260"/>
      <c r="M63" s="302"/>
    </row>
    <row r="64" spans="10:13">
      <c r="J64" s="302"/>
      <c r="K64" s="302"/>
      <c r="L64" s="260"/>
      <c r="M64" s="302"/>
    </row>
    <row r="65" spans="10:13">
      <c r="J65" s="302"/>
      <c r="K65" s="302"/>
      <c r="L65" s="260"/>
      <c r="M65" s="302"/>
    </row>
    <row r="66" spans="10:13">
      <c r="J66" s="302"/>
      <c r="K66" s="302"/>
      <c r="L66" s="260"/>
      <c r="M66" s="302"/>
    </row>
    <row r="67" spans="10:13">
      <c r="J67" s="302"/>
      <c r="K67" s="302"/>
      <c r="L67" s="260"/>
      <c r="M67" s="302"/>
    </row>
    <row r="68" spans="10:13">
      <c r="J68" s="302"/>
      <c r="K68" s="302"/>
      <c r="L68" s="260"/>
      <c r="M68" s="302"/>
    </row>
    <row r="69" spans="10:13">
      <c r="J69" s="302"/>
      <c r="K69" s="302"/>
      <c r="L69" s="260"/>
      <c r="M69" s="302"/>
    </row>
    <row r="70" spans="10:13">
      <c r="J70" s="302"/>
      <c r="K70" s="302"/>
      <c r="L70" s="260"/>
      <c r="M70" s="302"/>
    </row>
  </sheetData>
  <sheetProtection algorithmName="SHA-512" hashValue="732UAOnuhvmEfBj+8DPQ5xXfrXKWu51FCtfRYWxUYsoULuo9KesLoXy106s3A5P+e/rtKEWDe3BCraFnFbqU+w==" saltValue="YE2x8a1Ksu+GsPCfyrGT3w==" spinCount="100000" sheet="1" objects="1" scenarios="1" autoFilter="0"/>
  <mergeCells count="1">
    <mergeCell ref="J10:L10"/>
  </mergeCells>
  <conditionalFormatting sqref="B7">
    <cfRule type="expression" dxfId="1022" priority="11">
      <formula>B7&lt;&gt;""</formula>
    </cfRule>
  </conditionalFormatting>
  <conditionalFormatting sqref="B17:F17">
    <cfRule type="expression" dxfId="1021" priority="12">
      <formula>B17&lt;&gt;""</formula>
    </cfRule>
  </conditionalFormatting>
  <conditionalFormatting sqref="B4:AC4">
    <cfRule type="expression" dxfId="1020" priority="13">
      <formula>B4&lt;&gt;""</formula>
    </cfRule>
  </conditionalFormatting>
  <conditionalFormatting sqref="E5">
    <cfRule type="expression" dxfId="1019" priority="10">
      <formula>E5&lt;&gt;""</formula>
    </cfRule>
  </conditionalFormatting>
  <conditionalFormatting sqref="E14">
    <cfRule type="expression" dxfId="1018" priority="8">
      <formula>E14&lt;&gt;" -- Select BO due date --"</formula>
    </cfRule>
    <cfRule type="expression" dxfId="1017" priority="9">
      <formula>E14=" -- Select BO due date --"</formula>
    </cfRule>
  </conditionalFormatting>
  <conditionalFormatting sqref="L12">
    <cfRule type="cellIs" dxfId="1016" priority="7" operator="greaterThan">
      <formula>0</formula>
    </cfRule>
  </conditionalFormatting>
  <conditionalFormatting sqref="J12:L12">
    <cfRule type="expression" dxfId="1015" priority="6">
      <formula>J12&lt;&gt;""</formula>
    </cfRule>
  </conditionalFormatting>
  <conditionalFormatting sqref="C19">
    <cfRule type="expression" dxfId="1014" priority="5">
      <formula>C19&lt;&gt;""</formula>
    </cfRule>
  </conditionalFormatting>
  <conditionalFormatting sqref="J16:M16">
    <cfRule type="expression" dxfId="1013" priority="3">
      <formula>IF(OR(COUNTIF($L$16,"*not set*")&gt;0,$AM$3="No Documents headers"),TRUE)</formula>
    </cfRule>
  </conditionalFormatting>
  <conditionalFormatting sqref="J17:M70">
    <cfRule type="expression" dxfId="1012" priority="1">
      <formula>$J17&lt;&gt;""</formula>
    </cfRule>
  </conditionalFormatting>
  <dataValidations count="5">
    <dataValidation type="list" showInputMessage="1" showErrorMessage="1" sqref="F1 F4" xr:uid="{3D8DA6C9-3A5E-4E84-9134-8C370DFA9302}">
      <formula1>Languages</formula1>
    </dataValidation>
    <dataValidation type="list" showInputMessage="1" showErrorMessage="1" sqref="D4" xr:uid="{6A990ED6-DBC1-4D96-8796-A0C4E362ED35}">
      <formula1>PR_Questionnaire_Active</formula1>
    </dataValidation>
    <dataValidation type="list" showInputMessage="1" showErrorMessage="1" sqref="E5" xr:uid="{F344713A-4D03-4A96-A0B6-488C6EAAEB3A}">
      <formula1>Regions</formula1>
    </dataValidation>
    <dataValidation type="list" showInputMessage="1" showErrorMessage="1" sqref="E4" xr:uid="{5B7990C9-D6F9-4EEF-9D6F-8DC9BAB277A2}">
      <formula1>INDIRECT($E$5)</formula1>
    </dataValidation>
    <dataValidation type="list" showInputMessage="1" showErrorMessage="1" sqref="M17:M100" xr:uid="{6114E31D-F64D-4A12-8B0F-4E1E8B7BD08C}">
      <formula1>IF($L17&lt;&gt;"",INDIRECT($Z17),"")</formula1>
    </dataValidation>
  </dataValidations>
  <hyperlinks>
    <hyperlink ref="J10:L10" r:id="rId1" display="Sync CRT Share point here" xr:uid="{6503C7B6-80F4-4844-8793-39F6247F5347}"/>
    <hyperlink ref="O1" r:id="rId2" display="GAO Site" xr:uid="{C60AA908-01CC-43D4-A19A-78DE3DCD2F14}"/>
    <hyperlink ref="BB2" r:id="rId3" display="joseluis.jurado@westernunion.com" xr:uid="{51EDE3CE-F633-4841-9F44-A90B3AEFD8D6}"/>
    <hyperlink ref="BB3" r:id="rId4" display="joseluis.jurado@westernunion.com" xr:uid="{2AC3C3E2-674E-447D-97E8-22BA596E3534}"/>
    <hyperlink ref="BB4" r:id="rId5" display="joseluis.jurado@westernunion.com" xr:uid="{50B905A8-E33A-4541-B066-89DAA63DE7E9}"/>
    <hyperlink ref="BC1" r:id="rId6" display="joseluis.jurado@westernunion.com; " xr:uid="{A85510D0-F123-4466-A01A-9EF4F5246461}"/>
    <hyperlink ref="BB1" r:id="rId7" display="joseluis.jurado@westernunion.com; " xr:uid="{A031B4F9-93D5-46FD-9017-D75BA65DB4F2}"/>
  </hyperlinks>
  <pageMargins left="0.7" right="0.7" top="0.75" bottom="0.75" header="0.3" footer="0.3"/>
  <headerFooter>
    <oddFooter xml:space="preserve">&amp;L_x000D_&amp;1#&amp;"Calibri"&amp;10&amp;K000000 Classification: Western Union Unrestricted Internal </oddFooter>
  </headerFooter>
  <customProperties>
    <customPr name="workbookAdvencedSettings" r:id="rId8"/>
    <customPr name="workbookExecutionSettings" r:id="rId9"/>
    <customPr name="workbookGatewaySettings" r:id="rId10"/>
  </customProperties>
  <drawing r:id="rId11"/>
  <legacyDrawing r:id="rId12"/>
  <tableParts count="2">
    <tablePart r:id="rId13"/>
    <tablePart r:id="rId14"/>
  </tableParts>
  <extLst>
    <ext xmlns:x14="http://schemas.microsoft.com/office/spreadsheetml/2009/9/main" uri="{CCE6A557-97BC-4b89-ADB6-D9C93CAAB3DF}">
      <x14:dataValidations xmlns:xm="http://schemas.microsoft.com/office/excel/2006/main" count="1">
        <x14:dataValidation type="list" showInputMessage="1" showErrorMessage="1" xr:uid="{2D413230-7356-4636-88C5-8DE840BE5D05}">
          <x14:formula1>
            <xm:f>OFFSET('Defined Ranges'!$B$3,0,0,COUNTA(BOSLAs,0))</xm:f>
          </x14:formula1>
          <xm:sqref>E14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6DDE0-7F73-4068-8441-03D1130B80BF}">
  <sheetPr codeName="Sheet2"/>
  <dimension ref="A1:Z100"/>
  <sheetViews>
    <sheetView showGridLines="0" topLeftCell="C1" zoomScale="80" zoomScaleNormal="80" workbookViewId="0">
      <pane ySplit="6" topLeftCell="A27" activePane="bottomLeft" state="frozen"/>
      <selection pane="bottomLeft" activeCell="F28" sqref="F28"/>
    </sheetView>
  </sheetViews>
  <sheetFormatPr defaultColWidth="8.54296875" defaultRowHeight="14.5"/>
  <cols>
    <col min="1" max="1" width="3" style="29" hidden="1" customWidth="1"/>
    <col min="2" max="2" width="10.453125" style="29" hidden="1" customWidth="1"/>
    <col min="3" max="3" width="12.54296875" style="29" bestFit="1" customWidth="1"/>
    <col min="4" max="4" width="50.453125" style="29" customWidth="1"/>
    <col min="5" max="5" width="21" style="29" customWidth="1"/>
    <col min="6" max="6" width="41.54296875" style="29" customWidth="1"/>
    <col min="7" max="7" width="36.453125" style="29" customWidth="1"/>
    <col min="8" max="8" width="15.54296875" style="29" customWidth="1"/>
    <col min="9" max="9" width="27.54296875" style="29" customWidth="1"/>
    <col min="10" max="10" width="12.453125" style="29" hidden="1" customWidth="1"/>
    <col min="11" max="11" width="13.453125" style="29" hidden="1" customWidth="1"/>
    <col min="12" max="12" width="35.453125" style="29" customWidth="1"/>
    <col min="13" max="13" width="5.54296875" style="29" hidden="1" customWidth="1"/>
    <col min="14" max="14" width="11.54296875" style="29" hidden="1" customWidth="1"/>
    <col min="15" max="15" width="12.54296875" style="29" hidden="1" customWidth="1"/>
    <col min="16" max="16" width="4.54296875" style="36" hidden="1" customWidth="1"/>
    <col min="17" max="17" width="13.453125" style="29" hidden="1" customWidth="1"/>
    <col min="18" max="18" width="8.453125" style="29" hidden="1" customWidth="1"/>
    <col min="19" max="19" width="11.54296875" style="29" hidden="1" customWidth="1"/>
    <col min="20" max="20" width="13.54296875" style="29" hidden="1" customWidth="1"/>
    <col min="21" max="21" width="13" style="29" hidden="1" customWidth="1"/>
    <col min="22" max="22" width="22.453125" style="29" hidden="1" customWidth="1"/>
    <col min="23" max="23" width="13" style="29" hidden="1" customWidth="1"/>
    <col min="24" max="26" width="8.54296875" style="29" hidden="1" customWidth="1"/>
    <col min="27" max="16384" width="8.54296875" style="29"/>
  </cols>
  <sheetData>
    <row r="1" spans="1:26" ht="41.25" customHeight="1">
      <c r="C1" s="417"/>
      <c r="D1" s="418"/>
      <c r="E1" s="451" t="str">
        <f>"Compliance Review Tool  (CRT) 
"&amp;D5&amp;" Questionnaire "&amp;D4&amp;" - "&amp;'Gen Info'!$E$4</f>
        <v>Compliance Review Tool  (CRT) 
Network_Agent Questionnaire Spanish - Mexico</v>
      </c>
      <c r="F1" s="419"/>
      <c r="G1" s="419"/>
      <c r="H1" s="419"/>
      <c r="I1" s="419"/>
      <c r="J1" s="418"/>
      <c r="K1" s="418"/>
      <c r="L1" s="420"/>
      <c r="M1" s="85"/>
      <c r="N1" s="85"/>
      <c r="O1" s="85"/>
      <c r="P1" s="133"/>
      <c r="Q1" s="85"/>
      <c r="R1" s="85"/>
      <c r="S1" s="85"/>
      <c r="T1" s="85"/>
      <c r="Z1" s="29" t="b">
        <v>0</v>
      </c>
    </row>
    <row r="2" spans="1:26" ht="54" customHeight="1">
      <c r="C2" s="421" t="s">
        <v>52</v>
      </c>
      <c r="D2" s="422">
        <f>IF('Gen Info'!C4="","",'Gen Info'!C4)</f>
        <v>10000002179028</v>
      </c>
      <c r="E2" s="423" t="str">
        <f>"Agent ID: "&amp;'Gen Info'!O4</f>
        <v>Agent ID: AME920355 &amp; VME580355 &amp; AME900357 &amp; OME100359</v>
      </c>
      <c r="F2" s="424"/>
      <c r="G2" s="424"/>
      <c r="H2" s="424"/>
      <c r="I2" s="425" t="s">
        <v>53</v>
      </c>
      <c r="J2" s="424">
        <f>L2</f>
        <v>0</v>
      </c>
      <c r="K2" s="424"/>
      <c r="L2" s="452">
        <f>COUNTIFS(CallTb[[#All],[Answer]],"No*",CallTb[[#All],[Section]],"&lt;&gt;",CallTb[[#All],[Section]],"&gt;&gt;")</f>
        <v>0</v>
      </c>
      <c r="M2" s="85"/>
      <c r="N2" s="85"/>
      <c r="O2" s="85"/>
      <c r="P2" s="133" t="b">
        <v>1</v>
      </c>
      <c r="Q2" s="86" t="s">
        <v>54</v>
      </c>
      <c r="R2" s="76" t="s">
        <v>55</v>
      </c>
      <c r="S2" s="85">
        <f>COUNTIF(CallTb[Finding Type],"Response_Required")</f>
        <v>0</v>
      </c>
      <c r="T2" s="85"/>
      <c r="V2" s="76" t="s">
        <v>56</v>
      </c>
      <c r="W2" s="29">
        <f>COUNTIF(CallTb[Finding Type],"Response_Required")</f>
        <v>0</v>
      </c>
    </row>
    <row r="3" spans="1:26" ht="40.4" customHeight="1">
      <c r="C3" s="421" t="s">
        <v>57</v>
      </c>
      <c r="D3" s="426" t="str">
        <f>IF('Gen Info'!M4="","",'Gen Info'!M4)</f>
        <v>TIENDA MUEBLERIA EL BODEGON AY</v>
      </c>
      <c r="E3" s="423" t="str">
        <f>"Review Date: "&amp;TEXT('Gen Info'!$B$7,"mmMM dd, yyyy.")</f>
        <v>Review Date: September 02, 2025.</v>
      </c>
      <c r="F3" s="424"/>
      <c r="G3" s="424"/>
      <c r="H3" s="424"/>
      <c r="I3" s="425" t="s">
        <v>58</v>
      </c>
      <c r="J3" s="424">
        <f>W5</f>
        <v>0</v>
      </c>
      <c r="K3" s="424"/>
      <c r="L3" s="427">
        <f>W5</f>
        <v>0</v>
      </c>
      <c r="M3" s="85"/>
      <c r="N3" s="85"/>
      <c r="O3" s="85"/>
      <c r="P3" s="133" t="b">
        <v>0</v>
      </c>
      <c r="Q3" s="85"/>
      <c r="R3" s="76" t="s">
        <v>59</v>
      </c>
      <c r="S3" s="85" t="s">
        <v>60</v>
      </c>
      <c r="T3" s="85"/>
    </row>
    <row r="4" spans="1:26" ht="34.5" customHeight="1">
      <c r="A4" s="29">
        <f ca="1">COUNTA(CallTb[iWatch '#])</f>
        <v>41</v>
      </c>
      <c r="C4" s="421" t="s">
        <v>61</v>
      </c>
      <c r="D4" s="426" t="str">
        <f>IF(LocationInfo[[#This Row],[Select Letter Language]]="","",LocationInfo[[#This Row],[Select Letter Language]])</f>
        <v>Spanish</v>
      </c>
      <c r="E4" s="423" t="str">
        <f>"Data Integrity Range: "&amp;'Gen Info'!C19</f>
        <v>Data Integrity Range: 45658</v>
      </c>
      <c r="F4" s="424"/>
      <c r="G4" s="424"/>
      <c r="H4" s="466" t="s">
        <v>62</v>
      </c>
      <c r="I4" s="425" t="s">
        <v>63</v>
      </c>
      <c r="J4" s="424"/>
      <c r="K4" s="424"/>
      <c r="L4" s="428" t="str">
        <f ca="1">LocationInfo[[#This Row],[Due Date]]</f>
        <v>Lunes 22 Septiembre, 2025</v>
      </c>
      <c r="M4" s="85"/>
      <c r="N4" s="85"/>
      <c r="O4" s="76" t="s">
        <v>64</v>
      </c>
      <c r="P4" s="134"/>
      <c r="Q4" s="85" t="str">
        <f>"FL Type: "&amp;Q2</f>
        <v>FL Type: PDF</v>
      </c>
      <c r="R4" s="85" t="str">
        <f>"Outlook reminder: "&amp;S3</f>
        <v>Outlook reminder: No</v>
      </c>
      <c r="S4" s="85"/>
      <c r="T4" s="85"/>
    </row>
    <row r="5" spans="1:26" ht="34.5" customHeight="1" thickBot="1">
      <c r="C5" s="429" t="s">
        <v>65</v>
      </c>
      <c r="D5" s="430" t="str" cm="1">
        <f t="array" ref="D5">IF(LocationInfo[Select
Questionnaire Type]="","",LocationInfo[Select
Questionnaire Type])</f>
        <v>Network_Agent</v>
      </c>
      <c r="E5" s="431" t="str" cm="1">
        <f t="array" ref="E5">"Country: "&amp;LocationInfo[Select
Agent Country]</f>
        <v>Country: Mexico</v>
      </c>
      <c r="F5" s="453" t="str" cm="1">
        <f t="array" ref="F5">LocationInfo[Select
Agent Country]</f>
        <v>Mexico</v>
      </c>
      <c r="G5" s="432"/>
      <c r="H5" s="432"/>
      <c r="I5" s="433" t="s">
        <v>66</v>
      </c>
      <c r="J5" s="432"/>
      <c r="K5" s="432"/>
      <c r="L5" s="434" t="str" cm="1">
        <f t="array" ref="L5">LocationInfo2[Co/CD Name]&amp;"
"&amp;LocationInfo2[CO/CD Name
LETTER RECEPIENT EMAIL]</f>
        <v>Carlos Eduardo
carlos.cedillo@progressa.mx</v>
      </c>
      <c r="M5" s="85"/>
      <c r="N5" s="85"/>
      <c r="O5" s="85">
        <f ca="1">SUM(CallTb[Incomplete fields])</f>
        <v>0</v>
      </c>
      <c r="P5" s="134"/>
      <c r="Q5" s="85" t="str">
        <f>"AAL Type: "&amp;R5</f>
        <v>AAL Type: GAO AAL v1.4_11-01-2022</v>
      </c>
      <c r="R5" s="85" t="s">
        <v>67</v>
      </c>
      <c r="S5" s="85"/>
      <c r="T5" s="85"/>
      <c r="W5" s="29">
        <f>COUNTIFS(CallTb[Findings],"&gt;&gt;",CallTb[Answer],"&gt;&gt;")</f>
        <v>0</v>
      </c>
    </row>
    <row r="6" spans="1:26" ht="22.5" customHeight="1" thickBot="1">
      <c r="B6" s="71" t="s">
        <v>68</v>
      </c>
      <c r="C6" s="72" t="s">
        <v>69</v>
      </c>
      <c r="D6" s="72" t="s">
        <v>70</v>
      </c>
      <c r="E6" s="72" t="s">
        <v>71</v>
      </c>
      <c r="F6" s="72" t="s">
        <v>72</v>
      </c>
      <c r="G6" s="72" t="s">
        <v>73</v>
      </c>
      <c r="H6" s="72" t="s">
        <v>74</v>
      </c>
      <c r="I6" s="72" t="s">
        <v>75</v>
      </c>
      <c r="J6" s="73" t="s">
        <v>76</v>
      </c>
      <c r="K6" s="73" t="s">
        <v>77</v>
      </c>
      <c r="L6" s="72" t="s">
        <v>78</v>
      </c>
      <c r="M6" s="74" t="s">
        <v>79</v>
      </c>
      <c r="N6" s="74" t="s">
        <v>80</v>
      </c>
      <c r="O6" s="74" t="s">
        <v>81</v>
      </c>
      <c r="P6" s="74" t="s">
        <v>82</v>
      </c>
      <c r="Q6" s="74" t="s">
        <v>47</v>
      </c>
      <c r="R6" s="74" t="s">
        <v>83</v>
      </c>
      <c r="S6" s="74" t="s">
        <v>84</v>
      </c>
      <c r="T6" s="74" t="s">
        <v>85</v>
      </c>
      <c r="U6" s="74" t="s">
        <v>86</v>
      </c>
      <c r="V6" s="74" t="s">
        <v>87</v>
      </c>
      <c r="W6" s="75" t="s">
        <v>88</v>
      </c>
    </row>
    <row r="7" spans="1:26">
      <c r="B7" s="135">
        <v>1</v>
      </c>
      <c r="C7" s="297" t="str">
        <f ca="1">IFERROR(INDEX(INDIRECT($D$5&amp;"[#All]"),MATCH(CallTb[[#This Row],[Order]],INDIRECT($D$5&amp;"[[#All],[Call Flow Order]]"),0),1),INDEX(INDIRECT($D$5&amp;"_"&amp;$F$5&amp;"[#All]"),MATCH(CallTb[[#This Row],[Order]],INDIRECT($D$5&amp;"_"&amp;$F$5&amp;"[[#All],[Call Flow Order]]"),0),1))</f>
        <v>GS1.GQ1</v>
      </c>
      <c r="D7" s="298" t="str">
        <f ca="1">IFERROR(VLOOKUP(CallTb[[#This Row],[iWatch '#]],INDIRECT($D$5&amp;"[#All]"),2,FALSE),VLOOKUP(CallTb[[#This Row],[iWatch '#]],INDIRECT($D$5&amp;"_"&amp;$F$5&amp;"[#All]"),2,FALSE))</f>
        <v>Who conducted the interview (WUCO)?</v>
      </c>
      <c r="E7" s="297">
        <f ca="1">IFERROR(VLOOKUP(CallTb[[#This Row],[iWatch '#]],INDIRECT($D$5&amp;"[#All]"),13,FALSE),VLOOKUP(CallTb[[#This Row],[iWatch '#]],INDIRECT($D$5&amp;"_"&amp;$F$5&amp;"[#All]"),13,FALSE))</f>
        <v>0</v>
      </c>
      <c r="F7" s="299" t="str">
        <f ca="1">IFERROR(VLOOKUP(CallTb[[#This Row],[iWatch '#]],INDIRECT($D$5&amp;"[#All]"),14,FALSE),VLOOKUP(CallTb[[#This Row],[iWatch '#]],INDIRECT($D$5&amp;"_"&amp;$F$5&amp;"[#All]"),14,FALSE))</f>
        <v xml:space="preserve"> </v>
      </c>
      <c r="G7" s="298" t="str">
        <f ca="1">IFERROR(IFERROR(VLOOKUP(CallTb[[#This Row],[iWatch '#]],INDIRECT($D$5&amp;"[#All]"),VLOOKUP(CallTb[[#This Row],[Answer]],Guidance,2,FALSE),FALSE),VLOOKUP(CallTb[[#This Row],[iWatch '#]],INDIRECT($D$5&amp;"_"&amp;$F$5&amp;"[#All]"),VLOOKUP(CallTb[[#This Row],[Answer]],Guidance,2,FALSE),FALSE)),"")</f>
        <v/>
      </c>
      <c r="H7" s="136"/>
      <c r="I7" s="136"/>
      <c r="J7"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7"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7" s="137" t="s">
        <v>5265</v>
      </c>
      <c r="M7" s="135" t="str">
        <f ca="1">IFERROR("_"&amp;VLOOKUP(CallTb[[#This Row],[iWatch '#]],INDIRECT($D$5&amp;"[#All]"),3,FALSE),"_"&amp;VLOOKUP(CallTb[[#This Row],[iWatch '#]],INDIRECT($D$5&amp;"_"&amp;$F$5&amp;"[#All]"),3,FALSE))</f>
        <v>_</v>
      </c>
      <c r="N7" s="135">
        <f ca="1">IF((CallTb[[#This Row],[Answer]]="Yes")+(CallTb[[#This Row],[Answer]]="NA")+((CallTb[[#This Row],[Section]]="")*(CallTb[[#This Row],[Answer]]="No")),"",IFERROR(VLOOKUP(CallTb[[#This Row],[iWatch '#]],INDIRECT($D$5&amp;"[#All]"),17,FALSE),VLOOKUP(CallTb[[#This Row],[iWatch '#]],INDIRECT($D$5&amp;"_"&amp;$F$5&amp;"[#All]"),17,FALSE)))</f>
        <v>0</v>
      </c>
      <c r="O7" s="135" cm="1">
        <f t="array" aca="1" ref="O7"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7" s="138"/>
      <c r="Q7" s="135"/>
      <c r="R7" s="135" t="str" cm="1">
        <f t="array" aca="1" ref="R7"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7" s="135" t="str">
        <f>IF(OR(CallTb[[#This Row],[Answer]]="No_AML",CallTb[[#This Row],[Answer]]="No_CFT",CallTb[[#This Row],[Answer]]="No_AntiFraud",CallTb[[#This Row],[Answer]],CallTb[[#This Row],[Answer]]="No"),CallTb[[#This Row],[Answer]],"")</f>
        <v/>
      </c>
      <c r="T7" s="135" t="str">
        <f>IF(CallTb[[#This Row],[Finding Type]]="","",CallTb[[#This Row],[iWatch '#]]&amp;"."&amp;CallTb[[#This Row],[Finding Type]])</f>
        <v/>
      </c>
      <c r="U7" s="135" t="str">
        <f ca="1">IFERROR(IF(SEARCH("Attach a copy",CallTb[[#This Row],[iWatch Questions]])=1,"Yes",""),"")</f>
        <v/>
      </c>
      <c r="V7" s="135">
        <f ca="1">IFERROR(VLOOKUP(CallTb[[#This Row],[iWatch '#]],INDIRECT($D$5&amp;"[#All]"),16,FALSE),VLOOKUP(CallTb[[#This Row],[iWatch '#]],INDIRECT($D$5&amp;"_"&amp;$F$5&amp;"[#All]"),16,FALSE))</f>
        <v>0</v>
      </c>
      <c r="W7" s="135"/>
    </row>
    <row r="8" spans="1:26">
      <c r="B8" s="135">
        <v>2</v>
      </c>
      <c r="C8" s="297" t="str">
        <f ca="1">IFERROR(INDEX(INDIRECT($D$5&amp;"[#All]"),MATCH(CallTb[[#This Row],[Order]],INDIRECT($D$5&amp;"[[#All],[Call Flow Order]]"),0),1),INDEX(INDIRECT($D$5&amp;"_"&amp;$F$5&amp;"[#All]"),MATCH(CallTb[[#This Row],[Order]],INDIRECT($D$5&amp;"_"&amp;$F$5&amp;"[[#All],[Call Flow Order]]"),0),1))</f>
        <v>GS1.GQ2</v>
      </c>
      <c r="D8" s="298" t="str">
        <f ca="1">IFERROR(VLOOKUP(CallTb[[#This Row],[iWatch '#]],INDIRECT($D$5&amp;"[#All]"),2,FALSE),VLOOKUP(CallTb[[#This Row],[iWatch '#]],INDIRECT($D$5&amp;"_"&amp;$F$5&amp;"[#All]"),2,FALSE))</f>
        <v>Date of Review</v>
      </c>
      <c r="E8" s="297">
        <f ca="1">IFERROR(VLOOKUP(CallTb[[#This Row],[iWatch '#]],INDIRECT($D$5&amp;"[#All]"),13,FALSE),VLOOKUP(CallTb[[#This Row],[iWatch '#]],INDIRECT($D$5&amp;"_"&amp;$F$5&amp;"[#All]"),13,FALSE))</f>
        <v>0</v>
      </c>
      <c r="F8" s="299" t="str">
        <f ca="1">IFERROR(VLOOKUP(CallTb[[#This Row],[iWatch '#]],INDIRECT($D$5&amp;"[#All]"),14,FALSE),VLOOKUP(CallTb[[#This Row],[iWatch '#]],INDIRECT($D$5&amp;"_"&amp;$F$5&amp;"[#All]"),14,FALSE))</f>
        <v xml:space="preserve"> </v>
      </c>
      <c r="G8" s="298" t="str">
        <f ca="1">IFERROR(IFERROR(VLOOKUP(CallTb[[#This Row],[iWatch '#]],INDIRECT($D$5&amp;"[#All]"),VLOOKUP(CallTb[[#This Row],[Answer]],Guidance,2,FALSE),FALSE),VLOOKUP(CallTb[[#This Row],[iWatch '#]],INDIRECT($D$5&amp;"_"&amp;$F$5&amp;"[#All]"),VLOOKUP(CallTb[[#This Row],[Answer]],Guidance,2,FALSE),FALSE)),"")</f>
        <v/>
      </c>
      <c r="H8" s="136"/>
      <c r="I8" s="136"/>
      <c r="J8"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8"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8" s="301">
        <v>45902</v>
      </c>
      <c r="M8" s="135" t="str">
        <f ca="1">IFERROR("_"&amp;VLOOKUP(CallTb[[#This Row],[iWatch '#]],INDIRECT($D$5&amp;"[#All]"),3,FALSE),"_"&amp;VLOOKUP(CallTb[[#This Row],[iWatch '#]],INDIRECT($D$5&amp;"_"&amp;$F$5&amp;"[#All]"),3,FALSE))</f>
        <v>_</v>
      </c>
      <c r="N8" s="135">
        <f ca="1">IF((CallTb[[#This Row],[Answer]]="Yes")+(CallTb[[#This Row],[Answer]]="NA")+((CallTb[[#This Row],[Section]]="")*(CallTb[[#This Row],[Answer]]="No")),"",IFERROR(VLOOKUP(CallTb[[#This Row],[iWatch '#]],INDIRECT($D$5&amp;"[#All]"),17,FALSE),VLOOKUP(CallTb[[#This Row],[iWatch '#]],INDIRECT($D$5&amp;"_"&amp;$F$5&amp;"[#All]"),17,FALSE)))</f>
        <v>0</v>
      </c>
      <c r="O8" s="135" cm="1">
        <f t="array" aca="1" ref="O8"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8" s="138"/>
      <c r="Q8" s="135"/>
      <c r="R8" s="135" t="str" cm="1">
        <f t="array" aca="1" ref="R8"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8" s="135" t="str">
        <f>IF(OR(CallTb[[#This Row],[Answer]]="No_AML",CallTb[[#This Row],[Answer]]="No_CFT",CallTb[[#This Row],[Answer]]="No_AntiFraud",CallTb[[#This Row],[Answer]],CallTb[[#This Row],[Answer]]="No"),CallTb[[#This Row],[Answer]],"")</f>
        <v/>
      </c>
      <c r="T8" s="135" t="str">
        <f>IF(CallTb[[#This Row],[Finding Type]]="","",CallTb[[#This Row],[iWatch '#]]&amp;"."&amp;CallTb[[#This Row],[Finding Type]])</f>
        <v/>
      </c>
      <c r="U8" s="135" t="str">
        <f ca="1">IFERROR(IF(SEARCH("Attach a copy",CallTb[[#This Row],[iWatch Questions]])=1,"Yes",""),"")</f>
        <v/>
      </c>
      <c r="V8" s="135">
        <f ca="1">IFERROR(VLOOKUP(CallTb[[#This Row],[iWatch '#]],INDIRECT($D$5&amp;"[#All]"),16,FALSE),VLOOKUP(CallTb[[#This Row],[iWatch '#]],INDIRECT($D$5&amp;"_"&amp;$F$5&amp;"[#All]"),16,FALSE))</f>
        <v>0</v>
      </c>
      <c r="W8" s="135"/>
    </row>
    <row r="9" spans="1:26" ht="26">
      <c r="B9" s="135">
        <v>3</v>
      </c>
      <c r="C9" s="297" t="str">
        <f ca="1">IFERROR(INDEX(INDIRECT($D$5&amp;"[#All]"),MATCH(CallTb[[#This Row],[Order]],INDIRECT($D$5&amp;"[[#All],[Call Flow Order]]"),0),1),INDEX(INDIRECT($D$5&amp;"_"&amp;$F$5&amp;"[#All]"),MATCH(CallTb[[#This Row],[Order]],INDIRECT($D$5&amp;"_"&amp;$F$5&amp;"[[#All],[Call Flow Order]]"),0),1))</f>
        <v>GS1.GQ3</v>
      </c>
      <c r="D9" s="298" t="str">
        <f ca="1">IFERROR(VLOOKUP(CallTb[[#This Row],[iWatch '#]],INDIRECT($D$5&amp;"[#All]"),2,FALSE),VLOOKUP(CallTb[[#This Row],[iWatch '#]],INDIRECT($D$5&amp;"_"&amp;$F$5&amp;"[#All]"),2,FALSE))</f>
        <v>Interviewee Name, email address, and/or Fax:</v>
      </c>
      <c r="E9" s="297">
        <f ca="1">IFERROR(VLOOKUP(CallTb[[#This Row],[iWatch '#]],INDIRECT($D$5&amp;"[#All]"),13,FALSE),VLOOKUP(CallTb[[#This Row],[iWatch '#]],INDIRECT($D$5&amp;"_"&amp;$F$5&amp;"[#All]"),13,FALSE))</f>
        <v>0</v>
      </c>
      <c r="F9" s="299" t="str">
        <f ca="1">IFERROR(VLOOKUP(CallTb[[#This Row],[iWatch '#]],INDIRECT($D$5&amp;"[#All]"),14,FALSE),VLOOKUP(CallTb[[#This Row],[iWatch '#]],INDIRECT($D$5&amp;"_"&amp;$F$5&amp;"[#All]"),14,FALSE))</f>
        <v xml:space="preserve"> </v>
      </c>
      <c r="G9" s="298" t="str">
        <f ca="1">IFERROR(IFERROR(VLOOKUP(CallTb[[#This Row],[iWatch '#]],INDIRECT($D$5&amp;"[#All]"),VLOOKUP(CallTb[[#This Row],[Answer]],Guidance,2,FALSE),FALSE),VLOOKUP(CallTb[[#This Row],[iWatch '#]],INDIRECT($D$5&amp;"_"&amp;$F$5&amp;"[#All]"),VLOOKUP(CallTb[[#This Row],[Answer]],Guidance,2,FALSE),FALSE)),"")</f>
        <v/>
      </c>
      <c r="H9" s="136"/>
      <c r="I9" s="136"/>
      <c r="J9"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9"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9" s="137" t="s">
        <v>5289</v>
      </c>
      <c r="M9" s="135" t="str">
        <f ca="1">IFERROR("_"&amp;VLOOKUP(CallTb[[#This Row],[iWatch '#]],INDIRECT($D$5&amp;"[#All]"),3,FALSE),"_"&amp;VLOOKUP(CallTb[[#This Row],[iWatch '#]],INDIRECT($D$5&amp;"_"&amp;$F$5&amp;"[#All]"),3,FALSE))</f>
        <v>_</v>
      </c>
      <c r="N9" s="135">
        <f ca="1">IF((CallTb[[#This Row],[Answer]]="Yes")+(CallTb[[#This Row],[Answer]]="NA")+((CallTb[[#This Row],[Section]]="")*(CallTb[[#This Row],[Answer]]="No")),"",IFERROR(VLOOKUP(CallTb[[#This Row],[iWatch '#]],INDIRECT($D$5&amp;"[#All]"),17,FALSE),VLOOKUP(CallTb[[#This Row],[iWatch '#]],INDIRECT($D$5&amp;"_"&amp;$F$5&amp;"[#All]"),17,FALSE)))</f>
        <v>0</v>
      </c>
      <c r="O9" s="135" cm="1">
        <f t="array" aca="1" ref="O9"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9" s="138"/>
      <c r="Q9" s="135"/>
      <c r="R9" s="135" t="str" cm="1">
        <f t="array" aca="1" ref="R9"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9" s="135" t="str">
        <f>IF(OR(CallTb[[#This Row],[Answer]]="No_AML",CallTb[[#This Row],[Answer]]="No_CFT",CallTb[[#This Row],[Answer]]="No_AntiFraud",CallTb[[#This Row],[Answer]],CallTb[[#This Row],[Answer]]="No"),CallTb[[#This Row],[Answer]],"")</f>
        <v/>
      </c>
      <c r="T9" s="135" t="str">
        <f>IF(CallTb[[#This Row],[Finding Type]]="","",CallTb[[#This Row],[iWatch '#]]&amp;"."&amp;CallTb[[#This Row],[Finding Type]])</f>
        <v/>
      </c>
      <c r="U9" s="135" t="str">
        <f ca="1">IFERROR(IF(SEARCH("Attach a copy",CallTb[[#This Row],[iWatch Questions]])=1,"Yes",""),"")</f>
        <v/>
      </c>
      <c r="V9" s="135">
        <f ca="1">IFERROR(VLOOKUP(CallTb[[#This Row],[iWatch '#]],INDIRECT($D$5&amp;"[#All]"),16,FALSE),VLOOKUP(CallTb[[#This Row],[iWatch '#]],INDIRECT($D$5&amp;"_"&amp;$F$5&amp;"[#All]"),16,FALSE))</f>
        <v>0</v>
      </c>
      <c r="W9" s="135"/>
    </row>
    <row r="10" spans="1:26" ht="65">
      <c r="B10" s="135">
        <v>4</v>
      </c>
      <c r="C10" s="297" t="str">
        <f ca="1">IFERROR(INDEX(INDIRECT($D$5&amp;"[#All]"),MATCH(CallTb[[#This Row],[Order]],INDIRECT($D$5&amp;"[[#All],[Call Flow Order]]"),0),1),INDEX(INDIRECT($D$5&amp;"_"&amp;$F$5&amp;"[#All]"),MATCH(CallTb[[#This Row],[Order]],INDIRECT($D$5&amp;"_"&amp;$F$5&amp;"[[#All],[Call Flow Order]]"),0),1))</f>
        <v>GS2.GQ1</v>
      </c>
      <c r="D10" s="298" t="str">
        <f ca="1">IFERROR(VLOOKUP(CallTb[[#This Row],[iWatch '#]],INDIRECT($D$5&amp;"[#All]"),2,FALSE),VLOOKUP(CallTb[[#This Row],[iWatch '#]],INDIRECT($D$5&amp;"_"&amp;$F$5&amp;"[#All]"),2,FALSE))</f>
        <v xml:space="preserve">Has the Agent cleared all findings and remediation action items related to the last program review or FIU/FRM Investigations, which were due on or before the date of the present review?
</v>
      </c>
      <c r="E10" s="297" t="str">
        <f ca="1">IFERROR(VLOOKUP(CallTb[[#This Row],[iWatch '#]],INDIRECT($D$5&amp;"[#All]"),13,FALSE),VLOOKUP(CallTb[[#This Row],[iWatch '#]],INDIRECT($D$5&amp;"_"&amp;$F$5&amp;"[#All]"),13,FALSE))</f>
        <v>Historial de Cumplimiento</v>
      </c>
      <c r="F10" s="299" t="str">
        <f ca="1">IFERROR(VLOOKUP(CallTb[[#This Row],[iWatch '#]],INDIRECT($D$5&amp;"[#All]"),14,FALSE),VLOOKUP(CallTb[[#This Row],[iWatch '#]],INDIRECT($D$5&amp;"_"&amp;$F$5&amp;"[#All]"),14,FALSE))</f>
        <v>Review the previous program review (if any), to determine if the Agent cleared all findings and remediation action items.</v>
      </c>
      <c r="G10" s="298" t="str">
        <f ca="1">IFERROR(IFERROR(VLOOKUP(CallTb[[#This Row],[iWatch '#]],INDIRECT($D$5&amp;"[#All]"),VLOOKUP(CallTb[[#This Row],[Answer]],Guidance,2,FALSE),FALSE),VLOOKUP(CallTb[[#This Row],[iWatch '#]],INDIRECT($D$5&amp;"_"&amp;$F$5&amp;"[#All]"),VLOOKUP(CallTb[[#This Row],[Answer]],Guidance,2,FALSE),FALSE)),"")</f>
        <v/>
      </c>
      <c r="H10" s="136"/>
      <c r="I10" s="136"/>
      <c r="J10"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10"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10" s="137"/>
      <c r="M10" s="135" t="str">
        <f ca="1">IFERROR("_"&amp;VLOOKUP(CallTb[[#This Row],[iWatch '#]],INDIRECT($D$5&amp;"[#All]"),3,FALSE),"_"&amp;VLOOKUP(CallTb[[#This Row],[iWatch '#]],INDIRECT($D$5&amp;"_"&amp;$F$5&amp;"[#All]"),3,FALSE))</f>
        <v>_3</v>
      </c>
      <c r="N10" s="135" t="str">
        <f ca="1">IF((CallTb[[#This Row],[Answer]]="Yes")+(CallTb[[#This Row],[Answer]]="NA")+((CallTb[[#This Row],[Section]]="")*(CallTb[[#This Row],[Answer]]="No")),"",IFERROR(VLOOKUP(CallTb[[#This Row],[iWatch '#]],INDIRECT($D$5&amp;"[#All]"),17,FALSE),VLOOKUP(CallTb[[#This Row],[iWatch '#]],INDIRECT($D$5&amp;"_"&amp;$F$5&amp;"[#All]"),17,FALSE)))</f>
        <v>A_1A_2</v>
      </c>
      <c r="O10" s="135" cm="1">
        <f t="array" aca="1" ref="O10"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10" s="138"/>
      <c r="Q10" s="135"/>
      <c r="R10" s="135" t="str" cm="1">
        <f t="array" aca="1" ref="R10"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10" s="135" t="str">
        <f>IF(OR(CallTb[[#This Row],[Answer]]="No_AML",CallTb[[#This Row],[Answer]]="No_CFT",CallTb[[#This Row],[Answer]]="No_AntiFraud",CallTb[[#This Row],[Answer]],CallTb[[#This Row],[Answer]]="No"),CallTb[[#This Row],[Answer]],"")</f>
        <v/>
      </c>
      <c r="T10" s="135" t="str">
        <f>IF(CallTb[[#This Row],[Finding Type]]="","",CallTb[[#This Row],[iWatch '#]]&amp;"."&amp;CallTb[[#This Row],[Finding Type]])</f>
        <v/>
      </c>
      <c r="U10" s="135" t="str">
        <f ca="1">IFERROR(IF(SEARCH("Attach a copy",CallTb[[#This Row],[iWatch Questions]])=1,"Yes",""),"")</f>
        <v/>
      </c>
      <c r="V10" s="135">
        <f ca="1">IFERROR(VLOOKUP(CallTb[[#This Row],[iWatch '#]],INDIRECT($D$5&amp;"[#All]"),16,FALSE),VLOOKUP(CallTb[[#This Row],[iWatch '#]],INDIRECT($D$5&amp;"_"&amp;$F$5&amp;"[#All]"),16,FALSE))</f>
        <v>0</v>
      </c>
      <c r="W10" s="135"/>
    </row>
    <row r="11" spans="1:26" ht="104">
      <c r="B11" s="135">
        <v>5</v>
      </c>
      <c r="C11" s="297" t="str">
        <f ca="1">IFERROR(INDEX(INDIRECT($D$5&amp;"[#All]"),MATCH(CallTb[[#This Row],[Order]],INDIRECT($D$5&amp;"[[#All],[Call Flow Order]]"),0),1),INDEX(INDIRECT($D$5&amp;"_"&amp;$F$5&amp;"[#All]"),MATCH(CallTb[[#This Row],[Order]],INDIRECT($D$5&amp;"_"&amp;$F$5&amp;"[[#All],[Call Flow Order]]"),0),1))</f>
        <v>GS2.GQ2</v>
      </c>
      <c r="D11" s="298" t="str">
        <f ca="1">IFERROR(VLOOKUP(CallTb[[#This Row],[iWatch '#]],INDIRECT($D$5&amp;"[#All]"),2,FALSE),VLOOKUP(CallTb[[#This Row],[iWatch '#]],INDIRECT($D$5&amp;"_"&amp;$F$5&amp;"[#All]"),2,FALSE))</f>
        <v xml:space="preserve">If the answer to the previous question is "Yes", provide previous case number and an explicit statement confirming that the WUCO reviewed the previous program review or FIU/FRM Investigations case and has verified that all findings were remediated. 
If the answer to the previous question is "No", provide the previous case number and list of findings that were not cleared. </v>
      </c>
      <c r="E11" s="297">
        <f ca="1">IFERROR(VLOOKUP(CallTb[[#This Row],[iWatch '#]],INDIRECT($D$5&amp;"[#All]"),13,FALSE),VLOOKUP(CallTb[[#This Row],[iWatch '#]],INDIRECT($D$5&amp;"_"&amp;$F$5&amp;"[#All]"),13,FALSE))</f>
        <v>0</v>
      </c>
      <c r="F11" s="299" t="str">
        <f ca="1">IFERROR(VLOOKUP(CallTb[[#This Row],[iWatch '#]],INDIRECT($D$5&amp;"[#All]"),14,FALSE),VLOOKUP(CallTb[[#This Row],[iWatch '#]],INDIRECT($D$5&amp;"_"&amp;$F$5&amp;"[#All]"),14,FALSE))</f>
        <v xml:space="preserve"> </v>
      </c>
      <c r="G11" s="298" t="str">
        <f ca="1">IFERROR(IFERROR(VLOOKUP(CallTb[[#This Row],[iWatch '#]],INDIRECT($D$5&amp;"[#All]"),VLOOKUP(CallTb[[#This Row],[Answer]],Guidance,2,FALSE),FALSE),VLOOKUP(CallTb[[#This Row],[iWatch '#]],INDIRECT($D$5&amp;"_"&amp;$F$5&amp;"[#All]"),VLOOKUP(CallTb[[#This Row],[Answer]],Guidance,2,FALSE),FALSE)),"")</f>
        <v/>
      </c>
      <c r="H11" s="136"/>
      <c r="I11" s="136"/>
      <c r="J11"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11"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11" s="137"/>
      <c r="M11" s="135" t="str">
        <f ca="1">IFERROR("_"&amp;VLOOKUP(CallTb[[#This Row],[iWatch '#]],INDIRECT($D$5&amp;"[#All]"),3,FALSE),"_"&amp;VLOOKUP(CallTb[[#This Row],[iWatch '#]],INDIRECT($D$5&amp;"_"&amp;$F$5&amp;"[#All]"),3,FALSE))</f>
        <v>_</v>
      </c>
      <c r="N11" s="135">
        <f ca="1">IF((CallTb[[#This Row],[Answer]]="Yes")+(CallTb[[#This Row],[Answer]]="NA")+((CallTb[[#This Row],[Section]]="")*(CallTb[[#This Row],[Answer]]="No")),"",IFERROR(VLOOKUP(CallTb[[#This Row],[iWatch '#]],INDIRECT($D$5&amp;"[#All]"),17,FALSE),VLOOKUP(CallTb[[#This Row],[iWatch '#]],INDIRECT($D$5&amp;"_"&amp;$F$5&amp;"[#All]"),17,FALSE)))</f>
        <v>0</v>
      </c>
      <c r="O11" s="135" cm="1">
        <f t="array" aca="1" ref="O11"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11" s="138"/>
      <c r="Q11" s="135"/>
      <c r="R11" s="135" t="str" cm="1">
        <f t="array" aca="1" ref="R11"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11" s="135" t="str">
        <f>IF(OR(CallTb[[#This Row],[Answer]]="No_AML",CallTb[[#This Row],[Answer]]="No_CFT",CallTb[[#This Row],[Answer]]="No_AntiFraud",CallTb[[#This Row],[Answer]],CallTb[[#This Row],[Answer]]="No"),CallTb[[#This Row],[Answer]],"")</f>
        <v/>
      </c>
      <c r="T11" s="135" t="str">
        <f>IF(CallTb[[#This Row],[Finding Type]]="","",CallTb[[#This Row],[iWatch '#]]&amp;"."&amp;CallTb[[#This Row],[Finding Type]])</f>
        <v/>
      </c>
      <c r="U11" s="135" t="str">
        <f ca="1">IFERROR(IF(SEARCH("Attach a copy",CallTb[[#This Row],[iWatch Questions]])=1,"Yes",""),"")</f>
        <v/>
      </c>
      <c r="V11" s="135">
        <f ca="1">IFERROR(VLOOKUP(CallTb[[#This Row],[iWatch '#]],INDIRECT($D$5&amp;"[#All]"),16,FALSE),VLOOKUP(CallTb[[#This Row],[iWatch '#]],INDIRECT($D$5&amp;"_"&amp;$F$5&amp;"[#All]"),16,FALSE))</f>
        <v>0</v>
      </c>
      <c r="W11" s="135"/>
    </row>
    <row r="12" spans="1:26" ht="65">
      <c r="B12" s="135">
        <v>6</v>
      </c>
      <c r="C12" s="297" t="str">
        <f ca="1">IFERROR(INDEX(INDIRECT($D$5&amp;"[#All]"),MATCH(CallTb[[#This Row],[Order]],INDIRECT($D$5&amp;"[[#All],[Call Flow Order]]"),0),1),INDEX(INDIRECT($D$5&amp;"_"&amp;$F$5&amp;"[#All]"),MATCH(CallTb[[#This Row],[Order]],INDIRECT($D$5&amp;"_"&amp;$F$5&amp;"[[#All],[Call Flow Order]]"),0),1))</f>
        <v>GS3.GQ1</v>
      </c>
      <c r="D12" s="298" t="str">
        <f ca="1">IFERROR(VLOOKUP(CallTb[[#This Row],[iWatch '#]],INDIRECT($D$5&amp;"[#All]"),2,FALSE),VLOOKUP(CallTb[[#This Row],[iWatch '#]],INDIRECT($D$5&amp;"_"&amp;$F$5&amp;"[#All]"),2,FALSE))</f>
        <v>Are the location name, address, and telephone number stored in Western Union ("WU") systems accurate?</v>
      </c>
      <c r="E12" s="297" t="str">
        <f ca="1">IFERROR(VLOOKUP(CallTb[[#This Row],[iWatch '#]],INDIRECT($D$5&amp;"[#All]"),13,FALSE),VLOOKUP(CallTb[[#This Row],[iWatch '#]],INDIRECT($D$5&amp;"_"&amp;$F$5&amp;"[#All]"),13,FALSE))</f>
        <v>Disponibilidad de la Localidad</v>
      </c>
      <c r="F12" s="299" t="str">
        <f ca="1">IFERROR(VLOOKUP(CallTb[[#This Row],[iWatch '#]],INDIRECT($D$5&amp;"[#All]"),14,FALSE),VLOOKUP(CallTb[[#This Row],[iWatch '#]],INDIRECT($D$5&amp;"_"&amp;$F$5&amp;"[#All]"),14,FALSE))</f>
        <v>Before getting started, let's go ahead and verify the name of the location, address and phone number.</v>
      </c>
      <c r="G12" s="298" t="str">
        <f ca="1">IFERROR(IFERROR(VLOOKUP(CallTb[[#This Row],[iWatch '#]],INDIRECT($D$5&amp;"[#All]"),VLOOKUP(CallTb[[#This Row],[Answer]],Guidance,2,FALSE),FALSE),VLOOKUP(CallTb[[#This Row],[iWatch '#]],INDIRECT($D$5&amp;"_"&amp;$F$5&amp;"[#All]"),VLOOKUP(CallTb[[#This Row],[Answer]],Guidance,2,FALSE),FALSE)),"")</f>
        <v/>
      </c>
      <c r="H12" s="136"/>
      <c r="I12" s="136"/>
      <c r="J12"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12"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12" s="137"/>
      <c r="M12" s="135" t="str">
        <f ca="1">IFERROR("_"&amp;VLOOKUP(CallTb[[#This Row],[iWatch '#]],INDIRECT($D$5&amp;"[#All]"),3,FALSE),"_"&amp;VLOOKUP(CallTb[[#This Row],[iWatch '#]],INDIRECT($D$5&amp;"_"&amp;$F$5&amp;"[#All]"),3,FALSE))</f>
        <v>_2</v>
      </c>
      <c r="N12" s="135" t="str">
        <f ca="1">IF((CallTb[[#This Row],[Answer]]="Yes")+(CallTb[[#This Row],[Answer]]="NA")+((CallTb[[#This Row],[Section]]="")*(CallTb[[#This Row],[Answer]]="No")),"",IFERROR(VLOOKUP(CallTb[[#This Row],[iWatch '#]],INDIRECT($D$5&amp;"[#All]"),17,FALSE),VLOOKUP(CallTb[[#This Row],[iWatch '#]],INDIRECT($D$5&amp;"_"&amp;$F$5&amp;"[#All]"),17,FALSE)))</f>
        <v>A_1</v>
      </c>
      <c r="O12" s="135" cm="1">
        <f t="array" aca="1" ref="O12"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12" s="138"/>
      <c r="Q12" s="135"/>
      <c r="R12" s="135" t="str" cm="1">
        <f t="array" aca="1" ref="R12"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12" s="135" t="str">
        <f>IF(OR(CallTb[[#This Row],[Answer]]="No_AML",CallTb[[#This Row],[Answer]]="No_CFT",CallTb[[#This Row],[Answer]]="No_AntiFraud",CallTb[[#This Row],[Answer]],CallTb[[#This Row],[Answer]]="No"),CallTb[[#This Row],[Answer]],"")</f>
        <v/>
      </c>
      <c r="T12" s="135" t="str">
        <f>IF(CallTb[[#This Row],[Finding Type]]="","",CallTb[[#This Row],[iWatch '#]]&amp;"."&amp;CallTb[[#This Row],[Finding Type]])</f>
        <v/>
      </c>
      <c r="U12" s="135" t="str">
        <f ca="1">IFERROR(IF(SEARCH("Attach a copy",CallTb[[#This Row],[iWatch Questions]])=1,"Yes",""),"")</f>
        <v/>
      </c>
      <c r="V12" s="135">
        <f ca="1">IFERROR(VLOOKUP(CallTb[[#This Row],[iWatch '#]],INDIRECT($D$5&amp;"[#All]"),16,FALSE),VLOOKUP(CallTb[[#This Row],[iWatch '#]],INDIRECT($D$5&amp;"_"&amp;$F$5&amp;"[#All]"),16,FALSE))</f>
        <v>0</v>
      </c>
      <c r="W12" s="135"/>
    </row>
    <row r="13" spans="1:26" ht="65">
      <c r="B13" s="135">
        <v>7</v>
      </c>
      <c r="C13" s="297" t="str">
        <f ca="1">IFERROR(INDEX(INDIRECT($D$5&amp;"[#All]"),MATCH(CallTb[[#This Row],[Order]],INDIRECT($D$5&amp;"[[#All],[Call Flow Order]]"),0),1),INDEX(INDIRECT($D$5&amp;"_"&amp;$F$5&amp;"[#All]"),MATCH(CallTb[[#This Row],[Order]],INDIRECT($D$5&amp;"_"&amp;$F$5&amp;"[[#All],[Call Flow Order]]"),0),1))</f>
        <v>GS3.GQ2</v>
      </c>
      <c r="D13" s="298" t="str">
        <f ca="1">IFERROR(VLOOKUP(CallTb[[#This Row],[iWatch '#]],INDIRECT($D$5&amp;"[#All]"),2,FALSE),VLOOKUP(CallTb[[#This Row],[iWatch '#]],INDIRECT($D$5&amp;"_"&amp;$F$5&amp;"[#All]"),2,FALSE))</f>
        <v xml:space="preserve">Does each Front Line Associate ("FLA") use only their own unique Operator ID to process money transfer/money order transactions?
</v>
      </c>
      <c r="E13" s="297" t="str">
        <f ca="1">IFERROR(VLOOKUP(CallTb[[#This Row],[iWatch '#]],INDIRECT($D$5&amp;"[#All]"),13,FALSE),VLOOKUP(CallTb[[#This Row],[iWatch '#]],INDIRECT($D$5&amp;"_"&amp;$F$5&amp;"[#All]"),13,FALSE))</f>
        <v>Disponibilidad de la Localidad</v>
      </c>
      <c r="F13" s="299" t="str">
        <f ca="1">IFERROR(VLOOKUP(CallTb[[#This Row],[iWatch '#]],INDIRECT($D$5&amp;"[#All]"),14,FALSE),VLOOKUP(CallTb[[#This Row],[iWatch '#]],INDIRECT($D$5&amp;"_"&amp;$F$5&amp;"[#All]"),14,FALSE))</f>
        <v>How many operators are authorized to process transactions and Money Orders? Does each operator use a unique user ID and password to process MTs/MOs?</v>
      </c>
      <c r="G13" s="298" t="str">
        <f ca="1">IFERROR(IFERROR(VLOOKUP(CallTb[[#This Row],[iWatch '#]],INDIRECT($D$5&amp;"[#All]"),VLOOKUP(CallTb[[#This Row],[Answer]],Guidance,2,FALSE),FALSE),VLOOKUP(CallTb[[#This Row],[iWatch '#]],INDIRECT($D$5&amp;"_"&amp;$F$5&amp;"[#All]"),VLOOKUP(CallTb[[#This Row],[Answer]],Guidance,2,FALSE),FALSE)),"")</f>
        <v/>
      </c>
      <c r="H13" s="136"/>
      <c r="I13" s="136"/>
      <c r="J13"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13"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13" s="137"/>
      <c r="M13" s="135" t="str">
        <f ca="1">IFERROR("_"&amp;VLOOKUP(CallTb[[#This Row],[iWatch '#]],INDIRECT($D$5&amp;"[#All]"),3,FALSE),"_"&amp;VLOOKUP(CallTb[[#This Row],[iWatch '#]],INDIRECT($D$5&amp;"_"&amp;$F$5&amp;"[#All]"),3,FALSE))</f>
        <v>_3</v>
      </c>
      <c r="N13" s="135" t="str">
        <f ca="1">IF((CallTb[[#This Row],[Answer]]="Yes")+(CallTb[[#This Row],[Answer]]="NA")+((CallTb[[#This Row],[Section]]="")*(CallTb[[#This Row],[Answer]]="No")),"",IFERROR(VLOOKUP(CallTb[[#This Row],[iWatch '#]],INDIRECT($D$5&amp;"[#All]"),17,FALSE),VLOOKUP(CallTb[[#This Row],[iWatch '#]],INDIRECT($D$5&amp;"_"&amp;$F$5&amp;"[#All]"),17,FALSE)))</f>
        <v>A_2A_3</v>
      </c>
      <c r="O13" s="135" cm="1">
        <f t="array" aca="1" ref="O13"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13" s="138" t="s">
        <v>91</v>
      </c>
      <c r="Q13" s="135"/>
      <c r="R13" s="135" t="str" cm="1">
        <f t="array" aca="1" ref="R13"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13" s="135" t="str">
        <f>IF(OR(CallTb[[#This Row],[Answer]]="No_AML",CallTb[[#This Row],[Answer]]="No_CFT",CallTb[[#This Row],[Answer]]="No_AntiFraud",CallTb[[#This Row],[Answer]],CallTb[[#This Row],[Answer]]="No"),CallTb[[#This Row],[Answer]],"")</f>
        <v/>
      </c>
      <c r="T13" s="135" t="str">
        <f>IF(CallTb[[#This Row],[Finding Type]]="","",CallTb[[#This Row],[iWatch '#]]&amp;"."&amp;CallTb[[#This Row],[Finding Type]])</f>
        <v/>
      </c>
      <c r="U13" s="135" t="str">
        <f ca="1">IFERROR(IF(SEARCH("Attach a copy",CallTb[[#This Row],[iWatch Questions]])=1,"Yes",""),"")</f>
        <v/>
      </c>
      <c r="V13" s="135">
        <f ca="1">IFERROR(VLOOKUP(CallTb[[#This Row],[iWatch '#]],INDIRECT($D$5&amp;"[#All]"),16,FALSE),VLOOKUP(CallTb[[#This Row],[iWatch '#]],INDIRECT($D$5&amp;"_"&amp;$F$5&amp;"[#All]"),16,FALSE))</f>
        <v>0</v>
      </c>
      <c r="W13" s="135"/>
    </row>
    <row r="14" spans="1:26" ht="78">
      <c r="B14" s="135">
        <v>8</v>
      </c>
      <c r="C14" s="297" t="str">
        <f ca="1">IFERROR(INDEX(INDIRECT($D$5&amp;"[#All]"),MATCH(CallTb[[#This Row],[Order]],INDIRECT($D$5&amp;"[[#All],[Call Flow Order]]"),0),1),INDEX(INDIRECT($D$5&amp;"_"&amp;$F$5&amp;"[#All]"),MATCH(CallTb[[#This Row],[Order]],INDIRECT($D$5&amp;"_"&amp;$F$5&amp;"[[#All],[Call Flow Order]]"),0),1))</f>
        <v>GS6.GQ1</v>
      </c>
      <c r="D14" s="298" t="str">
        <f ca="1">IFERROR(VLOOKUP(CallTb[[#This Row],[iWatch '#]],INDIRECT($D$5&amp;"[#All]"),2,FALSE),VLOOKUP(CallTb[[#This Row],[iWatch '#]],INDIRECT($D$5&amp;"_"&amp;$F$5&amp;"[#All]"),2,FALSE))</f>
        <v>For Send transactions, is the consumer charged the exact amount (principal plus fees and taxes) listed on the Western Union send receipt?</v>
      </c>
      <c r="E14" s="297" t="str">
        <f ca="1">IFERROR(VLOOKUP(CallTb[[#This Row],[iWatch '#]],INDIRECT($D$5&amp;"[#All]"),13,FALSE),VLOOKUP(CallTb[[#This Row],[iWatch '#]],INDIRECT($D$5&amp;"_"&amp;$F$5&amp;"[#All]"),13,FALSE))</f>
        <v>Protección del Consumidor</v>
      </c>
      <c r="F14" s="299" t="str">
        <f ca="1">IFERROR(VLOOKUP(CallTb[[#This Row],[iWatch '#]],INDIRECT($D$5&amp;"[#All]"),14,FALSE),VLOOKUP(CallTb[[#This Row],[iWatch '#]],INDIRECT($D$5&amp;"_"&amp;$F$5&amp;"[#All]"),14,FALSE))</f>
        <v>How do you know how much to charge for a Send transaction?</v>
      </c>
      <c r="G14" s="298" t="str">
        <f ca="1">IFERROR(IFERROR(VLOOKUP(CallTb[[#This Row],[iWatch '#]],INDIRECT($D$5&amp;"[#All]"),VLOOKUP(CallTb[[#This Row],[Answer]],Guidance,2,FALSE),FALSE),VLOOKUP(CallTb[[#This Row],[iWatch '#]],INDIRECT($D$5&amp;"_"&amp;$F$5&amp;"[#All]"),VLOOKUP(CallTb[[#This Row],[Answer]],Guidance,2,FALSE),FALSE)),"")</f>
        <v/>
      </c>
      <c r="H14" s="136"/>
      <c r="I14" s="136"/>
      <c r="J14"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14"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14" s="137"/>
      <c r="M14" s="135" t="str">
        <f ca="1">IFERROR("_"&amp;VLOOKUP(CallTb[[#This Row],[iWatch '#]],INDIRECT($D$5&amp;"[#All]"),3,FALSE),"_"&amp;VLOOKUP(CallTb[[#This Row],[iWatch '#]],INDIRECT($D$5&amp;"_"&amp;$F$5&amp;"[#All]"),3,FALSE))</f>
        <v>_3</v>
      </c>
      <c r="N14" s="135" t="str">
        <f ca="1">IF((CallTb[[#This Row],[Answer]]="Yes")+(CallTb[[#This Row],[Answer]]="NA")+((CallTb[[#This Row],[Section]]="")*(CallTb[[#This Row],[Answer]]="No")),"",IFERROR(VLOOKUP(CallTb[[#This Row],[iWatch '#]],INDIRECT($D$5&amp;"[#All]"),17,FALSE),VLOOKUP(CallTb[[#This Row],[iWatch '#]],INDIRECT($D$5&amp;"_"&amp;$F$5&amp;"[#All]"),17,FALSE)))</f>
        <v>A_1</v>
      </c>
      <c r="O14" s="135" cm="1">
        <f t="array" aca="1" ref="O14"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14" s="138"/>
      <c r="Q14" s="135"/>
      <c r="R14" s="135" t="str" cm="1">
        <f t="array" aca="1" ref="R14"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14" s="135" t="str">
        <f>IF(OR(CallTb[[#This Row],[Answer]]="No_AML",CallTb[[#This Row],[Answer]]="No_CFT",CallTb[[#This Row],[Answer]]="No_AntiFraud",CallTb[[#This Row],[Answer]],CallTb[[#This Row],[Answer]]="No"),CallTb[[#This Row],[Answer]],"")</f>
        <v/>
      </c>
      <c r="T14" s="135" t="str">
        <f>IF(CallTb[[#This Row],[Finding Type]]="","",CallTb[[#This Row],[iWatch '#]]&amp;"."&amp;CallTb[[#This Row],[Finding Type]])</f>
        <v/>
      </c>
      <c r="U14" s="135" t="str">
        <f ca="1">IFERROR(IF(SEARCH("Attach a copy",CallTb[[#This Row],[iWatch Questions]])=1,"Yes",""),"")</f>
        <v/>
      </c>
      <c r="V14" s="135">
        <f ca="1">IFERROR(VLOOKUP(CallTb[[#This Row],[iWatch '#]],INDIRECT($D$5&amp;"[#All]"),16,FALSE),VLOOKUP(CallTb[[#This Row],[iWatch '#]],INDIRECT($D$5&amp;"_"&amp;$F$5&amp;"[#All]"),16,FALSE))</f>
        <v>0</v>
      </c>
      <c r="W14" s="135"/>
    </row>
    <row r="15" spans="1:26" ht="65">
      <c r="B15" s="135">
        <v>9</v>
      </c>
      <c r="C15" s="297" t="str">
        <f ca="1">IFERROR(INDEX(INDIRECT($D$5&amp;"[#All]"),MATCH(CallTb[[#This Row],[Order]],INDIRECT($D$5&amp;"[[#All],[Call Flow Order]]"),0),1),INDEX(INDIRECT($D$5&amp;"_"&amp;$F$5&amp;"[#All]"),MATCH(CallTb[[#This Row],[Order]],INDIRECT($D$5&amp;"_"&amp;$F$5&amp;"[[#All],[Call Flow Order]]"),0),1))</f>
        <v>GS6.GQ2</v>
      </c>
      <c r="D15" s="298" t="str">
        <f ca="1">IFERROR(VLOOKUP(CallTb[[#This Row],[iWatch '#]],INDIRECT($D$5&amp;"[#All]"),2,FALSE),VLOOKUP(CallTb[[#This Row],[iWatch '#]],INDIRECT($D$5&amp;"_"&amp;$F$5&amp;"[#All]"),2,FALSE))</f>
        <v xml:space="preserve">For Receive (payout) transactions, does the consumer receive the exact payout amount as listed on the Western Union receive receipt? </v>
      </c>
      <c r="E15" s="297" t="str">
        <f ca="1">IFERROR(VLOOKUP(CallTb[[#This Row],[iWatch '#]],INDIRECT($D$5&amp;"[#All]"),13,FALSE),VLOOKUP(CallTb[[#This Row],[iWatch '#]],INDIRECT($D$5&amp;"_"&amp;$F$5&amp;"[#All]"),13,FALSE))</f>
        <v>Protección del Consumidor</v>
      </c>
      <c r="F15" s="299" t="str">
        <f ca="1">IFERROR(VLOOKUP(CallTb[[#This Row],[iWatch '#]],INDIRECT($D$5&amp;"[#All]"),14,FALSE),VLOOKUP(CallTb[[#This Row],[iWatch '#]],INDIRECT($D$5&amp;"_"&amp;$F$5&amp;"[#All]"),14,FALSE))</f>
        <v>How do you know how much to charge for a Receive/payout transaction?</v>
      </c>
      <c r="G15" s="298" t="str">
        <f ca="1">IFERROR(IFERROR(VLOOKUP(CallTb[[#This Row],[iWatch '#]],INDIRECT($D$5&amp;"[#All]"),VLOOKUP(CallTb[[#This Row],[Answer]],Guidance,2,FALSE),FALSE),VLOOKUP(CallTb[[#This Row],[iWatch '#]],INDIRECT($D$5&amp;"_"&amp;$F$5&amp;"[#All]"),VLOOKUP(CallTb[[#This Row],[Answer]],Guidance,2,FALSE),FALSE)),"")</f>
        <v/>
      </c>
      <c r="H15" s="136"/>
      <c r="I15" s="136"/>
      <c r="J15"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15"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15" s="137"/>
      <c r="M15" s="135" t="str">
        <f ca="1">IFERROR("_"&amp;VLOOKUP(CallTb[[#This Row],[iWatch '#]],INDIRECT($D$5&amp;"[#All]"),3,FALSE),"_"&amp;VLOOKUP(CallTb[[#This Row],[iWatch '#]],INDIRECT($D$5&amp;"_"&amp;$F$5&amp;"[#All]"),3,FALSE))</f>
        <v>_3</v>
      </c>
      <c r="N15" s="135" t="str">
        <f ca="1">IF((CallTb[[#This Row],[Answer]]="Yes")+(CallTb[[#This Row],[Answer]]="NA")+((CallTb[[#This Row],[Section]]="")*(CallTb[[#This Row],[Answer]]="No")),"",IFERROR(VLOOKUP(CallTb[[#This Row],[iWatch '#]],INDIRECT($D$5&amp;"[#All]"),17,FALSE),VLOOKUP(CallTb[[#This Row],[iWatch '#]],INDIRECT($D$5&amp;"_"&amp;$F$5&amp;"[#All]"),17,FALSE)))</f>
        <v>A_1</v>
      </c>
      <c r="O15" s="135" cm="1">
        <f t="array" aca="1" ref="O15"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15" s="138"/>
      <c r="Q15" s="135"/>
      <c r="R15" s="135" t="str" cm="1">
        <f t="array" aca="1" ref="R15"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15" s="135" t="str">
        <f>IF(OR(CallTb[[#This Row],[Answer]]="No_AML",CallTb[[#This Row],[Answer]]="No_CFT",CallTb[[#This Row],[Answer]]="No_AntiFraud",CallTb[[#This Row],[Answer]],CallTb[[#This Row],[Answer]]="No"),CallTb[[#This Row],[Answer]],"")</f>
        <v/>
      </c>
      <c r="T15" s="135" t="str">
        <f>IF(CallTb[[#This Row],[Finding Type]]="","",CallTb[[#This Row],[iWatch '#]]&amp;"."&amp;CallTb[[#This Row],[Finding Type]])</f>
        <v/>
      </c>
      <c r="U15" s="135" t="str">
        <f ca="1">IFERROR(IF(SEARCH("Attach a copy",CallTb[[#This Row],[iWatch Questions]])=1,"Yes",""),"")</f>
        <v/>
      </c>
      <c r="V15" s="135">
        <f ca="1">IFERROR(VLOOKUP(CallTb[[#This Row],[iWatch '#]],INDIRECT($D$5&amp;"[#All]"),16,FALSE),VLOOKUP(CallTb[[#This Row],[iWatch '#]],INDIRECT($D$5&amp;"_"&amp;$F$5&amp;"[#All]"),16,FALSE))</f>
        <v>0</v>
      </c>
      <c r="W15" s="135"/>
    </row>
    <row r="16" spans="1:26" ht="52">
      <c r="B16" s="135">
        <v>10</v>
      </c>
      <c r="C16" s="297" t="str">
        <f ca="1">IFERROR(INDEX(INDIRECT($D$5&amp;"[#All]"),MATCH(CallTb[[#This Row],[Order]],INDIRECT($D$5&amp;"[[#All],[Call Flow Order]]"),0),1),INDEX(INDIRECT($D$5&amp;"_"&amp;$F$5&amp;"[#All]"),MATCH(CallTb[[#This Row],[Order]],INDIRECT($D$5&amp;"_"&amp;$F$5&amp;"[[#All],[Call Flow Order]]"),0),1))</f>
        <v>GS5.GQ7</v>
      </c>
      <c r="D16" s="298" t="str">
        <f ca="1">IFERROR(VLOOKUP(CallTb[[#This Row],[iWatch '#]],INDIRECT($D$5&amp;"[#All]"),2,FALSE),VLOOKUP(CallTb[[#This Row],[iWatch '#]],INDIRECT($D$5&amp;"_"&amp;$F$5&amp;"[#All]"),2,FALSE))</f>
        <v xml:space="preserve">Do FLAs ensure that consumers complete and/or sign all transaction forms/receipts, as applicable?
</v>
      </c>
      <c r="E16" s="297" t="str">
        <f ca="1">IFERROR(VLOOKUP(CallTb[[#This Row],[iWatch '#]],INDIRECT($D$5&amp;"[#All]"),13,FALSE),VLOOKUP(CallTb[[#This Row],[iWatch '#]],INDIRECT($D$5&amp;"_"&amp;$F$5&amp;"[#All]"),13,FALSE))</f>
        <v>Requisitos de KYC</v>
      </c>
      <c r="F16" s="299" t="str">
        <f ca="1">IFERROR(VLOOKUP(CallTb[[#This Row],[iWatch '#]],INDIRECT($D$5&amp;"[#All]"),14,FALSE),VLOOKUP(CallTb[[#This Row],[iWatch '#]],INDIRECT($D$5&amp;"_"&amp;$F$5&amp;"[#All]"),14,FALSE))</f>
        <v>If agent is NOT formless:
1) Who fill in the forms?
2) Do you ever help the customer fill in the forms?
3) At the end of the transactions, who sign the receipts?</v>
      </c>
      <c r="G16" s="298" t="str">
        <f ca="1">IFERROR(IFERROR(VLOOKUP(CallTb[[#This Row],[iWatch '#]],INDIRECT($D$5&amp;"[#All]"),VLOOKUP(CallTb[[#This Row],[Answer]],Guidance,2,FALSE),FALSE),VLOOKUP(CallTb[[#This Row],[iWatch '#]],INDIRECT($D$5&amp;"_"&amp;$F$5&amp;"[#All]"),VLOOKUP(CallTb[[#This Row],[Answer]],Guidance,2,FALSE),FALSE)),"")</f>
        <v/>
      </c>
      <c r="H16" s="136"/>
      <c r="I16" s="136"/>
      <c r="J16"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16"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16" s="137"/>
      <c r="M16" s="135" t="str">
        <f ca="1">IFERROR("_"&amp;VLOOKUP(CallTb[[#This Row],[iWatch '#]],INDIRECT($D$5&amp;"[#All]"),3,FALSE),"_"&amp;VLOOKUP(CallTb[[#This Row],[iWatch '#]],INDIRECT($D$5&amp;"_"&amp;$F$5&amp;"[#All]"),3,FALSE))</f>
        <v>_3</v>
      </c>
      <c r="N16" s="135" t="str">
        <f ca="1">IF((CallTb[[#This Row],[Answer]]="Yes")+(CallTb[[#This Row],[Answer]]="NA")+((CallTb[[#This Row],[Section]]="")*(CallTb[[#This Row],[Answer]]="No")),"",IFERROR(VLOOKUP(CallTb[[#This Row],[iWatch '#]],INDIRECT($D$5&amp;"[#All]"),17,FALSE),VLOOKUP(CallTb[[#This Row],[iWatch '#]],INDIRECT($D$5&amp;"_"&amp;$F$5&amp;"[#All]"),17,FALSE)))</f>
        <v>A_1A_2A_3</v>
      </c>
      <c r="O16" s="135" cm="1">
        <f t="array" aca="1" ref="O16"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16" s="138"/>
      <c r="Q16" s="135"/>
      <c r="R16" s="135" t="str" cm="1">
        <f t="array" aca="1" ref="R16"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EFRAL</v>
      </c>
      <c r="S16" s="135" t="str">
        <f>IF(OR(CallTb[[#This Row],[Answer]]="No_AML",CallTb[[#This Row],[Answer]]="No_CFT",CallTb[[#This Row],[Answer]]="No_AntiFraud",CallTb[[#This Row],[Answer]],CallTb[[#This Row],[Answer]]="No"),CallTb[[#This Row],[Answer]],"")</f>
        <v/>
      </c>
      <c r="T16" s="135" t="str">
        <f>IF(CallTb[[#This Row],[Finding Type]]="","",CallTb[[#This Row],[iWatch '#]]&amp;"."&amp;CallTb[[#This Row],[Finding Type]])</f>
        <v/>
      </c>
      <c r="U16" s="135" t="str">
        <f ca="1">IFERROR(IF(SEARCH("Attach a copy",CallTb[[#This Row],[iWatch Questions]])=1,"Yes",""),"")</f>
        <v/>
      </c>
      <c r="V16" s="135">
        <f ca="1">IFERROR(VLOOKUP(CallTb[[#This Row],[iWatch '#]],INDIRECT($D$5&amp;"[#All]"),16,FALSE),VLOOKUP(CallTb[[#This Row],[iWatch '#]],INDIRECT($D$5&amp;"_"&amp;$F$5&amp;"[#All]"),16,FALSE))</f>
        <v>0</v>
      </c>
      <c r="W16" s="135"/>
    </row>
    <row r="17" spans="2:23" ht="39">
      <c r="B17" s="135">
        <v>11</v>
      </c>
      <c r="C17" s="297" t="str">
        <f ca="1">IFERROR(INDEX(INDIRECT($D$5&amp;"[#All]"),MATCH(CallTb[[#This Row],[Order]],INDIRECT($D$5&amp;"[[#All],[Call Flow Order]]"),0),1),INDEX(INDIRECT($D$5&amp;"_"&amp;$F$5&amp;"[#All]"),MATCH(CallTb[[#This Row],[Order]],INDIRECT($D$5&amp;"_"&amp;$F$5&amp;"[[#All],[Call Flow Order]]"),0),1))</f>
        <v>GS8.GQ1</v>
      </c>
      <c r="D17" s="298" t="str">
        <f ca="1">IFERROR(VLOOKUP(CallTb[[#This Row],[iWatch '#]],INDIRECT($D$5&amp;"[#All]"),2,FALSE),VLOOKUP(CallTb[[#This Row],[iWatch '#]],INDIRECT($D$5&amp;"_"&amp;$F$5&amp;"[#All]"),2,FALSE))</f>
        <v>Does the Agent comply with retention period requirements for paper records (i.e., receipts) under local regulation or according to WU standards, whichever is more stringent?</v>
      </c>
      <c r="E17" s="297" t="str">
        <f ca="1">IFERROR(VLOOKUP(CallTb[[#This Row],[iWatch '#]],INDIRECT($D$5&amp;"[#All]"),13,FALSE),VLOOKUP(CallTb[[#This Row],[iWatch '#]],INDIRECT($D$5&amp;"_"&amp;$F$5&amp;"[#All]"),13,FALSE))</f>
        <v>Conservación de Registros</v>
      </c>
      <c r="F17" s="299" t="str">
        <f ca="1">IFERROR(VLOOKUP(CallTb[[#This Row],[iWatch '#]],INDIRECT($D$5&amp;"[#All]"),14,FALSE),VLOOKUP(CallTb[[#This Row],[iWatch '#]],INDIRECT($D$5&amp;"_"&amp;$F$5&amp;"[#All]"),14,FALSE))</f>
        <v>1) For how long do you keep documents at the store? (Forms and/or Compliance Documents)</v>
      </c>
      <c r="G17" s="298" t="str">
        <f ca="1">IFERROR(IFERROR(VLOOKUP(CallTb[[#This Row],[iWatch '#]],INDIRECT($D$5&amp;"[#All]"),VLOOKUP(CallTb[[#This Row],[Answer]],Guidance,2,FALSE),FALSE),VLOOKUP(CallTb[[#This Row],[iWatch '#]],INDIRECT($D$5&amp;"_"&amp;$F$5&amp;"[#All]"),VLOOKUP(CallTb[[#This Row],[Answer]],Guidance,2,FALSE),FALSE)),"")</f>
        <v/>
      </c>
      <c r="H17" s="136"/>
      <c r="I17" s="136"/>
      <c r="J17"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17"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17" s="137"/>
      <c r="M17" s="135" t="str">
        <f ca="1">IFERROR("_"&amp;VLOOKUP(CallTb[[#This Row],[iWatch '#]],INDIRECT($D$5&amp;"[#All]"),3,FALSE),"_"&amp;VLOOKUP(CallTb[[#This Row],[iWatch '#]],INDIRECT($D$5&amp;"_"&amp;$F$5&amp;"[#All]"),3,FALSE))</f>
        <v>_3</v>
      </c>
      <c r="N17" s="135" t="str">
        <f ca="1">IF((CallTb[[#This Row],[Answer]]="Yes")+(CallTb[[#This Row],[Answer]]="NA")+((CallTb[[#This Row],[Section]]="")*(CallTb[[#This Row],[Answer]]="No")),"",IFERROR(VLOOKUP(CallTb[[#This Row],[iWatch '#]],INDIRECT($D$5&amp;"[#All]"),17,FALSE),VLOOKUP(CallTb[[#This Row],[iWatch '#]],INDIRECT($D$5&amp;"_"&amp;$F$5&amp;"[#All]"),17,FALSE)))</f>
        <v>A_1A_2</v>
      </c>
      <c r="O17" s="135" cm="1">
        <f t="array" aca="1" ref="O17"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17" s="138"/>
      <c r="Q17" s="135"/>
      <c r="R17" s="135" t="str" cm="1">
        <f t="array" aca="1" ref="R17"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17" s="135" t="str">
        <f>IF(OR(CallTb[[#This Row],[Answer]]="No_AML",CallTb[[#This Row],[Answer]]="No_CFT",CallTb[[#This Row],[Answer]]="No_AntiFraud",CallTb[[#This Row],[Answer]],CallTb[[#This Row],[Answer]]="No"),CallTb[[#This Row],[Answer]],"")</f>
        <v/>
      </c>
      <c r="T17" s="135" t="str">
        <f>IF(CallTb[[#This Row],[Finding Type]]="","",CallTb[[#This Row],[iWatch '#]]&amp;"."&amp;CallTb[[#This Row],[Finding Type]])</f>
        <v/>
      </c>
      <c r="U17" s="135" t="str">
        <f ca="1">IFERROR(IF(SEARCH("Attach a copy",CallTb[[#This Row],[iWatch Questions]])=1,"Yes",""),"")</f>
        <v/>
      </c>
      <c r="V17" s="135">
        <f ca="1">IFERROR(VLOOKUP(CallTb[[#This Row],[iWatch '#]],INDIRECT($D$5&amp;"[#All]"),16,FALSE),VLOOKUP(CallTb[[#This Row],[iWatch '#]],INDIRECT($D$5&amp;"_"&amp;$F$5&amp;"[#All]"),16,FALSE))</f>
        <v>0</v>
      </c>
      <c r="W17" s="135"/>
    </row>
    <row r="18" spans="2:23" ht="26">
      <c r="B18" s="135">
        <v>12</v>
      </c>
      <c r="C18" s="297" t="str">
        <f ca="1">IFERROR(INDEX(INDIRECT($D$5&amp;"[#All]"),MATCH(CallTb[[#This Row],[Order]],INDIRECT($D$5&amp;"[[#All],[Call Flow Order]]"),0),1),INDEX(INDIRECT($D$5&amp;"_"&amp;$F$5&amp;"[#All]"),MATCH(CallTb[[#This Row],[Order]],INDIRECT($D$5&amp;"_"&amp;$F$5&amp;"[[#All],[Call Flow Order]]"),0),1))</f>
        <v>GS8.GQ4</v>
      </c>
      <c r="D18" s="298" t="str">
        <f ca="1">IFERROR(VLOOKUP(CallTb[[#This Row],[iWatch '#]],INDIRECT($D$5&amp;"[#All]"),2,FALSE),VLOOKUP(CallTb[[#This Row],[iWatch '#]],INDIRECT($D$5&amp;"_"&amp;$F$5&amp;"[#All]"),2,FALSE))</f>
        <v>Does the location store all physical  records (e.g., MT records, Money Order Logs, KYC Forms) in a safe and secured place?</v>
      </c>
      <c r="E18" s="297" t="str">
        <f ca="1">IFERROR(VLOOKUP(CallTb[[#This Row],[iWatch '#]],INDIRECT($D$5&amp;"[#All]"),13,FALSE),VLOOKUP(CallTb[[#This Row],[iWatch '#]],INDIRECT($D$5&amp;"_"&amp;$F$5&amp;"[#All]"),13,FALSE))</f>
        <v>Conservación de Registros</v>
      </c>
      <c r="F18" s="299" t="str">
        <f ca="1">IFERROR(VLOOKUP(CallTb[[#This Row],[iWatch '#]],INDIRECT($D$5&amp;"[#All]"),14,FALSE),VLOOKUP(CallTb[[#This Row],[iWatch '#]],INDIRECT($D$5&amp;"_"&amp;$F$5&amp;"[#All]"),14,FALSE))</f>
        <v>1) Where do you keep the Western Union records?</v>
      </c>
      <c r="G18" s="298" t="str">
        <f ca="1">IFERROR(IFERROR(VLOOKUP(CallTb[[#This Row],[iWatch '#]],INDIRECT($D$5&amp;"[#All]"),VLOOKUP(CallTb[[#This Row],[Answer]],Guidance,2,FALSE),FALSE),VLOOKUP(CallTb[[#This Row],[iWatch '#]],INDIRECT($D$5&amp;"_"&amp;$F$5&amp;"[#All]"),VLOOKUP(CallTb[[#This Row],[Answer]],Guidance,2,FALSE),FALSE)),"")</f>
        <v/>
      </c>
      <c r="H18" s="136"/>
      <c r="I18" s="136"/>
      <c r="J18"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18"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18" s="137"/>
      <c r="M18" s="135" t="str">
        <f ca="1">IFERROR("_"&amp;VLOOKUP(CallTb[[#This Row],[iWatch '#]],INDIRECT($D$5&amp;"[#All]"),3,FALSE),"_"&amp;VLOOKUP(CallTb[[#This Row],[iWatch '#]],INDIRECT($D$5&amp;"_"&amp;$F$5&amp;"[#All]"),3,FALSE))</f>
        <v>_3</v>
      </c>
      <c r="N18" s="135" t="str">
        <f ca="1">IF((CallTb[[#This Row],[Answer]]="Yes")+(CallTb[[#This Row],[Answer]]="NA")+((CallTb[[#This Row],[Section]]="")*(CallTb[[#This Row],[Answer]]="No")),"",IFERROR(VLOOKUP(CallTb[[#This Row],[iWatch '#]],INDIRECT($D$5&amp;"[#All]"),17,FALSE),VLOOKUP(CallTb[[#This Row],[iWatch '#]],INDIRECT($D$5&amp;"_"&amp;$F$5&amp;"[#All]"),17,FALSE)))</f>
        <v>A_1A_2</v>
      </c>
      <c r="O18" s="135" cm="1">
        <f t="array" aca="1" ref="O18"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18" s="138"/>
      <c r="Q18" s="135"/>
      <c r="R18" s="135" t="str" cm="1">
        <f t="array" aca="1" ref="R18"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18" s="135" t="str">
        <f>IF(OR(CallTb[[#This Row],[Answer]]="No_AML",CallTb[[#This Row],[Answer]]="No_CFT",CallTb[[#This Row],[Answer]]="No_AntiFraud",CallTb[[#This Row],[Answer]],CallTb[[#This Row],[Answer]]="No"),CallTb[[#This Row],[Answer]],"")</f>
        <v/>
      </c>
      <c r="T18" s="135" t="str">
        <f>IF(CallTb[[#This Row],[Finding Type]]="","",CallTb[[#This Row],[iWatch '#]]&amp;"."&amp;CallTb[[#This Row],[Finding Type]])</f>
        <v/>
      </c>
      <c r="U18" s="135" t="str">
        <f ca="1">IFERROR(IF(SEARCH("Attach a copy",CallTb[[#This Row],[iWatch Questions]])=1,"Yes",""),"")</f>
        <v/>
      </c>
      <c r="V18" s="135">
        <f ca="1">IFERROR(VLOOKUP(CallTb[[#This Row],[iWatch '#]],INDIRECT($D$5&amp;"[#All]"),16,FALSE),VLOOKUP(CallTb[[#This Row],[iWatch '#]],INDIRECT($D$5&amp;"_"&amp;$F$5&amp;"[#All]"),16,FALSE))</f>
        <v>0</v>
      </c>
      <c r="W18" s="135"/>
    </row>
    <row r="19" spans="2:23" ht="52">
      <c r="B19" s="135">
        <v>13</v>
      </c>
      <c r="C19" s="297" t="str">
        <f ca="1">IFERROR(INDEX(INDIRECT($D$5&amp;"[#All]"),MATCH(CallTb[[#This Row],[Order]],INDIRECT($D$5&amp;"[[#All],[Call Flow Order]]"),0),1),INDEX(INDIRECT($D$5&amp;"_"&amp;$F$5&amp;"[#All]"),MATCH(CallTb[[#This Row],[Order]],INDIRECT($D$5&amp;"_"&amp;$F$5&amp;"[[#All],[Call Flow Order]]"),0),1))</f>
        <v>GS8.GQ3</v>
      </c>
      <c r="D19" s="298" t="str">
        <f ca="1">IFERROR(VLOOKUP(CallTb[[#This Row],[iWatch '#]],INDIRECT($D$5&amp;"[#All]"),2,FALSE),VLOOKUP(CallTb[[#This Row],[iWatch '#]],INDIRECT($D$5&amp;"_"&amp;$F$5&amp;"[#All]"),2,FALSE))</f>
        <v>Is the Location able to produce clear copies of transaction documents, either for the required retention period or for the period between the date of the review and the last dispatch to the centralized storage?</v>
      </c>
      <c r="E19" s="297" t="str">
        <f ca="1">IFERROR(VLOOKUP(CallTb[[#This Row],[iWatch '#]],INDIRECT($D$5&amp;"[#All]"),13,FALSE),VLOOKUP(CallTb[[#This Row],[iWatch '#]],INDIRECT($D$5&amp;"_"&amp;$F$5&amp;"[#All]"),13,FALSE))</f>
        <v>Conservación de Registros</v>
      </c>
      <c r="F19" s="299" t="str">
        <f ca="1">IFERROR(VLOOKUP(CallTb[[#This Row],[iWatch '#]],INDIRECT($D$5&amp;"[#All]"),14,FALSE),VLOOKUP(CallTb[[#This Row],[iWatch '#]],INDIRECT($D$5&amp;"_"&amp;$F$5&amp;"[#All]"),14,FALSE))</f>
        <v>If I asked you to find and retrieve receipts from (four months ago), would you be able to provide them?</v>
      </c>
      <c r="G19" s="298" t="str">
        <f ca="1">IFERROR(IFERROR(VLOOKUP(CallTb[[#This Row],[iWatch '#]],INDIRECT($D$5&amp;"[#All]"),VLOOKUP(CallTb[[#This Row],[Answer]],Guidance,2,FALSE),FALSE),VLOOKUP(CallTb[[#This Row],[iWatch '#]],INDIRECT($D$5&amp;"_"&amp;$F$5&amp;"[#All]"),VLOOKUP(CallTb[[#This Row],[Answer]],Guidance,2,FALSE),FALSE)),"")</f>
        <v/>
      </c>
      <c r="H19" s="136"/>
      <c r="I19" s="136"/>
      <c r="J19"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19"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19" s="137"/>
      <c r="M19" s="135" t="str">
        <f ca="1">IFERROR("_"&amp;VLOOKUP(CallTb[[#This Row],[iWatch '#]],INDIRECT($D$5&amp;"[#All]"),3,FALSE),"_"&amp;VLOOKUP(CallTb[[#This Row],[iWatch '#]],INDIRECT($D$5&amp;"_"&amp;$F$5&amp;"[#All]"),3,FALSE))</f>
        <v>_2</v>
      </c>
      <c r="N19" s="135" t="str">
        <f ca="1">IF((CallTb[[#This Row],[Answer]]="Yes")+(CallTb[[#This Row],[Answer]]="NA")+((CallTb[[#This Row],[Section]]="")*(CallTb[[#This Row],[Answer]]="No")),"",IFERROR(VLOOKUP(CallTb[[#This Row],[iWatch '#]],INDIRECT($D$5&amp;"[#All]"),17,FALSE),VLOOKUP(CallTb[[#This Row],[iWatch '#]],INDIRECT($D$5&amp;"_"&amp;$F$5&amp;"[#All]"),17,FALSE)))</f>
        <v>A_1A_2</v>
      </c>
      <c r="O19" s="135" cm="1">
        <f t="array" aca="1" ref="O19"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19" s="138"/>
      <c r="Q19" s="135"/>
      <c r="R19" s="135" t="str" cm="1">
        <f t="array" aca="1" ref="R19"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19" s="135" t="str">
        <f>IF(OR(CallTb[[#This Row],[Answer]]="No_AML",CallTb[[#This Row],[Answer]]="No_CFT",CallTb[[#This Row],[Answer]]="No_AntiFraud",CallTb[[#This Row],[Answer]],CallTb[[#This Row],[Answer]]="No"),CallTb[[#This Row],[Answer]],"")</f>
        <v/>
      </c>
      <c r="T19" s="135" t="str">
        <f>IF(CallTb[[#This Row],[Finding Type]]="","",CallTb[[#This Row],[iWatch '#]]&amp;"."&amp;CallTb[[#This Row],[Finding Type]])</f>
        <v/>
      </c>
      <c r="U19" s="135" t="str">
        <f ca="1">IFERROR(IF(SEARCH("Attach a copy",CallTb[[#This Row],[iWatch Questions]])=1,"Yes",""),"")</f>
        <v/>
      </c>
      <c r="V19" s="135">
        <f ca="1">IFERROR(VLOOKUP(CallTb[[#This Row],[iWatch '#]],INDIRECT($D$5&amp;"[#All]"),16,FALSE),VLOOKUP(CallTb[[#This Row],[iWatch '#]],INDIRECT($D$5&amp;"_"&amp;$F$5&amp;"[#All]"),16,FALSE))</f>
        <v>0</v>
      </c>
      <c r="W19" s="135"/>
    </row>
    <row r="20" spans="2:23" ht="39">
      <c r="B20" s="135">
        <v>14</v>
      </c>
      <c r="C20" s="297" t="str">
        <f ca="1">IFERROR(INDEX(INDIRECT($D$5&amp;"[#All]"),MATCH(CallTb[[#This Row],[Order]],INDIRECT($D$5&amp;"[[#All],[Call Flow Order]]"),0),1),INDEX(INDIRECT($D$5&amp;"_"&amp;$F$5&amp;"[#All]"),MATCH(CallTb[[#This Row],[Order]],INDIRECT($D$5&amp;"_"&amp;$F$5&amp;"[[#All],[Call Flow Order]]"),0),1))</f>
        <v>GS8.GQ2</v>
      </c>
      <c r="D20" s="298" t="str">
        <f ca="1">IFERROR(VLOOKUP(CallTb[[#This Row],[iWatch '#]],INDIRECT($D$5&amp;"[#All]"),2,FALSE),VLOOKUP(CallTb[[#This Row],[iWatch '#]],INDIRECT($D$5&amp;"_"&amp;$F$5&amp;"[#All]"),2,FALSE))</f>
        <v>Does the Agent securely dispose of all paper records after the retention period is reached (i.e., shredding)?</v>
      </c>
      <c r="E20" s="297" t="str">
        <f ca="1">IFERROR(VLOOKUP(CallTb[[#This Row],[iWatch '#]],INDIRECT($D$5&amp;"[#All]"),13,FALSE),VLOOKUP(CallTb[[#This Row],[iWatch '#]],INDIRECT($D$5&amp;"_"&amp;$F$5&amp;"[#All]"),13,FALSE))</f>
        <v>Conservación de Registros</v>
      </c>
      <c r="F20" s="299" t="str">
        <f ca="1">IFERROR(VLOOKUP(CallTb[[#This Row],[iWatch '#]],INDIRECT($D$5&amp;"[#All]"),14,FALSE),VLOOKUP(CallTb[[#This Row],[iWatch '#]],INDIRECT($D$5&amp;"_"&amp;$F$5&amp;"[#All]"),14,FALSE))</f>
        <v xml:space="preserve">Once the documents reach the required retention period, what do you do with them? How do you get rid of the AML documents? </v>
      </c>
      <c r="G20" s="298" t="str">
        <f ca="1">IFERROR(IFERROR(VLOOKUP(CallTb[[#This Row],[iWatch '#]],INDIRECT($D$5&amp;"[#All]"),VLOOKUP(CallTb[[#This Row],[Answer]],Guidance,2,FALSE),FALSE),VLOOKUP(CallTb[[#This Row],[iWatch '#]],INDIRECT($D$5&amp;"_"&amp;$F$5&amp;"[#All]"),VLOOKUP(CallTb[[#This Row],[Answer]],Guidance,2,FALSE),FALSE)),"")</f>
        <v/>
      </c>
      <c r="H20" s="136"/>
      <c r="I20" s="136"/>
      <c r="J20"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20"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20" s="137"/>
      <c r="M20" s="135" t="str">
        <f ca="1">IFERROR("_"&amp;VLOOKUP(CallTb[[#This Row],[iWatch '#]],INDIRECT($D$5&amp;"[#All]"),3,FALSE),"_"&amp;VLOOKUP(CallTb[[#This Row],[iWatch '#]],INDIRECT($D$5&amp;"_"&amp;$F$5&amp;"[#All]"),3,FALSE))</f>
        <v>_3</v>
      </c>
      <c r="N20" s="135" t="str">
        <f ca="1">IF((CallTb[[#This Row],[Answer]]="Yes")+(CallTb[[#This Row],[Answer]]="NA")+((CallTb[[#This Row],[Section]]="")*(CallTb[[#This Row],[Answer]]="No")),"",IFERROR(VLOOKUP(CallTb[[#This Row],[iWatch '#]],INDIRECT($D$5&amp;"[#All]"),17,FALSE),VLOOKUP(CallTb[[#This Row],[iWatch '#]],INDIRECT($D$5&amp;"_"&amp;$F$5&amp;"[#All]"),17,FALSE)))</f>
        <v>A_1A_2</v>
      </c>
      <c r="O20" s="135" cm="1">
        <f t="array" aca="1" ref="O20"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20" s="138"/>
      <c r="Q20" s="135"/>
      <c r="R20" s="135" t="str" cm="1">
        <f t="array" aca="1" ref="R20"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20" s="135" t="str">
        <f>IF(OR(CallTb[[#This Row],[Answer]]="No_AML",CallTb[[#This Row],[Answer]]="No_CFT",CallTb[[#This Row],[Answer]]="No_AntiFraud",CallTb[[#This Row],[Answer]],CallTb[[#This Row],[Answer]]="No"),CallTb[[#This Row],[Answer]],"")</f>
        <v/>
      </c>
      <c r="T20" s="135" t="str">
        <f>IF(CallTb[[#This Row],[Finding Type]]="","",CallTb[[#This Row],[iWatch '#]]&amp;"."&amp;CallTb[[#This Row],[Finding Type]])</f>
        <v/>
      </c>
      <c r="U20" s="135" t="str">
        <f ca="1">IFERROR(IF(SEARCH("Attach a copy",CallTb[[#This Row],[iWatch Questions]])=1,"Yes",""),"")</f>
        <v/>
      </c>
      <c r="V20" s="135">
        <f ca="1">IFERROR(VLOOKUP(CallTb[[#This Row],[iWatch '#]],INDIRECT($D$5&amp;"[#All]"),16,FALSE),VLOOKUP(CallTb[[#This Row],[iWatch '#]],INDIRECT($D$5&amp;"_"&amp;$F$5&amp;"[#All]"),16,FALSE))</f>
        <v>0</v>
      </c>
      <c r="W20" s="135"/>
    </row>
    <row r="21" spans="2:23" ht="39">
      <c r="B21" s="135">
        <v>15</v>
      </c>
      <c r="C21" s="297" t="str">
        <f ca="1">IFERROR(INDEX(INDIRECT($D$5&amp;"[#All]"),MATCH(CallTb[[#This Row],[Order]],INDIRECT($D$5&amp;"[[#All],[Call Flow Order]]"),0),1),INDEX(INDIRECT($D$5&amp;"_"&amp;$F$5&amp;"[#All]"),MATCH(CallTb[[#This Row],[Order]],INDIRECT($D$5&amp;"_"&amp;$F$5&amp;"[[#All],[Call Flow Order]]"),0),1))</f>
        <v>GS8.GQ5</v>
      </c>
      <c r="D21" s="298" t="str">
        <f ca="1">IFERROR(VLOOKUP(CallTb[[#This Row],[iWatch '#]],INDIRECT($D$5&amp;"[#All]"),2,FALSE),VLOOKUP(CallTb[[#This Row],[iWatch '#]],INDIRECT($D$5&amp;"_"&amp;$F$5&amp;"[#All]"),2,FALSE))</f>
        <v>Does the Agent delete electronic records after the retention period is reached?</v>
      </c>
      <c r="E21" s="297" t="str">
        <f ca="1">IFERROR(VLOOKUP(CallTb[[#This Row],[iWatch '#]],INDIRECT($D$5&amp;"[#All]"),13,FALSE),VLOOKUP(CallTb[[#This Row],[iWatch '#]],INDIRECT($D$5&amp;"_"&amp;$F$5&amp;"[#All]"),13,FALSE))</f>
        <v>Conservación de Registros</v>
      </c>
      <c r="F21" s="299" t="str">
        <f ca="1">IFERROR(VLOOKUP(CallTb[[#This Row],[iWatch '#]],INDIRECT($D$5&amp;"[#All]"),14,FALSE),VLOOKUP(CallTb[[#This Row],[iWatch '#]],INDIRECT($D$5&amp;"_"&amp;$F$5&amp;"[#All]"),14,FALSE))</f>
        <v>Once the electronic records reach the required retention period, what do you do with them?</v>
      </c>
      <c r="G21" s="298" t="str">
        <f ca="1">IFERROR(IFERROR(VLOOKUP(CallTb[[#This Row],[iWatch '#]],INDIRECT($D$5&amp;"[#All]"),VLOOKUP(CallTb[[#This Row],[Answer]],Guidance,2,FALSE),FALSE),VLOOKUP(CallTb[[#This Row],[iWatch '#]],INDIRECT($D$5&amp;"_"&amp;$F$5&amp;"[#All]"),VLOOKUP(CallTb[[#This Row],[Answer]],Guidance,2,FALSE),FALSE)),"")</f>
        <v/>
      </c>
      <c r="H21" s="136"/>
      <c r="I21" s="136"/>
      <c r="J21"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21"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21" s="137"/>
      <c r="M21" s="135" t="str">
        <f ca="1">IFERROR("_"&amp;VLOOKUP(CallTb[[#This Row],[iWatch '#]],INDIRECT($D$5&amp;"[#All]"),3,FALSE),"_"&amp;VLOOKUP(CallTb[[#This Row],[iWatch '#]],INDIRECT($D$5&amp;"_"&amp;$F$5&amp;"[#All]"),3,FALSE))</f>
        <v>_3</v>
      </c>
      <c r="N21" s="135" t="str">
        <f ca="1">IF((CallTb[[#This Row],[Answer]]="Yes")+(CallTb[[#This Row],[Answer]]="NA")+((CallTb[[#This Row],[Section]]="")*(CallTb[[#This Row],[Answer]]="No")),"",IFERROR(VLOOKUP(CallTb[[#This Row],[iWatch '#]],INDIRECT($D$5&amp;"[#All]"),17,FALSE),VLOOKUP(CallTb[[#This Row],[iWatch '#]],INDIRECT($D$5&amp;"_"&amp;$F$5&amp;"[#All]"),17,FALSE)))</f>
        <v>A_1A_2</v>
      </c>
      <c r="O21" s="135" cm="1">
        <f t="array" aca="1" ref="O21"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21" s="138"/>
      <c r="Q21" s="135"/>
      <c r="R21" s="135" t="str" cm="1">
        <f t="array" aca="1" ref="R21"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21" s="135" t="str">
        <f>IF(OR(CallTb[[#This Row],[Answer]]="No_AML",CallTb[[#This Row],[Answer]]="No_CFT",CallTb[[#This Row],[Answer]]="No_AntiFraud",CallTb[[#This Row],[Answer]],CallTb[[#This Row],[Answer]]="No"),CallTb[[#This Row],[Answer]],"")</f>
        <v/>
      </c>
      <c r="T21" s="135" t="str">
        <f>IF(CallTb[[#This Row],[Finding Type]]="","",CallTb[[#This Row],[iWatch '#]]&amp;"."&amp;CallTb[[#This Row],[Finding Type]])</f>
        <v/>
      </c>
      <c r="U21" s="135" t="str">
        <f ca="1">IFERROR(IF(SEARCH("Attach a copy",CallTb[[#This Row],[iWatch Questions]])=1,"Yes",""),"")</f>
        <v/>
      </c>
      <c r="V21" s="135">
        <f ca="1">IFERROR(VLOOKUP(CallTb[[#This Row],[iWatch '#]],INDIRECT($D$5&amp;"[#All]"),16,FALSE),VLOOKUP(CallTb[[#This Row],[iWatch '#]],INDIRECT($D$5&amp;"_"&amp;$F$5&amp;"[#All]"),16,FALSE))</f>
        <v>0</v>
      </c>
      <c r="W21" s="135"/>
    </row>
    <row r="22" spans="2:23" ht="39">
      <c r="B22" s="135">
        <v>16</v>
      </c>
      <c r="C22" s="297" t="str">
        <f ca="1">IFERROR(INDEX(INDIRECT($D$5&amp;"[#All]"),MATCH(CallTb[[#This Row],[Order]],INDIRECT($D$5&amp;"[[#All],[Call Flow Order]]"),0),1),INDEX(INDIRECT($D$5&amp;"_"&amp;$F$5&amp;"[#All]"),MATCH(CallTb[[#This Row],[Order]],INDIRECT($D$5&amp;"_"&amp;$F$5&amp;"[[#All],[Call Flow Order]]"),0),1))</f>
        <v>GS5.GQ3</v>
      </c>
      <c r="D22" s="298" t="str">
        <f ca="1">IFERROR(VLOOKUP(CallTb[[#This Row],[iWatch '#]],INDIRECT($D$5&amp;"[#All]"),2,FALSE),VLOOKUP(CallTb[[#This Row],[iWatch '#]],INDIRECT($D$5&amp;"_"&amp;$F$5&amp;"[#All]"),2,FALSE))</f>
        <v>FLA INTERVIEW: Do FLAs know the acceptable forms of identification for Western Union money transfer/money order transactions?</v>
      </c>
      <c r="E22" s="297" t="str">
        <f ca="1">IFERROR(VLOOKUP(CallTb[[#This Row],[iWatch '#]],INDIRECT($D$5&amp;"[#All]"),13,FALSE),VLOOKUP(CallTb[[#This Row],[iWatch '#]],INDIRECT($D$5&amp;"_"&amp;$F$5&amp;"[#All]"),13,FALSE))</f>
        <v>Requisitos de KYC</v>
      </c>
      <c r="F22" s="299" t="str">
        <f ca="1">IFERROR(VLOOKUP(CallTb[[#This Row],[iWatch '#]],INDIRECT($D$5&amp;"[#All]"),14,FALSE),VLOOKUP(CallTb[[#This Row],[iWatch '#]],INDIRECT($D$5&amp;"_"&amp;$F$5&amp;"[#All]"),14,FALSE))</f>
        <v>What IDs do you accept as valid if I am sending a transaction for $,$$$ (an amount over $1,000) to XXX?</v>
      </c>
      <c r="G22" s="298" t="str">
        <f ca="1">IFERROR(IFERROR(VLOOKUP(CallTb[[#This Row],[iWatch '#]],INDIRECT($D$5&amp;"[#All]"),VLOOKUP(CallTb[[#This Row],[Answer]],Guidance,2,FALSE),FALSE),VLOOKUP(CallTb[[#This Row],[iWatch '#]],INDIRECT($D$5&amp;"_"&amp;$F$5&amp;"[#All]"),VLOOKUP(CallTb[[#This Row],[Answer]],Guidance,2,FALSE),FALSE)),"")</f>
        <v/>
      </c>
      <c r="H22" s="136"/>
      <c r="I22" s="136"/>
      <c r="J22"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22"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22" s="137"/>
      <c r="M22" s="135" t="str">
        <f ca="1">IFERROR("_"&amp;VLOOKUP(CallTb[[#This Row],[iWatch '#]],INDIRECT($D$5&amp;"[#All]"),3,FALSE),"_"&amp;VLOOKUP(CallTb[[#This Row],[iWatch '#]],INDIRECT($D$5&amp;"_"&amp;$F$5&amp;"[#All]"),3,FALSE))</f>
        <v>_2</v>
      </c>
      <c r="N22" s="135" t="str">
        <f ca="1">IF((CallTb[[#This Row],[Answer]]="Yes")+(CallTb[[#This Row],[Answer]]="NA")+((CallTb[[#This Row],[Section]]="")*(CallTb[[#This Row],[Answer]]="No")),"",IFERROR(VLOOKUP(CallTb[[#This Row],[iWatch '#]],INDIRECT($D$5&amp;"[#All]"),17,FALSE),VLOOKUP(CallTb[[#This Row],[iWatch '#]],INDIRECT($D$5&amp;"_"&amp;$F$5&amp;"[#All]"),17,FALSE)))</f>
        <v>A_1A_2</v>
      </c>
      <c r="O22" s="135" cm="1">
        <f t="array" aca="1" ref="O22"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22" s="138"/>
      <c r="Q22" s="135"/>
      <c r="R22" s="135" t="str" cm="1">
        <f t="array" aca="1" ref="R22"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22" s="135" t="str">
        <f>IF(OR(CallTb[[#This Row],[Answer]]="No_AML",CallTb[[#This Row],[Answer]]="No_CFT",CallTb[[#This Row],[Answer]]="No_AntiFraud",CallTb[[#This Row],[Answer]],CallTb[[#This Row],[Answer]]="No"),CallTb[[#This Row],[Answer]],"")</f>
        <v/>
      </c>
      <c r="T22" s="135" t="str">
        <f>IF(CallTb[[#This Row],[Finding Type]]="","",CallTb[[#This Row],[iWatch '#]]&amp;"."&amp;CallTb[[#This Row],[Finding Type]])</f>
        <v/>
      </c>
      <c r="U22" s="135" t="str">
        <f ca="1">IFERROR(IF(SEARCH("Attach a copy",CallTb[[#This Row],[iWatch Questions]])=1,"Yes",""),"")</f>
        <v/>
      </c>
      <c r="V22" s="135">
        <f ca="1">IFERROR(VLOOKUP(CallTb[[#This Row],[iWatch '#]],INDIRECT($D$5&amp;"[#All]"),16,FALSE),VLOOKUP(CallTb[[#This Row],[iWatch '#]],INDIRECT($D$5&amp;"_"&amp;$F$5&amp;"[#All]"),16,FALSE))</f>
        <v>0</v>
      </c>
      <c r="W22" s="135"/>
    </row>
    <row r="23" spans="2:23" ht="78">
      <c r="B23" s="135">
        <v>17</v>
      </c>
      <c r="C23" s="297" t="str">
        <f ca="1">IFERROR(INDEX(INDIRECT($D$5&amp;"[#All]"),MATCH(CallTb[[#This Row],[Order]],INDIRECT($D$5&amp;"[[#All],[Call Flow Order]]"),0),1),INDEX(INDIRECT($D$5&amp;"_"&amp;$F$5&amp;"[#All]"),MATCH(CallTb[[#This Row],[Order]],INDIRECT($D$5&amp;"_"&amp;$F$5&amp;"[[#All],[Call Flow Order]]"),0),1))</f>
        <v>GS5.GQ4</v>
      </c>
      <c r="D23" s="298" t="str">
        <f ca="1">IFERROR(VLOOKUP(CallTb[[#This Row],[iWatch '#]],INDIRECT($D$5&amp;"[#All]"),2,FALSE),VLOOKUP(CallTb[[#This Row],[iWatch '#]],INDIRECT($D$5&amp;"_"&amp;$F$5&amp;"[#All]"),2,FALSE))</f>
        <v xml:space="preserve">Do FLAs check to ensure that consumer IDs meet minimum requirements, are only using valid ID cards, which at a minimum must include that the ID is not expired, it is government issued (or as applicable per regional requirements), and contains a photo of the consumer?
</v>
      </c>
      <c r="E23" s="297" t="str">
        <f ca="1">IFERROR(VLOOKUP(CallTb[[#This Row],[iWatch '#]],INDIRECT($D$5&amp;"[#All]"),13,FALSE),VLOOKUP(CallTb[[#This Row],[iWatch '#]],INDIRECT($D$5&amp;"_"&amp;$F$5&amp;"[#All]"),13,FALSE))</f>
        <v>Requisitos de KYC</v>
      </c>
      <c r="F23" s="299" t="str">
        <f ca="1">IFERROR(VLOOKUP(CallTb[[#This Row],[iWatch '#]],INDIRECT($D$5&amp;"[#All]"),14,FALSE),VLOOKUP(CallTb[[#This Row],[iWatch '#]],INDIRECT($D$5&amp;"_"&amp;$F$5&amp;"[#All]"),14,FALSE))</f>
        <v>1) What information do you check on the ID once you have it in your hands?</v>
      </c>
      <c r="G23" s="298" t="str">
        <f ca="1">IFERROR(IFERROR(VLOOKUP(CallTb[[#This Row],[iWatch '#]],INDIRECT($D$5&amp;"[#All]"),VLOOKUP(CallTb[[#This Row],[Answer]],Guidance,2,FALSE),FALSE),VLOOKUP(CallTb[[#This Row],[iWatch '#]],INDIRECT($D$5&amp;"_"&amp;$F$5&amp;"[#All]"),VLOOKUP(CallTb[[#This Row],[Answer]],Guidance,2,FALSE),FALSE)),"")</f>
        <v/>
      </c>
      <c r="H23" s="136"/>
      <c r="I23" s="136"/>
      <c r="J23"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23"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23" s="137"/>
      <c r="M23" s="135" t="str">
        <f ca="1">IFERROR("_"&amp;VLOOKUP(CallTb[[#This Row],[iWatch '#]],INDIRECT($D$5&amp;"[#All]"),3,FALSE),"_"&amp;VLOOKUP(CallTb[[#This Row],[iWatch '#]],INDIRECT($D$5&amp;"_"&amp;$F$5&amp;"[#All]"),3,FALSE))</f>
        <v>_2</v>
      </c>
      <c r="N23" s="135" t="str">
        <f ca="1">IF((CallTb[[#This Row],[Answer]]="Yes")+(CallTb[[#This Row],[Answer]]="NA")+((CallTb[[#This Row],[Section]]="")*(CallTb[[#This Row],[Answer]]="No")),"",IFERROR(VLOOKUP(CallTb[[#This Row],[iWatch '#]],INDIRECT($D$5&amp;"[#All]"),17,FALSE),VLOOKUP(CallTb[[#This Row],[iWatch '#]],INDIRECT($D$5&amp;"_"&amp;$F$5&amp;"[#All]"),17,FALSE)))</f>
        <v>A_1A_2</v>
      </c>
      <c r="O23" s="135" cm="1">
        <f t="array" aca="1" ref="O23"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23" s="138"/>
      <c r="Q23" s="135"/>
      <c r="R23" s="135" t="str" cm="1">
        <f t="array" aca="1" ref="R23"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23" s="135" t="str">
        <f>IF(OR(CallTb[[#This Row],[Answer]]="No_AML",CallTb[[#This Row],[Answer]]="No_CFT",CallTb[[#This Row],[Answer]]="No_AntiFraud",CallTb[[#This Row],[Answer]],CallTb[[#This Row],[Answer]]="No"),CallTb[[#This Row],[Answer]],"")</f>
        <v/>
      </c>
      <c r="T23" s="135" t="str">
        <f>IF(CallTb[[#This Row],[Finding Type]]="","",CallTb[[#This Row],[iWatch '#]]&amp;"."&amp;CallTb[[#This Row],[Finding Type]])</f>
        <v/>
      </c>
      <c r="U23" s="135" t="str">
        <f ca="1">IFERROR(IF(SEARCH("Attach a copy",CallTb[[#This Row],[iWatch Questions]])=1,"Yes",""),"")</f>
        <v/>
      </c>
      <c r="V23" s="135">
        <f ca="1">IFERROR(VLOOKUP(CallTb[[#This Row],[iWatch '#]],INDIRECT($D$5&amp;"[#All]"),16,FALSE),VLOOKUP(CallTb[[#This Row],[iWatch '#]],INDIRECT($D$5&amp;"_"&amp;$F$5&amp;"[#All]"),16,FALSE))</f>
        <v>0</v>
      </c>
      <c r="W23" s="135"/>
    </row>
    <row r="24" spans="2:23" ht="117">
      <c r="B24" s="135">
        <v>18</v>
      </c>
      <c r="C24" s="297" t="str">
        <f ca="1">IFERROR(INDEX(INDIRECT($D$5&amp;"[#All]"),MATCH(CallTb[[#This Row],[Order]],INDIRECT($D$5&amp;"[[#All],[Call Flow Order]]"),0),1),INDEX(INDIRECT($D$5&amp;"_"&amp;$F$5&amp;"[#All]"),MATCH(CallTb[[#This Row],[Order]],INDIRECT($D$5&amp;"_"&amp;$F$5&amp;"[[#All],[Call Flow Order]]"),0),1))</f>
        <v>GS5.GQ8</v>
      </c>
      <c r="D24" s="298" t="str">
        <f ca="1">IFERROR(VLOOKUP(CallTb[[#This Row],[iWatch '#]],INDIRECT($D$5&amp;"[#All]"),2,FALSE),VLOOKUP(CallTb[[#This Row],[iWatch '#]],INDIRECT($D$5&amp;"_"&amp;$F$5&amp;"[#All]"),2,FALSE))</f>
        <v xml:space="preserve">FLA INTERVIEW: Do FLAs sufficiently understand the Enhanced Customer Due Dilligence (ECDD) and the Large Principal Money Transfer (LPMT) procedures, including:
•   Established transaction thresholds that trigger LPMT ;
•   All applicable  ECDD or LPMT procedures
•   Documentation requirements, if any?
</v>
      </c>
      <c r="E24" s="297" t="str">
        <f ca="1">IFERROR(VLOOKUP(CallTb[[#This Row],[iWatch '#]],INDIRECT($D$5&amp;"[#All]"),13,FALSE),VLOOKUP(CallTb[[#This Row],[iWatch '#]],INDIRECT($D$5&amp;"_"&amp;$F$5&amp;"[#All]"),13,FALSE))</f>
        <v>Requisitos de KYC</v>
      </c>
      <c r="F24" s="299" t="str">
        <f ca="1">IFERROR(VLOOKUP(CallTb[[#This Row],[iWatch '#]],INDIRECT($D$5&amp;"[#All]"),14,FALSE),VLOOKUP(CallTb[[#This Row],[iWatch '#]],INDIRECT($D$5&amp;"_"&amp;$F$5&amp;"[#All]"),14,FALSE))</f>
        <v>1) Is there any specific requirement for transactions after certain amount?
2) Do you know what a Large Principal Money transfer (LPMT) is? / What process should I go through if I am sending $$ to XXX?
3) What happens if a client wants to send more than the amount allowed. Look out for splitting.</v>
      </c>
      <c r="G24" s="298" t="str">
        <f ca="1">IFERROR(IFERROR(VLOOKUP(CallTb[[#This Row],[iWatch '#]],INDIRECT($D$5&amp;"[#All]"),VLOOKUP(CallTb[[#This Row],[Answer]],Guidance,2,FALSE),FALSE),VLOOKUP(CallTb[[#This Row],[iWatch '#]],INDIRECT($D$5&amp;"_"&amp;$F$5&amp;"[#All]"),VLOOKUP(CallTb[[#This Row],[Answer]],Guidance,2,FALSE),FALSE)),"")</f>
        <v/>
      </c>
      <c r="H24" s="136"/>
      <c r="I24" s="136"/>
      <c r="J24"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24"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24" s="137"/>
      <c r="M24" s="135" t="str">
        <f ca="1">IFERROR("_"&amp;VLOOKUP(CallTb[[#This Row],[iWatch '#]],INDIRECT($D$5&amp;"[#All]"),3,FALSE),"_"&amp;VLOOKUP(CallTb[[#This Row],[iWatch '#]],INDIRECT($D$5&amp;"_"&amp;$F$5&amp;"[#All]"),3,FALSE))</f>
        <v>_3</v>
      </c>
      <c r="N24" s="135" t="str">
        <f ca="1">IF((CallTb[[#This Row],[Answer]]="Yes")+(CallTb[[#This Row],[Answer]]="NA")+((CallTb[[#This Row],[Section]]="")*(CallTb[[#This Row],[Answer]]="No")),"",IFERROR(VLOOKUP(CallTb[[#This Row],[iWatch '#]],INDIRECT($D$5&amp;"[#All]"),17,FALSE),VLOOKUP(CallTb[[#This Row],[iWatch '#]],INDIRECT($D$5&amp;"_"&amp;$F$5&amp;"[#All]"),17,FALSE)))</f>
        <v>A_1A_2A_3</v>
      </c>
      <c r="O24" s="135" cm="1">
        <f t="array" aca="1" ref="O24"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24" s="138"/>
      <c r="Q24" s="135"/>
      <c r="R24" s="135" t="str" cm="1">
        <f t="array" aca="1" ref="R24"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EFRAL</v>
      </c>
      <c r="S24" s="135" t="str">
        <f>IF(OR(CallTb[[#This Row],[Answer]]="No_AML",CallTb[[#This Row],[Answer]]="No_CFT",CallTb[[#This Row],[Answer]]="No_AntiFraud",CallTb[[#This Row],[Answer]],CallTb[[#This Row],[Answer]]="No"),CallTb[[#This Row],[Answer]],"")</f>
        <v/>
      </c>
      <c r="T24" s="135" t="str">
        <f>IF(CallTb[[#This Row],[Finding Type]]="","",CallTb[[#This Row],[iWatch '#]]&amp;"."&amp;CallTb[[#This Row],[Finding Type]])</f>
        <v/>
      </c>
      <c r="U24" s="135" t="str">
        <f ca="1">IFERROR(IF(SEARCH("Attach a copy",CallTb[[#This Row],[iWatch Questions]])=1,"Yes",""),"")</f>
        <v/>
      </c>
      <c r="V24" s="135">
        <f ca="1">IFERROR(VLOOKUP(CallTb[[#This Row],[iWatch '#]],INDIRECT($D$5&amp;"[#All]"),16,FALSE),VLOOKUP(CallTb[[#This Row],[iWatch '#]],INDIRECT($D$5&amp;"_"&amp;$F$5&amp;"[#All]"),16,FALSE))</f>
        <v>0</v>
      </c>
      <c r="W24" s="135"/>
    </row>
    <row r="25" spans="2:23" ht="39">
      <c r="B25" s="135">
        <v>19</v>
      </c>
      <c r="C25" s="297" t="str">
        <f ca="1">IFERROR(INDEX(INDIRECT($D$5&amp;"[#All]"),MATCH(CallTb[[#This Row],[Order]],INDIRECT($D$5&amp;"[[#All],[Call Flow Order]]"),0),1),INDEX(INDIRECT($D$5&amp;"_"&amp;$F$5&amp;"[#All]"),MATCH(CallTb[[#This Row],[Order]],INDIRECT($D$5&amp;"_"&amp;$F$5&amp;"[[#All],[Call Flow Order]]"),0),1))</f>
        <v>GS3.GQ3</v>
      </c>
      <c r="D25" s="298" t="str">
        <f ca="1">IFERROR(VLOOKUP(CallTb[[#This Row],[iWatch '#]],INDIRECT($D$5&amp;"[#All]"),2,FALSE),VLOOKUP(CallTb[[#This Row],[iWatch '#]],INDIRECT($D$5&amp;"_"&amp;$F$5&amp;"[#All]"),2,FALSE))</f>
        <v xml:space="preserve">Do FLAs have access to the Agent's complete AML/CFT and Anti-Fraud Compliance policies and procedures? 
</v>
      </c>
      <c r="E25" s="297" t="str">
        <f ca="1">IFERROR(VLOOKUP(CallTb[[#This Row],[iWatch '#]],INDIRECT($D$5&amp;"[#All]"),13,FALSE),VLOOKUP(CallTb[[#This Row],[iWatch '#]],INDIRECT($D$5&amp;"_"&amp;$F$5&amp;"[#All]"),13,FALSE))</f>
        <v>Disponibilidad de la Localidad</v>
      </c>
      <c r="F25" s="299" t="str">
        <f ca="1">IFERROR(VLOOKUP(CallTb[[#This Row],[iWatch '#]],INDIRECT($D$5&amp;"[#All]"),14,FALSE),VLOOKUP(CallTb[[#This Row],[iWatch '#]],INDIRECT($D$5&amp;"_"&amp;$F$5&amp;"[#All]"),14,FALSE))</f>
        <v>1) Do you have access to Anti-Money Laudering and Counter Terrorism Financing and Anti-Fraud P&amp;Ps?                                           2) If I were to ask you to access that information at this very moment, where would you go to find it? (Intranet communication, E-mail communication, Newsletters, store level communication, etc.</v>
      </c>
      <c r="G25" s="298" t="str">
        <f ca="1">IFERROR(IFERROR(VLOOKUP(CallTb[[#This Row],[iWatch '#]],INDIRECT($D$5&amp;"[#All]"),VLOOKUP(CallTb[[#This Row],[Answer]],Guidance,2,FALSE),FALSE),VLOOKUP(CallTb[[#This Row],[iWatch '#]],INDIRECT($D$5&amp;"_"&amp;$F$5&amp;"[#All]"),VLOOKUP(CallTb[[#This Row],[Answer]],Guidance,2,FALSE),FALSE)),"")</f>
        <v/>
      </c>
      <c r="H25" s="136"/>
      <c r="I25" s="136"/>
      <c r="J25"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25"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25" s="137"/>
      <c r="M25" s="135" t="str">
        <f ca="1">IFERROR("_"&amp;VLOOKUP(CallTb[[#This Row],[iWatch '#]],INDIRECT($D$5&amp;"[#All]"),3,FALSE),"_"&amp;VLOOKUP(CallTb[[#This Row],[iWatch '#]],INDIRECT($D$5&amp;"_"&amp;$F$5&amp;"[#All]"),3,FALSE))</f>
        <v>_3</v>
      </c>
      <c r="N25" s="135" t="str">
        <f ca="1">IF((CallTb[[#This Row],[Answer]]="Yes")+(CallTb[[#This Row],[Answer]]="NA")+((CallTb[[#This Row],[Section]]="")*(CallTb[[#This Row],[Answer]]="No")),"",IFERROR(VLOOKUP(CallTb[[#This Row],[iWatch '#]],INDIRECT($D$5&amp;"[#All]"),17,FALSE),VLOOKUP(CallTb[[#This Row],[iWatch '#]],INDIRECT($D$5&amp;"_"&amp;$F$5&amp;"[#All]"),17,FALSE)))</f>
        <v>A_2</v>
      </c>
      <c r="O25" s="135" cm="1">
        <f t="array" aca="1" ref="O25"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25" s="138"/>
      <c r="Q25" s="135"/>
      <c r="R25" s="135" t="str" cm="1">
        <f t="array" aca="1" ref="R25"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25" s="135" t="str">
        <f>IF(OR(CallTb[[#This Row],[Answer]]="No_AML",CallTb[[#This Row],[Answer]]="No_CFT",CallTb[[#This Row],[Answer]]="No_AntiFraud",CallTb[[#This Row],[Answer]],CallTb[[#This Row],[Answer]]="No"),CallTb[[#This Row],[Answer]],"")</f>
        <v/>
      </c>
      <c r="T25" s="135" t="str">
        <f>IF(CallTb[[#This Row],[Finding Type]]="","",CallTb[[#This Row],[iWatch '#]]&amp;"."&amp;CallTb[[#This Row],[Finding Type]])</f>
        <v/>
      </c>
      <c r="U25" s="135" t="str">
        <f ca="1">IFERROR(IF(SEARCH("Attach a copy",CallTb[[#This Row],[iWatch Questions]])=1,"Yes",""),"")</f>
        <v/>
      </c>
      <c r="V25" s="135">
        <f ca="1">IFERROR(VLOOKUP(CallTb[[#This Row],[iWatch '#]],INDIRECT($D$5&amp;"[#All]"),16,FALSE),VLOOKUP(CallTb[[#This Row],[iWatch '#]],INDIRECT($D$5&amp;"_"&amp;$F$5&amp;"[#All]"),16,FALSE))</f>
        <v>0</v>
      </c>
      <c r="W25" s="135"/>
    </row>
    <row r="26" spans="2:23" ht="65">
      <c r="B26" s="135">
        <v>20</v>
      </c>
      <c r="C26" s="297" t="str">
        <f ca="1">IFERROR(INDEX(INDIRECT($D$5&amp;"[#All]"),MATCH(CallTb[[#This Row],[Order]],INDIRECT($D$5&amp;"[[#All],[Call Flow Order]]"),0),1),INDEX(INDIRECT($D$5&amp;"_"&amp;$F$5&amp;"[#All]"),MATCH(CallTb[[#This Row],[Order]],INDIRECT($D$5&amp;"_"&amp;$F$5&amp;"[[#All],[Call Flow Order]]"),0),1))</f>
        <v>GS4.GQ6</v>
      </c>
      <c r="D26" s="298" t="str">
        <f ca="1">IFERROR(VLOOKUP(CallTb[[#This Row],[iWatch '#]],INDIRECT($D$5&amp;"[#All]"),2,FALSE),VLOOKUP(CallTb[[#This Row],[iWatch '#]],INDIRECT($D$5&amp;"_"&amp;$F$5&amp;"[#All]"),2,FALSE))</f>
        <v>FLA INTERVIEW: Is the FLA(s)  able to  identify consumer fraud related activity?</v>
      </c>
      <c r="E26" s="297" t="str">
        <f ca="1">IFERROR(VLOOKUP(CallTb[[#This Row],[iWatch '#]],INDIRECT($D$5&amp;"[#All]"),13,FALSE),VLOOKUP(CallTb[[#This Row],[iWatch '#]],INDIRECT($D$5&amp;"_"&amp;$F$5&amp;"[#All]"),13,FALSE))</f>
        <v>Conocimiento de Operador - Actividad Sospechosa y Fraude</v>
      </c>
      <c r="F26" s="299" t="str">
        <f ca="1">IFERROR(VLOOKUP(CallTb[[#This Row],[iWatch '#]],INDIRECT($D$5&amp;"[#All]"),14,FALSE),VLOOKUP(CallTb[[#This Row],[iWatch '#]],INDIRECT($D$5&amp;"_"&amp;$F$5&amp;"[#All]"),14,FALSE))</f>
        <v>1) What would your customer's behavior be like in case there is a consumer fraud?                              
2) Please share at least one of the Consumer Fraud indicators listed in the Agent Anti-Fraud Manual.</v>
      </c>
      <c r="G26" s="298" t="str">
        <f ca="1">IFERROR(IFERROR(VLOOKUP(CallTb[[#This Row],[iWatch '#]],INDIRECT($D$5&amp;"[#All]"),VLOOKUP(CallTb[[#This Row],[Answer]],Guidance,2,FALSE),FALSE),VLOOKUP(CallTb[[#This Row],[iWatch '#]],INDIRECT($D$5&amp;"_"&amp;$F$5&amp;"[#All]"),VLOOKUP(CallTb[[#This Row],[Answer]],Guidance,2,FALSE),FALSE)),"")</f>
        <v/>
      </c>
      <c r="H26" s="136"/>
      <c r="I26" s="136"/>
      <c r="J26"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26"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26" s="137"/>
      <c r="M26" s="135" t="str">
        <f ca="1">IFERROR("_"&amp;VLOOKUP(CallTb[[#This Row],[iWatch '#]],INDIRECT($D$5&amp;"[#All]"),3,FALSE),"_"&amp;VLOOKUP(CallTb[[#This Row],[iWatch '#]],INDIRECT($D$5&amp;"_"&amp;$F$5&amp;"[#All]"),3,FALSE))</f>
        <v>_2</v>
      </c>
      <c r="N26" s="135" t="str">
        <f ca="1">IF((CallTb[[#This Row],[Answer]]="Yes")+(CallTb[[#This Row],[Answer]]="NA")+((CallTb[[#This Row],[Section]]="")*(CallTb[[#This Row],[Answer]]="No")),"",IFERROR(VLOOKUP(CallTb[[#This Row],[iWatch '#]],INDIRECT($D$5&amp;"[#All]"),17,FALSE),VLOOKUP(CallTb[[#This Row],[iWatch '#]],INDIRECT($D$5&amp;"_"&amp;$F$5&amp;"[#All]"),17,FALSE)))</f>
        <v>A_1A_2</v>
      </c>
      <c r="O26" s="135" cm="1">
        <f t="array" aca="1" ref="O26"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26" s="138"/>
      <c r="Q26" s="135"/>
      <c r="R26" s="135" t="str" cm="1">
        <f t="array" aca="1" ref="R26"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26" s="135" t="str">
        <f>IF(OR(CallTb[[#This Row],[Answer]]="No_AML",CallTb[[#This Row],[Answer]]="No_CFT",CallTb[[#This Row],[Answer]]="No_AntiFraud",CallTb[[#This Row],[Answer]],CallTb[[#This Row],[Answer]]="No"),CallTb[[#This Row],[Answer]],"")</f>
        <v/>
      </c>
      <c r="T26" s="135" t="str">
        <f>IF(CallTb[[#This Row],[Finding Type]]="","",CallTb[[#This Row],[iWatch '#]]&amp;"."&amp;CallTb[[#This Row],[Finding Type]])</f>
        <v/>
      </c>
      <c r="U26" s="135" t="str">
        <f ca="1">IFERROR(IF(SEARCH("Attach a copy",CallTb[[#This Row],[iWatch Questions]])=1,"Yes",""),"")</f>
        <v/>
      </c>
      <c r="V26" s="135">
        <f ca="1">IFERROR(VLOOKUP(CallTb[[#This Row],[iWatch '#]],INDIRECT($D$5&amp;"[#All]"),16,FALSE),VLOOKUP(CallTb[[#This Row],[iWatch '#]],INDIRECT($D$5&amp;"_"&amp;$F$5&amp;"[#All]"),16,FALSE))</f>
        <v>0</v>
      </c>
      <c r="W26" s="135"/>
    </row>
    <row r="27" spans="2:23" ht="52">
      <c r="B27" s="135">
        <v>21</v>
      </c>
      <c r="C27" s="297" t="str">
        <f ca="1">IFERROR(INDEX(INDIRECT($D$5&amp;"[#All]"),MATCH(CallTb[[#This Row],[Order]],INDIRECT($D$5&amp;"[[#All],[Call Flow Order]]"),0),1),INDEX(INDIRECT($D$5&amp;"_"&amp;$F$5&amp;"[#All]"),MATCH(CallTb[[#This Row],[Order]],INDIRECT($D$5&amp;"_"&amp;$F$5&amp;"[[#All],[Call Flow Order]]"),0),1))</f>
        <v>GS4.GQ7</v>
      </c>
      <c r="D27" s="298" t="str">
        <f ca="1">IFERROR(VLOOKUP(CallTb[[#This Row],[iWatch '#]],INDIRECT($D$5&amp;"[#All]"),2,FALSE),VLOOKUP(CallTb[[#This Row],[iWatch '#]],INDIRECT($D$5&amp;"_"&amp;$F$5&amp;"[#All]"),2,FALSE))</f>
        <v xml:space="preserve">FLA INTERVIEW: Is the FLA(s)  able to explain the actions that should be taken with regards to consumer fraud related activity? </v>
      </c>
      <c r="E27" s="297" t="str">
        <f ca="1">IFERROR(VLOOKUP(CallTb[[#This Row],[iWatch '#]],INDIRECT($D$5&amp;"[#All]"),13,FALSE),VLOOKUP(CallTb[[#This Row],[iWatch '#]],INDIRECT($D$5&amp;"_"&amp;$F$5&amp;"[#All]"),13,FALSE))</f>
        <v>Conocimiento de Operador - Actividad Sospechosa y Fraude</v>
      </c>
      <c r="F27" s="299" t="str">
        <f ca="1">IFERROR(VLOOKUP(CallTb[[#This Row],[iWatch '#]],INDIRECT($D$5&amp;"[#All]"),14,FALSE),VLOOKUP(CallTb[[#This Row],[iWatch '#]],INDIRECT($D$5&amp;"_"&amp;$F$5&amp;"[#All]"),14,FALSE))</f>
        <v>1) What actions would you take in regards to a transaction related to consumer fraud?</v>
      </c>
      <c r="G27" s="298" t="str">
        <f ca="1">IFERROR(IFERROR(VLOOKUP(CallTb[[#This Row],[iWatch '#]],INDIRECT($D$5&amp;"[#All]"),VLOOKUP(CallTb[[#This Row],[Answer]],Guidance,2,FALSE),FALSE),VLOOKUP(CallTb[[#This Row],[iWatch '#]],INDIRECT($D$5&amp;"_"&amp;$F$5&amp;"[#All]"),VLOOKUP(CallTb[[#This Row],[Answer]],Guidance,2,FALSE),FALSE)),"")</f>
        <v/>
      </c>
      <c r="H27" s="136"/>
      <c r="I27" s="136"/>
      <c r="J27"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27"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27" s="137"/>
      <c r="M27" s="135" t="str">
        <f ca="1">IFERROR("_"&amp;VLOOKUP(CallTb[[#This Row],[iWatch '#]],INDIRECT($D$5&amp;"[#All]"),3,FALSE),"_"&amp;VLOOKUP(CallTb[[#This Row],[iWatch '#]],INDIRECT($D$5&amp;"_"&amp;$F$5&amp;"[#All]"),3,FALSE))</f>
        <v>_2</v>
      </c>
      <c r="N27" s="135" t="str">
        <f ca="1">IF((CallTb[[#This Row],[Answer]]="Yes")+(CallTb[[#This Row],[Answer]]="NA")+((CallTb[[#This Row],[Section]]="")*(CallTb[[#This Row],[Answer]]="No")),"",IFERROR(VLOOKUP(CallTb[[#This Row],[iWatch '#]],INDIRECT($D$5&amp;"[#All]"),17,FALSE),VLOOKUP(CallTb[[#This Row],[iWatch '#]],INDIRECT($D$5&amp;"_"&amp;$F$5&amp;"[#All]"),17,FALSE)))</f>
        <v>A_1A_2</v>
      </c>
      <c r="O27" s="135" cm="1">
        <f t="array" aca="1" ref="O27"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27" s="138"/>
      <c r="Q27" s="135"/>
      <c r="R27" s="135" t="str" cm="1">
        <f t="array" aca="1" ref="R27"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27" s="135" t="str">
        <f>IF(OR(CallTb[[#This Row],[Answer]]="No_AML",CallTb[[#This Row],[Answer]]="No_CFT",CallTb[[#This Row],[Answer]]="No_AntiFraud",CallTb[[#This Row],[Answer]],CallTb[[#This Row],[Answer]]="No"),CallTb[[#This Row],[Answer]],"")</f>
        <v/>
      </c>
      <c r="T27" s="135" t="str">
        <f>IF(CallTb[[#This Row],[Finding Type]]="","",CallTb[[#This Row],[iWatch '#]]&amp;"."&amp;CallTb[[#This Row],[Finding Type]])</f>
        <v/>
      </c>
      <c r="U27" s="135" t="str">
        <f ca="1">IFERROR(IF(SEARCH("Attach a copy",CallTb[[#This Row],[iWatch Questions]])=1,"Yes",""),"")</f>
        <v/>
      </c>
      <c r="V27" s="135">
        <f ca="1">IFERROR(VLOOKUP(CallTb[[#This Row],[iWatch '#]],INDIRECT($D$5&amp;"[#All]"),16,FALSE),VLOOKUP(CallTb[[#This Row],[iWatch '#]],INDIRECT($D$5&amp;"_"&amp;$F$5&amp;"[#All]"),16,FALSE))</f>
        <v>0</v>
      </c>
      <c r="W27" s="135"/>
    </row>
    <row r="28" spans="2:23" ht="65">
      <c r="B28" s="135">
        <v>22</v>
      </c>
      <c r="C28" s="297" t="str">
        <f ca="1">IFERROR(INDEX(INDIRECT($D$5&amp;"[#All]"),MATCH(CallTb[[#This Row],[Order]],INDIRECT($D$5&amp;"[[#All],[Call Flow Order]]"),0),1),INDEX(INDIRECT($D$5&amp;"_"&amp;$F$5&amp;"[#All]"),MATCH(CallTb[[#This Row],[Order]],INDIRECT($D$5&amp;"_"&amp;$F$5&amp;"[[#All],[Call Flow Order]]"),0),1))</f>
        <v>GS4.GQ8</v>
      </c>
      <c r="D28" s="298" t="str">
        <f ca="1">IFERROR(VLOOKUP(CallTb[[#This Row],[iWatch '#]],INDIRECT($D$5&amp;"[#All]"),2,FALSE),VLOOKUP(CallTb[[#This Row],[iWatch '#]],INDIRECT($D$5&amp;"_"&amp;$F$5&amp;"[#All]"),2,FALSE))</f>
        <v xml:space="preserve">FLA INTERVIEW: Is the FLA(s)  aware transactions involving potential consumer fraud cannot be referred to another WU or competitor location? </v>
      </c>
      <c r="E28" s="297" t="str">
        <f ca="1">IFERROR(VLOOKUP(CallTb[[#This Row],[iWatch '#]],INDIRECT($D$5&amp;"[#All]"),13,FALSE),VLOOKUP(CallTb[[#This Row],[iWatch '#]],INDIRECT($D$5&amp;"_"&amp;$F$5&amp;"[#All]"),13,FALSE))</f>
        <v>Conocimiento de Operador - Actividad Sospechosa y Fraude</v>
      </c>
      <c r="F28" s="299" t="str">
        <f ca="1">IFERROR(VLOOKUP(CallTb[[#This Row],[iWatch '#]],INDIRECT($D$5&amp;"[#All]"),14,FALSE),VLOOKUP(CallTb[[#This Row],[iWatch '#]],INDIRECT($D$5&amp;"_"&amp;$F$5&amp;"[#All]"),14,FALSE))</f>
        <v>Let’s say you refuse my transaction due to potential Consumer Fraud; would you recommend me going to another location or company to complete this transaction?</v>
      </c>
      <c r="G28" s="298" t="str">
        <f ca="1">IFERROR(IFERROR(VLOOKUP(CallTb[[#This Row],[iWatch '#]],INDIRECT($D$5&amp;"[#All]"),VLOOKUP(CallTb[[#This Row],[Answer]],Guidance,2,FALSE),FALSE),VLOOKUP(CallTb[[#This Row],[iWatch '#]],INDIRECT($D$5&amp;"_"&amp;$F$5&amp;"[#All]"),VLOOKUP(CallTb[[#This Row],[Answer]],Guidance,2,FALSE),FALSE)),"")</f>
        <v/>
      </c>
      <c r="H28" s="136"/>
      <c r="I28" s="136"/>
      <c r="J28"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28"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28" s="137"/>
      <c r="M28" s="135" t="str">
        <f ca="1">IFERROR("_"&amp;VLOOKUP(CallTb[[#This Row],[iWatch '#]],INDIRECT($D$5&amp;"[#All]"),3,FALSE),"_"&amp;VLOOKUP(CallTb[[#This Row],[iWatch '#]],INDIRECT($D$5&amp;"_"&amp;$F$5&amp;"[#All]"),3,FALSE))</f>
        <v>_2</v>
      </c>
      <c r="N28" s="135" t="str">
        <f ca="1">IF((CallTb[[#This Row],[Answer]]="Yes")+(CallTb[[#This Row],[Answer]]="NA")+((CallTb[[#This Row],[Section]]="")*(CallTb[[#This Row],[Answer]]="No")),"",IFERROR(VLOOKUP(CallTb[[#This Row],[iWatch '#]],INDIRECT($D$5&amp;"[#All]"),17,FALSE),VLOOKUP(CallTb[[#This Row],[iWatch '#]],INDIRECT($D$5&amp;"_"&amp;$F$5&amp;"[#All]"),17,FALSE)))</f>
        <v>A_1A_2</v>
      </c>
      <c r="O28" s="135" cm="1">
        <f t="array" aca="1" ref="O28"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28" s="138"/>
      <c r="Q28" s="135"/>
      <c r="R28" s="135" t="str" cm="1">
        <f t="array" aca="1" ref="R28"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28" s="135" t="str">
        <f>IF(OR(CallTb[[#This Row],[Answer]]="No_AML",CallTb[[#This Row],[Answer]]="No_CFT",CallTb[[#This Row],[Answer]]="No_AntiFraud",CallTb[[#This Row],[Answer]],CallTb[[#This Row],[Answer]]="No"),CallTb[[#This Row],[Answer]],"")</f>
        <v/>
      </c>
      <c r="T28" s="135" t="str">
        <f>IF(CallTb[[#This Row],[Finding Type]]="","",CallTb[[#This Row],[iWatch '#]]&amp;"."&amp;CallTb[[#This Row],[Finding Type]])</f>
        <v/>
      </c>
      <c r="U28" s="135" t="str">
        <f ca="1">IFERROR(IF(SEARCH("Attach a copy",CallTb[[#This Row],[iWatch Questions]])=1,"Yes",""),"")</f>
        <v/>
      </c>
      <c r="V28" s="135">
        <f ca="1">IFERROR(VLOOKUP(CallTb[[#This Row],[iWatch '#]],INDIRECT($D$5&amp;"[#All]"),16,FALSE),VLOOKUP(CallTb[[#This Row],[iWatch '#]],INDIRECT($D$5&amp;"_"&amp;$F$5&amp;"[#All]"),16,FALSE))</f>
        <v>0</v>
      </c>
      <c r="W28" s="135"/>
    </row>
    <row r="29" spans="2:23" ht="26">
      <c r="B29" s="135">
        <v>23</v>
      </c>
      <c r="C29" s="297" t="str">
        <f ca="1">IFERROR(INDEX(INDIRECT($D$5&amp;"[#All]"),MATCH(CallTb[[#This Row],[Order]],INDIRECT($D$5&amp;"[[#All],[Call Flow Order]]"),0),1),INDEX(INDIRECT($D$5&amp;"_"&amp;$F$5&amp;"[#All]"),MATCH(CallTb[[#This Row],[Order]],INDIRECT($D$5&amp;"_"&amp;$F$5&amp;"[[#All],[Call Flow Order]]"),0),1))</f>
        <v>GS5.GQ5</v>
      </c>
      <c r="D29" s="298" t="str">
        <f ca="1">IFERROR(VLOOKUP(CallTb[[#This Row],[iWatch '#]],INDIRECT($D$5&amp;"[#All]"),2,FALSE),VLOOKUP(CallTb[[#This Row],[iWatch '#]],INDIRECT($D$5&amp;"_"&amp;$F$5&amp;"[#All]"),2,FALSE))</f>
        <v>FLA INTERVIEW: Do the FLAs know that third party transactions are not permitted?</v>
      </c>
      <c r="E29" s="297" t="str">
        <f ca="1">IFERROR(VLOOKUP(CallTb[[#This Row],[iWatch '#]],INDIRECT($D$5&amp;"[#All]"),13,FALSE),VLOOKUP(CallTb[[#This Row],[iWatch '#]],INDIRECT($D$5&amp;"_"&amp;$F$5&amp;"[#All]"),13,FALSE))</f>
        <v>Requisitos de KYC</v>
      </c>
      <c r="F29" s="299" t="str">
        <f ca="1">IFERROR(VLOOKUP(CallTb[[#This Row],[iWatch '#]],INDIRECT($D$5&amp;"[#All]"),14,FALSE),VLOOKUP(CallTb[[#This Row],[iWatch '#]],INDIRECT($D$5&amp;"_"&amp;$F$5&amp;"[#All]"),14,FALSE))</f>
        <v xml:space="preserve">
What happens if someone wants to send money on behalf of another person? If this possible? What is needed?</v>
      </c>
      <c r="G29" s="298" t="str">
        <f ca="1">IFERROR(IFERROR(VLOOKUP(CallTb[[#This Row],[iWatch '#]],INDIRECT($D$5&amp;"[#All]"),VLOOKUP(CallTb[[#This Row],[Answer]],Guidance,2,FALSE),FALSE),VLOOKUP(CallTb[[#This Row],[iWatch '#]],INDIRECT($D$5&amp;"_"&amp;$F$5&amp;"[#All]"),VLOOKUP(CallTb[[#This Row],[Answer]],Guidance,2,FALSE),FALSE)),"")</f>
        <v/>
      </c>
      <c r="H29" s="136"/>
      <c r="I29" s="136"/>
      <c r="J29"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29"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29" s="137"/>
      <c r="M29" s="135" t="str">
        <f ca="1">IFERROR("_"&amp;VLOOKUP(CallTb[[#This Row],[iWatch '#]],INDIRECT($D$5&amp;"[#All]"),3,FALSE),"_"&amp;VLOOKUP(CallTb[[#This Row],[iWatch '#]],INDIRECT($D$5&amp;"_"&amp;$F$5&amp;"[#All]"),3,FALSE))</f>
        <v>_2</v>
      </c>
      <c r="N29" s="135" t="str">
        <f ca="1">IF((CallTb[[#This Row],[Answer]]="Yes")+(CallTb[[#This Row],[Answer]]="NA")+((CallTb[[#This Row],[Section]]="")*(CallTb[[#This Row],[Answer]]="No")),"",IFERROR(VLOOKUP(CallTb[[#This Row],[iWatch '#]],INDIRECT($D$5&amp;"[#All]"),17,FALSE),VLOOKUP(CallTb[[#This Row],[iWatch '#]],INDIRECT($D$5&amp;"_"&amp;$F$5&amp;"[#All]"),17,FALSE)))</f>
        <v>A_1A_2</v>
      </c>
      <c r="O29" s="135" cm="1">
        <f t="array" aca="1" ref="O29"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29" s="138"/>
      <c r="Q29" s="135"/>
      <c r="R29" s="135" t="str" cm="1">
        <f t="array" aca="1" ref="R29"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EFRAL</v>
      </c>
      <c r="S29" s="135" t="str">
        <f>IF(OR(CallTb[[#This Row],[Answer]]="No_AML",CallTb[[#This Row],[Answer]]="No_CFT",CallTb[[#This Row],[Answer]]="No_AntiFraud",CallTb[[#This Row],[Answer]],CallTb[[#This Row],[Answer]]="No"),CallTb[[#This Row],[Answer]],"")</f>
        <v/>
      </c>
      <c r="T29" s="135" t="str">
        <f>IF(CallTb[[#This Row],[Finding Type]]="","",CallTb[[#This Row],[iWatch '#]]&amp;"."&amp;CallTb[[#This Row],[Finding Type]])</f>
        <v/>
      </c>
      <c r="U29" s="135" t="str">
        <f ca="1">IFERROR(IF(SEARCH("Attach a copy",CallTb[[#This Row],[iWatch Questions]])=1,"Yes",""),"")</f>
        <v/>
      </c>
      <c r="V29" s="135">
        <f ca="1">IFERROR(VLOOKUP(CallTb[[#This Row],[iWatch '#]],INDIRECT($D$5&amp;"[#All]"),16,FALSE),VLOOKUP(CallTb[[#This Row],[iWatch '#]],INDIRECT($D$5&amp;"_"&amp;$F$5&amp;"[#All]"),16,FALSE))</f>
        <v>0</v>
      </c>
      <c r="W29" s="135"/>
    </row>
    <row r="30" spans="2:23" ht="78">
      <c r="B30" s="135">
        <v>24</v>
      </c>
      <c r="C30" s="297" t="str">
        <f ca="1">IFERROR(INDEX(INDIRECT($D$5&amp;"[#All]"),MATCH(CallTb[[#This Row],[Order]],INDIRECT($D$5&amp;"[[#All],[Call Flow Order]]"),0),1),INDEX(INDIRECT($D$5&amp;"_"&amp;$F$5&amp;"[#All]"),MATCH(CallTb[[#This Row],[Order]],INDIRECT($D$5&amp;"_"&amp;$F$5&amp;"[[#All],[Call Flow Order]]"),0),1))</f>
        <v>GS5.GQ6</v>
      </c>
      <c r="D30" s="298" t="str">
        <f ca="1">IFERROR(VLOOKUP(CallTb[[#This Row],[iWatch '#]],INDIRECT($D$5&amp;"[#All]"),2,FALSE),VLOOKUP(CallTb[[#This Row],[iWatch '#]],INDIRECT($D$5&amp;"_"&amp;$F$5&amp;"[#All]"),2,FALSE))</f>
        <v>FLA INTERVIEW: Do FLAs know that consumers (or their representatives for countries where third party transactions are allowed) must be physically present to transact?</v>
      </c>
      <c r="E30" s="297" t="str">
        <f ca="1">IFERROR(VLOOKUP(CallTb[[#This Row],[iWatch '#]],INDIRECT($D$5&amp;"[#All]"),13,FALSE),VLOOKUP(CallTb[[#This Row],[iWatch '#]],INDIRECT($D$5&amp;"_"&amp;$F$5&amp;"[#All]"),13,FALSE))</f>
        <v>Requisitos de KYC</v>
      </c>
      <c r="F30" s="299" t="str">
        <f ca="1">IFERROR(VLOOKUP(CallTb[[#This Row],[iWatch '#]],INDIRECT($D$5&amp;"[#All]"),14,FALSE),VLOOKUP(CallTb[[#This Row],[iWatch '#]],INDIRECT($D$5&amp;"_"&amp;$F$5&amp;"[#All]"),14,FALSE))</f>
        <v>Let’s say I am a regular customer who cannot come to the store right now and I call you to ask that you process a transaction for me, and I will pay for it later. What would you do in a case like this?</v>
      </c>
      <c r="G30" s="298" t="str">
        <f ca="1">IFERROR(IFERROR(VLOOKUP(CallTb[[#This Row],[iWatch '#]],INDIRECT($D$5&amp;"[#All]"),VLOOKUP(CallTb[[#This Row],[Answer]],Guidance,2,FALSE),FALSE),VLOOKUP(CallTb[[#This Row],[iWatch '#]],INDIRECT($D$5&amp;"_"&amp;$F$5&amp;"[#All]"),VLOOKUP(CallTb[[#This Row],[Answer]],Guidance,2,FALSE),FALSE)),"")</f>
        <v/>
      </c>
      <c r="H30" s="136"/>
      <c r="I30" s="136"/>
      <c r="J30"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30"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30" s="137"/>
      <c r="M30" s="135" t="str">
        <f ca="1">IFERROR("_"&amp;VLOOKUP(CallTb[[#This Row],[iWatch '#]],INDIRECT($D$5&amp;"[#All]"),3,FALSE),"_"&amp;VLOOKUP(CallTb[[#This Row],[iWatch '#]],INDIRECT($D$5&amp;"_"&amp;$F$5&amp;"[#All]"),3,FALSE))</f>
        <v>_2</v>
      </c>
      <c r="N30" s="135" t="str">
        <f ca="1">IF((CallTb[[#This Row],[Answer]]="Yes")+(CallTb[[#This Row],[Answer]]="NA")+((CallTb[[#This Row],[Section]]="")*(CallTb[[#This Row],[Answer]]="No")),"",IFERROR(VLOOKUP(CallTb[[#This Row],[iWatch '#]],INDIRECT($D$5&amp;"[#All]"),17,FALSE),VLOOKUP(CallTb[[#This Row],[iWatch '#]],INDIRECT($D$5&amp;"_"&amp;$F$5&amp;"[#All]"),17,FALSE)))</f>
        <v>A_1A_2A_3</v>
      </c>
      <c r="O30" s="135" cm="1">
        <f t="array" aca="1" ref="O30"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30" s="138"/>
      <c r="Q30" s="135"/>
      <c r="R30" s="135" t="str" cm="1">
        <f t="array" aca="1" ref="R30"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EFRAL</v>
      </c>
      <c r="S30" s="135" t="str">
        <f>IF(OR(CallTb[[#This Row],[Answer]]="No_AML",CallTb[[#This Row],[Answer]]="No_CFT",CallTb[[#This Row],[Answer]]="No_AntiFraud",CallTb[[#This Row],[Answer]],CallTb[[#This Row],[Answer]]="No"),CallTb[[#This Row],[Answer]],"")</f>
        <v/>
      </c>
      <c r="T30" s="135" t="str">
        <f>IF(CallTb[[#This Row],[Finding Type]]="","",CallTb[[#This Row],[iWatch '#]]&amp;"."&amp;CallTb[[#This Row],[Finding Type]])</f>
        <v/>
      </c>
      <c r="U30" s="135" t="str">
        <f ca="1">IFERROR(IF(SEARCH("Attach a copy",CallTb[[#This Row],[iWatch Questions]])=1,"Yes",""),"")</f>
        <v/>
      </c>
      <c r="V30" s="135">
        <f ca="1">IFERROR(VLOOKUP(CallTb[[#This Row],[iWatch '#]],INDIRECT($D$5&amp;"[#All]"),16,FALSE),VLOOKUP(CallTb[[#This Row],[iWatch '#]],INDIRECT($D$5&amp;"_"&amp;$F$5&amp;"[#All]"),16,FALSE))</f>
        <v>0</v>
      </c>
      <c r="W30" s="135"/>
    </row>
    <row r="31" spans="2:23" ht="52">
      <c r="B31" s="135">
        <v>25</v>
      </c>
      <c r="C31" s="297" t="str">
        <f ca="1">IFERROR(INDEX(INDIRECT($D$5&amp;"[#All]"),MATCH(CallTb[[#This Row],[Order]],INDIRECT($D$5&amp;"[[#All],[Call Flow Order]]"),0),1),INDEX(INDIRECT($D$5&amp;"_"&amp;$F$5&amp;"[#All]"),MATCH(CallTb[[#This Row],[Order]],INDIRECT($D$5&amp;"_"&amp;$F$5&amp;"[[#All],[Call Flow Order]]"),0),1))</f>
        <v>GS4.GQ4</v>
      </c>
      <c r="D31" s="298" t="str">
        <f ca="1">IFERROR(VLOOKUP(CallTb[[#This Row],[iWatch '#]],INDIRECT($D$5&amp;"[#All]"),2,FALSE),VLOOKUP(CallTb[[#This Row],[iWatch '#]],INDIRECT($D$5&amp;"_"&amp;$F$5&amp;"[#All]"),2,FALSE))</f>
        <v xml:space="preserve">FLA INTERVIEW: Is the FLA(s)  able to identify Agent Fraud related activity? </v>
      </c>
      <c r="E31" s="297" t="str">
        <f ca="1">IFERROR(VLOOKUP(CallTb[[#This Row],[iWatch '#]],INDIRECT($D$5&amp;"[#All]"),13,FALSE),VLOOKUP(CallTb[[#This Row],[iWatch '#]],INDIRECT($D$5&amp;"_"&amp;$F$5&amp;"[#All]"),13,FALSE))</f>
        <v>Conocimiento de Operador - Actividad Sospechosa y Fraude</v>
      </c>
      <c r="F31" s="299" t="str">
        <f ca="1">IFERROR(VLOOKUP(CallTb[[#This Row],[iWatch '#]],INDIRECT($D$5&amp;"[#All]"),14,FALSE),VLOOKUP(CallTb[[#This Row],[iWatch '#]],INDIRECT($D$5&amp;"_"&amp;$F$5&amp;"[#All]"),14,FALSE))</f>
        <v>Do you know any examples where you as an Agent could be the victim of fraud? As an agent, have you ever been a victim of fraud? Do you ever receive phone calls from people claiming to be WU representatives?</v>
      </c>
      <c r="G31" s="298" t="str">
        <f ca="1">IFERROR(IFERROR(VLOOKUP(CallTb[[#This Row],[iWatch '#]],INDIRECT($D$5&amp;"[#All]"),VLOOKUP(CallTb[[#This Row],[Answer]],Guidance,2,FALSE),FALSE),VLOOKUP(CallTb[[#This Row],[iWatch '#]],INDIRECT($D$5&amp;"_"&amp;$F$5&amp;"[#All]"),VLOOKUP(CallTb[[#This Row],[Answer]],Guidance,2,FALSE),FALSE)),"")</f>
        <v/>
      </c>
      <c r="H31" s="136"/>
      <c r="I31" s="136"/>
      <c r="J31"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31"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31" s="137"/>
      <c r="M31" s="135" t="str">
        <f ca="1">IFERROR("_"&amp;VLOOKUP(CallTb[[#This Row],[iWatch '#]],INDIRECT($D$5&amp;"[#All]"),3,FALSE),"_"&amp;VLOOKUP(CallTb[[#This Row],[iWatch '#]],INDIRECT($D$5&amp;"_"&amp;$F$5&amp;"[#All]"),3,FALSE))</f>
        <v>_2</v>
      </c>
      <c r="N31" s="135" t="str">
        <f ca="1">IF((CallTb[[#This Row],[Answer]]="Yes")+(CallTb[[#This Row],[Answer]]="NA")+((CallTb[[#This Row],[Section]]="")*(CallTb[[#This Row],[Answer]]="No")),"",IFERROR(VLOOKUP(CallTb[[#This Row],[iWatch '#]],INDIRECT($D$5&amp;"[#All]"),17,FALSE),VLOOKUP(CallTb[[#This Row],[iWatch '#]],INDIRECT($D$5&amp;"_"&amp;$F$5&amp;"[#All]"),17,FALSE)))</f>
        <v>A_1A_2</v>
      </c>
      <c r="O31" s="135" cm="1">
        <f t="array" aca="1" ref="O31"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31" s="138"/>
      <c r="Q31" s="135"/>
      <c r="R31" s="135" t="str" cm="1">
        <f t="array" aca="1" ref="R31"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31" s="135" t="str">
        <f>IF(OR(CallTb[[#This Row],[Answer]]="No_AML",CallTb[[#This Row],[Answer]]="No_CFT",CallTb[[#This Row],[Answer]]="No_AntiFraud",CallTb[[#This Row],[Answer]],CallTb[[#This Row],[Answer]]="No"),CallTb[[#This Row],[Answer]],"")</f>
        <v/>
      </c>
      <c r="T31" s="135" t="str">
        <f>IF(CallTb[[#This Row],[Finding Type]]="","",CallTb[[#This Row],[iWatch '#]]&amp;"."&amp;CallTb[[#This Row],[Finding Type]])</f>
        <v/>
      </c>
      <c r="U31" s="135" t="str">
        <f ca="1">IFERROR(IF(SEARCH("Attach a copy",CallTb[[#This Row],[iWatch Questions]])=1,"Yes",""),"")</f>
        <v/>
      </c>
      <c r="V31" s="135">
        <f ca="1">IFERROR(VLOOKUP(CallTb[[#This Row],[iWatch '#]],INDIRECT($D$5&amp;"[#All]"),16,FALSE),VLOOKUP(CallTb[[#This Row],[iWatch '#]],INDIRECT($D$5&amp;"_"&amp;$F$5&amp;"[#All]"),16,FALSE))</f>
        <v>0</v>
      </c>
      <c r="W31" s="135"/>
    </row>
    <row r="32" spans="2:23" ht="39">
      <c r="B32" s="135">
        <v>26</v>
      </c>
      <c r="C32" s="297" t="str">
        <f ca="1">IFERROR(INDEX(INDIRECT($D$5&amp;"[#All]"),MATCH(CallTb[[#This Row],[Order]],INDIRECT($D$5&amp;"[[#All],[Call Flow Order]]"),0),1),INDEX(INDIRECT($D$5&amp;"_"&amp;$F$5&amp;"[#All]"),MATCH(CallTb[[#This Row],[Order]],INDIRECT($D$5&amp;"_"&amp;$F$5&amp;"[[#All],[Call Flow Order]]"),0),1))</f>
        <v>GS4.GQ5</v>
      </c>
      <c r="D32" s="298" t="str">
        <f ca="1">IFERROR(VLOOKUP(CallTb[[#This Row],[iWatch '#]],INDIRECT($D$5&amp;"[#All]"),2,FALSE),VLOOKUP(CallTb[[#This Row],[iWatch '#]],INDIRECT($D$5&amp;"_"&amp;$F$5&amp;"[#All]"),2,FALSE))</f>
        <v xml:space="preserve">FLA INTERVIEW: Is the FLA(s)  able to explain the actions that should be taken with regard to Agent Fraud related activity? </v>
      </c>
      <c r="E32" s="297" t="str">
        <f ca="1">IFERROR(VLOOKUP(CallTb[[#This Row],[iWatch '#]],INDIRECT($D$5&amp;"[#All]"),13,FALSE),VLOOKUP(CallTb[[#This Row],[iWatch '#]],INDIRECT($D$5&amp;"_"&amp;$F$5&amp;"[#All]"),13,FALSE))</f>
        <v>Conocimiento de Operador - Actividad Sospechosa y Fraude</v>
      </c>
      <c r="F32" s="299" t="str">
        <f ca="1">IFERROR(VLOOKUP(CallTb[[#This Row],[iWatch '#]],INDIRECT($D$5&amp;"[#All]"),14,FALSE),VLOOKUP(CallTb[[#This Row],[iWatch '#]],INDIRECT($D$5&amp;"_"&amp;$F$5&amp;"[#All]"),14,FALSE))</f>
        <v>1) What actions would you take in regards to a transaction related to Agent Fraud?</v>
      </c>
      <c r="G32" s="298" t="str">
        <f ca="1">IFERROR(IFERROR(VLOOKUP(CallTb[[#This Row],[iWatch '#]],INDIRECT($D$5&amp;"[#All]"),VLOOKUP(CallTb[[#This Row],[Answer]],Guidance,2,FALSE),FALSE),VLOOKUP(CallTb[[#This Row],[iWatch '#]],INDIRECT($D$5&amp;"_"&amp;$F$5&amp;"[#All]"),VLOOKUP(CallTb[[#This Row],[Answer]],Guidance,2,FALSE),FALSE)),"")</f>
        <v/>
      </c>
      <c r="H32" s="136"/>
      <c r="I32" s="136"/>
      <c r="J32"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32"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32" s="137"/>
      <c r="M32" s="135" t="str">
        <f ca="1">IFERROR("_"&amp;VLOOKUP(CallTb[[#This Row],[iWatch '#]],INDIRECT($D$5&amp;"[#All]"),3,FALSE),"_"&amp;VLOOKUP(CallTb[[#This Row],[iWatch '#]],INDIRECT($D$5&amp;"_"&amp;$F$5&amp;"[#All]"),3,FALSE))</f>
        <v>_2</v>
      </c>
      <c r="N32" s="135" t="str">
        <f ca="1">IF((CallTb[[#This Row],[Answer]]="Yes")+(CallTb[[#This Row],[Answer]]="NA")+((CallTb[[#This Row],[Section]]="")*(CallTb[[#This Row],[Answer]]="No")),"",IFERROR(VLOOKUP(CallTb[[#This Row],[iWatch '#]],INDIRECT($D$5&amp;"[#All]"),17,FALSE),VLOOKUP(CallTb[[#This Row],[iWatch '#]],INDIRECT($D$5&amp;"_"&amp;$F$5&amp;"[#All]"),17,FALSE)))</f>
        <v>A_1A_2</v>
      </c>
      <c r="O32" s="135" cm="1">
        <f t="array" aca="1" ref="O32"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32" s="138"/>
      <c r="Q32" s="135"/>
      <c r="R32" s="135" t="str" cm="1">
        <f t="array" aca="1" ref="R32"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32" s="135" t="str">
        <f>IF(OR(CallTb[[#This Row],[Answer]]="No_AML",CallTb[[#This Row],[Answer]]="No_CFT",CallTb[[#This Row],[Answer]]="No_AntiFraud",CallTb[[#This Row],[Answer]],CallTb[[#This Row],[Answer]]="No"),CallTb[[#This Row],[Answer]],"")</f>
        <v/>
      </c>
      <c r="T32" s="135" t="str">
        <f>IF(CallTb[[#This Row],[Finding Type]]="","",CallTb[[#This Row],[iWatch '#]]&amp;"."&amp;CallTb[[#This Row],[Finding Type]])</f>
        <v/>
      </c>
      <c r="U32" s="135" t="str">
        <f ca="1">IFERROR(IF(SEARCH("Attach a copy",CallTb[[#This Row],[iWatch Questions]])=1,"Yes",""),"")</f>
        <v/>
      </c>
      <c r="V32" s="135">
        <f ca="1">IFERROR(VLOOKUP(CallTb[[#This Row],[iWatch '#]],INDIRECT($D$5&amp;"[#All]"),16,FALSE),VLOOKUP(CallTb[[#This Row],[iWatch '#]],INDIRECT($D$5&amp;"_"&amp;$F$5&amp;"[#All]"),16,FALSE))</f>
        <v>0</v>
      </c>
      <c r="W32" s="135"/>
    </row>
    <row r="33" spans="2:23" ht="78">
      <c r="B33" s="135">
        <v>27</v>
      </c>
      <c r="C33" s="297" t="str">
        <f ca="1">IFERROR(INDEX(INDIRECT($D$5&amp;"[#All]"),MATCH(CallTb[[#This Row],[Order]],INDIRECT($D$5&amp;"[[#All],[Call Flow Order]]"),0),1),INDEX(INDIRECT($D$5&amp;"_"&amp;$F$5&amp;"[#All]"),MATCH(CallTb[[#This Row],[Order]],INDIRECT($D$5&amp;"_"&amp;$F$5&amp;"[[#All],[Call Flow Order]]"),0),1))</f>
        <v>GS4.GQ1</v>
      </c>
      <c r="D33" s="298" t="str">
        <f ca="1">IFERROR(VLOOKUP(CallTb[[#This Row],[iWatch '#]],INDIRECT($D$5&amp;"[#All]"),2,FALSE),VLOOKUP(CallTb[[#This Row],[iWatch '#]],INDIRECT($D$5&amp;"_"&amp;$F$5&amp;"[#All]"),2,FALSE))</f>
        <v>Can FLAs demonstrate that they have been properly trained by describing AML and CFT compliance characteristics?</v>
      </c>
      <c r="E33" s="297" t="str">
        <f ca="1">IFERROR(VLOOKUP(CallTb[[#This Row],[iWatch '#]],INDIRECT($D$5&amp;"[#All]"),13,FALSE),VLOOKUP(CallTb[[#This Row],[iWatch '#]],INDIRECT($D$5&amp;"_"&amp;$F$5&amp;"[#All]"),13,FALSE))</f>
        <v>Conocimiento de Operador - Actividad Sospechosa y Fraude</v>
      </c>
      <c r="F33" s="299" t="str">
        <f ca="1">IFERROR(VLOOKUP(CallTb[[#This Row],[iWatch '#]],INDIRECT($D$5&amp;"[#All]"),14,FALSE),VLOOKUP(CallTb[[#This Row],[iWatch '#]],INDIRECT($D$5&amp;"_"&amp;$F$5&amp;"[#All]"),14,FALSE))</f>
        <v>1) Walk me through your AML &amp; Terrorism Financing Training (specific topics or scenarios covered). 
2) When was the last time you went through training?</v>
      </c>
      <c r="G33" s="298" t="str">
        <f ca="1">IFERROR(IFERROR(VLOOKUP(CallTb[[#This Row],[iWatch '#]],INDIRECT($D$5&amp;"[#All]"),VLOOKUP(CallTb[[#This Row],[Answer]],Guidance,2,FALSE),FALSE),VLOOKUP(CallTb[[#This Row],[iWatch '#]],INDIRECT($D$5&amp;"_"&amp;$F$5&amp;"[#All]"),VLOOKUP(CallTb[[#This Row],[Answer]],Guidance,2,FALSE),FALSE)),"")</f>
        <v/>
      </c>
      <c r="H33" s="136"/>
      <c r="I33" s="136"/>
      <c r="J33"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33"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33" s="137"/>
      <c r="M33" s="135" t="str">
        <f ca="1">IFERROR("_"&amp;VLOOKUP(CallTb[[#This Row],[iWatch '#]],INDIRECT($D$5&amp;"[#All]"),3,FALSE),"_"&amp;VLOOKUP(CallTb[[#This Row],[iWatch '#]],INDIRECT($D$5&amp;"_"&amp;$F$5&amp;"[#All]"),3,FALSE))</f>
        <v>_2</v>
      </c>
      <c r="N33" s="135" t="str">
        <f ca="1">IF((CallTb[[#This Row],[Answer]]="Yes")+(CallTb[[#This Row],[Answer]]="NA")+((CallTb[[#This Row],[Section]]="")*(CallTb[[#This Row],[Answer]]="No")),"",IFERROR(VLOOKUP(CallTb[[#This Row],[iWatch '#]],INDIRECT($D$5&amp;"[#All]"),17,FALSE),VLOOKUP(CallTb[[#This Row],[iWatch '#]],INDIRECT($D$5&amp;"_"&amp;$F$5&amp;"[#All]"),17,FALSE)))</f>
        <v>A_1A_2</v>
      </c>
      <c r="O33" s="135" cm="1">
        <f t="array" aca="1" ref="O33"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33" s="138"/>
      <c r="Q33" s="135"/>
      <c r="R33" s="135" t="str" cm="1">
        <f t="array" aca="1" ref="R33"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33" s="135" t="str">
        <f>IF(OR(CallTb[[#This Row],[Answer]]="No_AML",CallTb[[#This Row],[Answer]]="No_CFT",CallTb[[#This Row],[Answer]]="No_AntiFraud",CallTb[[#This Row],[Answer]],CallTb[[#This Row],[Answer]]="No"),CallTb[[#This Row],[Answer]],"")</f>
        <v/>
      </c>
      <c r="T33" s="135" t="str">
        <f>IF(CallTb[[#This Row],[Finding Type]]="","",CallTb[[#This Row],[iWatch '#]]&amp;"."&amp;CallTb[[#This Row],[Finding Type]])</f>
        <v/>
      </c>
      <c r="U33" s="135" t="str">
        <f ca="1">IFERROR(IF(SEARCH("Attach a copy",CallTb[[#This Row],[iWatch Questions]])=1,"Yes",""),"")</f>
        <v/>
      </c>
      <c r="V33" s="135">
        <f ca="1">IFERROR(VLOOKUP(CallTb[[#This Row],[iWatch '#]],INDIRECT($D$5&amp;"[#All]"),16,FALSE),VLOOKUP(CallTb[[#This Row],[iWatch '#]],INDIRECT($D$5&amp;"_"&amp;$F$5&amp;"[#All]"),16,FALSE))</f>
        <v>0</v>
      </c>
      <c r="W33" s="135"/>
    </row>
    <row r="34" spans="2:23" ht="78">
      <c r="B34" s="135">
        <v>28</v>
      </c>
      <c r="C34" s="297" t="str">
        <f ca="1">IFERROR(INDEX(INDIRECT($D$5&amp;"[#All]"),MATCH(CallTb[[#This Row],[Order]],INDIRECT($D$5&amp;"[[#All],[Call Flow Order]]"),0),1),INDEX(INDIRECT($D$5&amp;"_"&amp;$F$5&amp;"[#All]"),MATCH(CallTb[[#This Row],[Order]],INDIRECT($D$5&amp;"_"&amp;$F$5&amp;"[[#All],[Call Flow Order]]"),0),1))</f>
        <v>GS4.GQ2</v>
      </c>
      <c r="D34" s="298" t="str">
        <f ca="1">IFERROR(VLOOKUP(CallTb[[#This Row],[iWatch '#]],INDIRECT($D$5&amp;"[#All]"),2,FALSE),VLOOKUP(CallTb[[#This Row],[iWatch '#]],INDIRECT($D$5&amp;"_"&amp;$F$5&amp;"[#All]"),2,FALSE))</f>
        <v xml:space="preserve">FLA INTERVIEW: Can FLAs identify red flags that indicate a consumer may be involved in Suspicious Activity or transactions?
</v>
      </c>
      <c r="E34" s="297" t="str">
        <f ca="1">IFERROR(VLOOKUP(CallTb[[#This Row],[iWatch '#]],INDIRECT($D$5&amp;"[#All]"),13,FALSE),VLOOKUP(CallTb[[#This Row],[iWatch '#]],INDIRECT($D$5&amp;"_"&amp;$F$5&amp;"[#All]"),13,FALSE))</f>
        <v>Conocimiento de Operador - Actividad Sospechosa y Fraude</v>
      </c>
      <c r="F34" s="299" t="str">
        <f ca="1">IFERROR(VLOOKUP(CallTb[[#This Row],[iWatch '#]],INDIRECT($D$5&amp;"[#All]"),14,FALSE),VLOOKUP(CallTb[[#This Row],[iWatch '#]],INDIRECT($D$5&amp;"_"&amp;$F$5&amp;"[#All]"),14,FALSE))</f>
        <v xml:space="preserve">1) Please describe in your own words what suspicious activity is. 
2) Mention at least 3 red flags that should make us suspect of a customer being involved in terrorist financing or victims of human trafficking/smuggling. </v>
      </c>
      <c r="G34" s="298" t="str">
        <f ca="1">IFERROR(IFERROR(VLOOKUP(CallTb[[#This Row],[iWatch '#]],INDIRECT($D$5&amp;"[#All]"),VLOOKUP(CallTb[[#This Row],[Answer]],Guidance,2,FALSE),FALSE),VLOOKUP(CallTb[[#This Row],[iWatch '#]],INDIRECT($D$5&amp;"_"&amp;$F$5&amp;"[#All]"),VLOOKUP(CallTb[[#This Row],[Answer]],Guidance,2,FALSE),FALSE)),"")</f>
        <v/>
      </c>
      <c r="H34" s="136"/>
      <c r="I34" s="136"/>
      <c r="J34"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34"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34" s="137"/>
      <c r="M34" s="135" t="str">
        <f ca="1">IFERROR("_"&amp;VLOOKUP(CallTb[[#This Row],[iWatch '#]],INDIRECT($D$5&amp;"[#All]"),3,FALSE),"_"&amp;VLOOKUP(CallTb[[#This Row],[iWatch '#]],INDIRECT($D$5&amp;"_"&amp;$F$5&amp;"[#All]"),3,FALSE))</f>
        <v>_2</v>
      </c>
      <c r="N34" s="135" t="str">
        <f ca="1">IF((CallTb[[#This Row],[Answer]]="Yes")+(CallTb[[#This Row],[Answer]]="NA")+((CallTb[[#This Row],[Section]]="")*(CallTb[[#This Row],[Answer]]="No")),"",IFERROR(VLOOKUP(CallTb[[#This Row],[iWatch '#]],INDIRECT($D$5&amp;"[#All]"),17,FALSE),VLOOKUP(CallTb[[#This Row],[iWatch '#]],INDIRECT($D$5&amp;"_"&amp;$F$5&amp;"[#All]"),17,FALSE)))</f>
        <v>A_1A_2</v>
      </c>
      <c r="O34" s="135" cm="1">
        <f t="array" aca="1" ref="O34"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34" s="138"/>
      <c r="Q34" s="135"/>
      <c r="R34" s="135" t="str" cm="1">
        <f t="array" aca="1" ref="R34"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34" s="135" t="str">
        <f>IF(OR(CallTb[[#This Row],[Answer]]="No_AML",CallTb[[#This Row],[Answer]]="No_CFT",CallTb[[#This Row],[Answer]]="No_AntiFraud",CallTb[[#This Row],[Answer]],CallTb[[#This Row],[Answer]]="No"),CallTb[[#This Row],[Answer]],"")</f>
        <v/>
      </c>
      <c r="T34" s="135" t="str">
        <f>IF(CallTb[[#This Row],[Finding Type]]="","",CallTb[[#This Row],[iWatch '#]]&amp;"."&amp;CallTb[[#This Row],[Finding Type]])</f>
        <v/>
      </c>
      <c r="U34" s="135" t="str">
        <f ca="1">IFERROR(IF(SEARCH("Attach a copy",CallTb[[#This Row],[iWatch Questions]])=1,"Yes",""),"")</f>
        <v/>
      </c>
      <c r="V34" s="135">
        <f ca="1">IFERROR(VLOOKUP(CallTb[[#This Row],[iWatch '#]],INDIRECT($D$5&amp;"[#All]"),16,FALSE),VLOOKUP(CallTb[[#This Row],[iWatch '#]],INDIRECT($D$5&amp;"_"&amp;$F$5&amp;"[#All]"),16,FALSE))</f>
        <v>0</v>
      </c>
      <c r="W34" s="135"/>
    </row>
    <row r="35" spans="2:23" ht="52">
      <c r="B35" s="135">
        <v>29</v>
      </c>
      <c r="C35" s="297" t="str">
        <f ca="1">IFERROR(INDEX(INDIRECT($D$5&amp;"[#All]"),MATCH(CallTb[[#This Row],[Order]],INDIRECT($D$5&amp;"[[#All],[Call Flow Order]]"),0),1),INDEX(INDIRECT($D$5&amp;"_"&amp;$F$5&amp;"[#All]"),MATCH(CallTb[[#This Row],[Order]],INDIRECT($D$5&amp;"_"&amp;$F$5&amp;"[[#All],[Call Flow Order]]"),0),1))</f>
        <v>GS4.GQ3</v>
      </c>
      <c r="D35" s="298" t="str">
        <f ca="1">IFERROR(VLOOKUP(CallTb[[#This Row],[iWatch '#]],INDIRECT($D$5&amp;"[#All]"),2,FALSE),VLOOKUP(CallTb[[#This Row],[iWatch '#]],INDIRECT($D$5&amp;"_"&amp;$F$5&amp;"[#All]"),2,FALSE))</f>
        <v xml:space="preserve">FLA INTERVIEW: Do FLAs know the appropriate steps to take (including reporting, etc.) when faced with suspicious activity or transactions?
</v>
      </c>
      <c r="E35" s="297" t="str">
        <f ca="1">IFERROR(VLOOKUP(CallTb[[#This Row],[iWatch '#]],INDIRECT($D$5&amp;"[#All]"),13,FALSE),VLOOKUP(CallTb[[#This Row],[iWatch '#]],INDIRECT($D$5&amp;"_"&amp;$F$5&amp;"[#All]"),13,FALSE))</f>
        <v>Conocimiento de Operador - Actividad Sospechosa y Fraude</v>
      </c>
      <c r="F35" s="299" t="str">
        <f ca="1">IFERROR(VLOOKUP(CallTb[[#This Row],[iWatch '#]],INDIRECT($D$5&amp;"[#All]"),14,FALSE),VLOOKUP(CallTb[[#This Row],[iWatch '#]],INDIRECT($D$5&amp;"_"&amp;$F$5&amp;"[#All]"),14,FALSE))</f>
        <v>1) What would you do in case faced with a suspicious activity or transaction? 
2) How do you report Suspicious Activity?</v>
      </c>
      <c r="G35" s="298" t="str">
        <f ca="1">IFERROR(IFERROR(VLOOKUP(CallTb[[#This Row],[iWatch '#]],INDIRECT($D$5&amp;"[#All]"),VLOOKUP(CallTb[[#This Row],[Answer]],Guidance,2,FALSE),FALSE),VLOOKUP(CallTb[[#This Row],[iWatch '#]],INDIRECT($D$5&amp;"_"&amp;$F$5&amp;"[#All]"),VLOOKUP(CallTb[[#This Row],[Answer]],Guidance,2,FALSE),FALSE)),"")</f>
        <v/>
      </c>
      <c r="H35" s="136"/>
      <c r="I35" s="136"/>
      <c r="J35"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35"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35" s="137"/>
      <c r="M35" s="135" t="str">
        <f ca="1">IFERROR("_"&amp;VLOOKUP(CallTb[[#This Row],[iWatch '#]],INDIRECT($D$5&amp;"[#All]"),3,FALSE),"_"&amp;VLOOKUP(CallTb[[#This Row],[iWatch '#]],INDIRECT($D$5&amp;"_"&amp;$F$5&amp;"[#All]"),3,FALSE))</f>
        <v>_2</v>
      </c>
      <c r="N35" s="135" t="str">
        <f ca="1">IF((CallTb[[#This Row],[Answer]]="Yes")+(CallTb[[#This Row],[Answer]]="NA")+((CallTb[[#This Row],[Section]]="")*(CallTb[[#This Row],[Answer]]="No")),"",IFERROR(VLOOKUP(CallTb[[#This Row],[iWatch '#]],INDIRECT($D$5&amp;"[#All]"),17,FALSE),VLOOKUP(CallTb[[#This Row],[iWatch '#]],INDIRECT($D$5&amp;"_"&amp;$F$5&amp;"[#All]"),17,FALSE)))</f>
        <v>A_1A_2</v>
      </c>
      <c r="O35" s="135" cm="1">
        <f t="array" aca="1" ref="O35"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35" s="138"/>
      <c r="Q35" s="135"/>
      <c r="R35" s="135" t="str" cm="1">
        <f t="array" aca="1" ref="R35"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35" s="135" t="str">
        <f>IF(OR(CallTb[[#This Row],[Answer]]="No_AML",CallTb[[#This Row],[Answer]]="No_CFT",CallTb[[#This Row],[Answer]]="No_AntiFraud",CallTb[[#This Row],[Answer]],CallTb[[#This Row],[Answer]]="No"),CallTb[[#This Row],[Answer]],"")</f>
        <v/>
      </c>
      <c r="T35" s="135" t="str">
        <f>IF(CallTb[[#This Row],[Finding Type]]="","",CallTb[[#This Row],[iWatch '#]]&amp;"."&amp;CallTb[[#This Row],[Finding Type]])</f>
        <v/>
      </c>
      <c r="U35" s="135" t="str">
        <f ca="1">IFERROR(IF(SEARCH("Attach a copy",CallTb[[#This Row],[iWatch Questions]])=1,"Yes",""),"")</f>
        <v/>
      </c>
      <c r="V35" s="135">
        <f ca="1">IFERROR(VLOOKUP(CallTb[[#This Row],[iWatch '#]],INDIRECT($D$5&amp;"[#All]"),16,FALSE),VLOOKUP(CallTb[[#This Row],[iWatch '#]],INDIRECT($D$5&amp;"_"&amp;$F$5&amp;"[#All]"),16,FALSE))</f>
        <v>0</v>
      </c>
      <c r="W35" s="135"/>
    </row>
    <row r="36" spans="2:23" ht="65">
      <c r="B36" s="135">
        <v>30</v>
      </c>
      <c r="C36" s="297" t="str">
        <f ca="1">IFERROR(INDEX(INDIRECT($D$5&amp;"[#All]"),MATCH(CallTb[[#This Row],[Order]],INDIRECT($D$5&amp;"[[#All],[Call Flow Order]]"),0),1),INDEX(INDIRECT($D$5&amp;"_"&amp;$F$5&amp;"[#All]"),MATCH(CallTb[[#This Row],[Order]],INDIRECT($D$5&amp;"_"&amp;$F$5&amp;"[[#All],[Call Flow Order]]"),0),1))</f>
        <v>GS5.GQ1</v>
      </c>
      <c r="D36" s="298" t="str">
        <f ca="1">IFERROR(VLOOKUP(CallTb[[#This Row],[iWatch '#]],INDIRECT($D$5&amp;"[#All]"),2,FALSE),VLOOKUP(CallTb[[#This Row],[iWatch '#]],INDIRECT($D$5&amp;"_"&amp;$F$5&amp;"[#All]"),2,FALSE))</f>
        <v xml:space="preserve">During pre-work, does a review of  transactions show no or minimal Data integrity issues including invalid, illegible, incomplete, missing, or conflicting biographical data for consumers or recipients of money transfers (Specifically: Names, Addresses, Telephone numbers and identifications)? </v>
      </c>
      <c r="E36" s="297" t="str">
        <f ca="1">IFERROR(VLOOKUP(CallTb[[#This Row],[iWatch '#]],INDIRECT($D$5&amp;"[#All]"),13,FALSE),VLOOKUP(CallTb[[#This Row],[iWatch '#]],INDIRECT($D$5&amp;"_"&amp;$F$5&amp;"[#All]"),13,FALSE))</f>
        <v>Requisitos de KYC</v>
      </c>
      <c r="F36" s="299" t="str">
        <f ca="1">IFERROR(VLOOKUP(CallTb[[#This Row],[iWatch '#]],INDIRECT($D$5&amp;"[#All]"),14,FALSE),VLOOKUP(CallTb[[#This Row],[iWatch '#]],INDIRECT($D$5&amp;"_"&amp;$F$5&amp;"[#All]"),14,FALSE))</f>
        <v>Answer by reviewing the Data Integrity inconsistencies including typographical errors.</v>
      </c>
      <c r="G36" s="298" t="str">
        <f ca="1">IFERROR(IFERROR(VLOOKUP(CallTb[[#This Row],[iWatch '#]],INDIRECT($D$5&amp;"[#All]"),VLOOKUP(CallTb[[#This Row],[Answer]],Guidance,2,FALSE),FALSE),VLOOKUP(CallTb[[#This Row],[iWatch '#]],INDIRECT($D$5&amp;"_"&amp;$F$5&amp;"[#All]"),VLOOKUP(CallTb[[#This Row],[Answer]],Guidance,2,FALSE),FALSE)),"")</f>
        <v/>
      </c>
      <c r="H36" s="136"/>
      <c r="I36" s="136"/>
      <c r="J36"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36"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36" s="137"/>
      <c r="M36" s="135" t="str">
        <f ca="1">IFERROR("_"&amp;VLOOKUP(CallTb[[#This Row],[iWatch '#]],INDIRECT($D$5&amp;"[#All]"),3,FALSE),"_"&amp;VLOOKUP(CallTb[[#This Row],[iWatch '#]],INDIRECT($D$5&amp;"_"&amp;$F$5&amp;"[#All]"),3,FALSE))</f>
        <v>_3</v>
      </c>
      <c r="N36" s="135" t="str">
        <f ca="1">IF((CallTb[[#This Row],[Answer]]="Yes")+(CallTb[[#This Row],[Answer]]="NA")+((CallTb[[#This Row],[Section]]="")*(CallTb[[#This Row],[Answer]]="No")),"",IFERROR(VLOOKUP(CallTb[[#This Row],[iWatch '#]],INDIRECT($D$5&amp;"[#All]"),17,FALSE),VLOOKUP(CallTb[[#This Row],[iWatch '#]],INDIRECT($D$5&amp;"_"&amp;$F$5&amp;"[#All]"),17,FALSE)))</f>
        <v>A_2</v>
      </c>
      <c r="O36" s="135" cm="1">
        <f t="array" aca="1" ref="O36"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36" s="138"/>
      <c r="Q36" s="135"/>
      <c r="R36" s="135" t="str" cm="1">
        <f t="array" aca="1" ref="R36"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36" s="135" t="str">
        <f>IF(OR(CallTb[[#This Row],[Answer]]="No_AML",CallTb[[#This Row],[Answer]]="No_CFT",CallTb[[#This Row],[Answer]]="No_AntiFraud",CallTb[[#This Row],[Answer]],CallTb[[#This Row],[Answer]]="No"),CallTb[[#This Row],[Answer]],"")</f>
        <v/>
      </c>
      <c r="T36" s="135" t="str">
        <f>IF(CallTb[[#This Row],[Finding Type]]="","",CallTb[[#This Row],[iWatch '#]]&amp;"."&amp;CallTb[[#This Row],[Finding Type]])</f>
        <v/>
      </c>
      <c r="U36" s="135" t="str">
        <f ca="1">IFERROR(IF(SEARCH("Attach a copy",CallTb[[#This Row],[iWatch Questions]])=1,"Yes",""),"")</f>
        <v/>
      </c>
      <c r="V36" s="135">
        <f ca="1">IFERROR(VLOOKUP(CallTb[[#This Row],[iWatch '#]],INDIRECT($D$5&amp;"[#All]"),16,FALSE),VLOOKUP(CallTb[[#This Row],[iWatch '#]],INDIRECT($D$5&amp;"_"&amp;$F$5&amp;"[#All]"),16,FALSE))</f>
        <v>0</v>
      </c>
      <c r="W36" s="135"/>
    </row>
    <row r="37" spans="2:23" ht="195">
      <c r="B37" s="135">
        <v>31</v>
      </c>
      <c r="C37" s="297" t="str">
        <f ca="1">IFERROR(INDEX(INDIRECT($D$5&amp;"[#All]"),MATCH(CallTb[[#This Row],[Order]],INDIRECT($D$5&amp;"[[#All],[Call Flow Order]]"),0),1),INDEX(INDIRECT($D$5&amp;"_"&amp;$F$5&amp;"[#All]"),MATCH(CallTb[[#This Row],[Order]],INDIRECT($D$5&amp;"_"&amp;$F$5&amp;"[[#All],[Call Flow Order]]"),0),1))</f>
        <v>GS5.GQ2</v>
      </c>
      <c r="D37" s="298" t="str">
        <f ca="1">IFERROR(VLOOKUP(CallTb[[#This Row],[iWatch '#]],INDIRECT($D$5&amp;"[#All]"),2,FALSE),VLOOKUP(CallTb[[#This Row],[iWatch '#]],INDIRECT($D$5&amp;"_"&amp;$F$5&amp;"[#All]"),2,FALSE))</f>
        <v xml:space="preserve">Provide your Data Integrity Tool summary (include an overall reason for discussion, Agent response, WUCO recommendation and action required). If N/A was selected for the previous question, please provide a detailed explanation for why Data Integrity Analysis does not apply to this Agent.  
</v>
      </c>
      <c r="E37" s="297">
        <f ca="1">IFERROR(VLOOKUP(CallTb[[#This Row],[iWatch '#]],INDIRECT($D$5&amp;"[#All]"),13,FALSE),VLOOKUP(CallTb[[#This Row],[iWatch '#]],INDIRECT($D$5&amp;"_"&amp;$F$5&amp;"[#All]"),13,FALSE))</f>
        <v>0</v>
      </c>
      <c r="F37" s="299" t="str">
        <f ca="1">IFERROR(VLOOKUP(CallTb[[#This Row],[iWatch '#]],INDIRECT($D$5&amp;"[#All]"),14,FALSE),VLOOKUP(CallTb[[#This Row],[iWatch '#]],INDIRECT($D$5&amp;"_"&amp;$F$5&amp;"[#All]"),14,FALSE))</f>
        <v>FREE TEXT</v>
      </c>
      <c r="G37" s="298" t="str">
        <f ca="1">IFERROR(IFERROR(VLOOKUP(CallTb[[#This Row],[iWatch '#]],INDIRECT($D$5&amp;"[#All]"),VLOOKUP(CallTb[[#This Row],[Answer]],Guidance,2,FALSE),FALSE),VLOOKUP(CallTb[[#This Row],[iWatch '#]],INDIRECT($D$5&amp;"_"&amp;$F$5&amp;"[#All]"),VLOOKUP(CallTb[[#This Row],[Answer]],Guidance,2,FALSE),FALSE)),"")</f>
        <v/>
      </c>
      <c r="H37" s="136"/>
      <c r="I37" s="136"/>
      <c r="J37"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37"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37" s="137" t="s">
        <v>100</v>
      </c>
      <c r="M37" s="135" t="str">
        <f ca="1">IFERROR("_"&amp;VLOOKUP(CallTb[[#This Row],[iWatch '#]],INDIRECT($D$5&amp;"[#All]"),3,FALSE),"_"&amp;VLOOKUP(CallTb[[#This Row],[iWatch '#]],INDIRECT($D$5&amp;"_"&amp;$F$5&amp;"[#All]"),3,FALSE))</f>
        <v>_</v>
      </c>
      <c r="N37" s="135">
        <f ca="1">IF((CallTb[[#This Row],[Answer]]="Yes")+(CallTb[[#This Row],[Answer]]="NA")+((CallTb[[#This Row],[Section]]="")*(CallTb[[#This Row],[Answer]]="No")),"",IFERROR(VLOOKUP(CallTb[[#This Row],[iWatch '#]],INDIRECT($D$5&amp;"[#All]"),17,FALSE),VLOOKUP(CallTb[[#This Row],[iWatch '#]],INDIRECT($D$5&amp;"_"&amp;$F$5&amp;"[#All]"),17,FALSE)))</f>
        <v>0</v>
      </c>
      <c r="O37" s="135" cm="1">
        <f t="array" aca="1" ref="O37"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37" s="138"/>
      <c r="Q37" s="135"/>
      <c r="R37" s="135" t="str" cm="1">
        <f t="array" aca="1" ref="R37"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37" s="135" t="str">
        <f>IF(OR(CallTb[[#This Row],[Answer]]="No_AML",CallTb[[#This Row],[Answer]]="No_CFT",CallTb[[#This Row],[Answer]]="No_AntiFraud",CallTb[[#This Row],[Answer]],CallTb[[#This Row],[Answer]]="No"),CallTb[[#This Row],[Answer]],"")</f>
        <v/>
      </c>
      <c r="T37" s="135" t="str">
        <f>IF(CallTb[[#This Row],[Finding Type]]="","",CallTb[[#This Row],[iWatch '#]]&amp;"."&amp;CallTb[[#This Row],[Finding Type]])</f>
        <v/>
      </c>
      <c r="U37" s="135" t="str">
        <f ca="1">IFERROR(IF(SEARCH("Attach a copy",CallTb[[#This Row],[iWatch Questions]])=1,"Yes",""),"")</f>
        <v/>
      </c>
      <c r="V37" s="135">
        <f ca="1">IFERROR(VLOOKUP(CallTb[[#This Row],[iWatch '#]],INDIRECT($D$5&amp;"[#All]"),16,FALSE),VLOOKUP(CallTb[[#This Row],[iWatch '#]],INDIRECT($D$5&amp;"_"&amp;$F$5&amp;"[#All]"),16,FALSE))</f>
        <v>0</v>
      </c>
      <c r="W37" s="135"/>
    </row>
    <row r="38" spans="2:23">
      <c r="B38" s="135">
        <v>32</v>
      </c>
      <c r="C38" s="297" t="str">
        <f ca="1">IFERROR(INDEX(INDIRECT($D$5&amp;"[#All]"),MATCH(CallTb[[#This Row],[Order]],INDIRECT($D$5&amp;"[[#All],[Call Flow Order]]"),0),1),INDEX(INDIRECT($D$5&amp;"_"&amp;$F$5&amp;"[#All]"),MATCH(CallTb[[#This Row],[Order]],INDIRECT($D$5&amp;"_"&amp;$F$5&amp;"[[#All],[Call Flow Order]]"),0),1))</f>
        <v>GS7.GQ1</v>
      </c>
      <c r="D38" s="298" t="str">
        <f ca="1">IFERROR(VLOOKUP(CallTb[[#This Row],[iWatch '#]],INDIRECT($D$5&amp;"[#All]"),2,FALSE),VLOOKUP(CallTb[[#This Row],[iWatch '#]],INDIRECT($D$5&amp;"_"&amp;$F$5&amp;"[#All]"),2,FALSE))</f>
        <v>Is this an EFRAL Post reactivation Quarterly Review?</v>
      </c>
      <c r="E38" s="297">
        <f ca="1">IFERROR(VLOOKUP(CallTb[[#This Row],[iWatch '#]],INDIRECT($D$5&amp;"[#All]"),13,FALSE),VLOOKUP(CallTb[[#This Row],[iWatch '#]],INDIRECT($D$5&amp;"_"&amp;$F$5&amp;"[#All]"),13,FALSE))</f>
        <v>0</v>
      </c>
      <c r="F38" s="299" t="str">
        <f ca="1">IFERROR(VLOOKUP(CallTb[[#This Row],[iWatch '#]],INDIRECT($D$5&amp;"[#All]"),14,FALSE),VLOOKUP(CallTb[[#This Row],[iWatch '#]],INDIRECT($D$5&amp;"_"&amp;$F$5&amp;"[#All]"),14,FALSE))</f>
        <v>This is an EFRAL question.</v>
      </c>
      <c r="G38" s="298" t="str">
        <f ca="1">IFERROR(IFERROR(VLOOKUP(CallTb[[#This Row],[iWatch '#]],INDIRECT($D$5&amp;"[#All]"),VLOOKUP(CallTb[[#This Row],[Answer]],Guidance,2,FALSE),FALSE),VLOOKUP(CallTb[[#This Row],[iWatch '#]],INDIRECT($D$5&amp;"_"&amp;$F$5&amp;"[#All]"),VLOOKUP(CallTb[[#This Row],[Answer]],Guidance,2,FALSE),FALSE)),"")</f>
        <v/>
      </c>
      <c r="H38" s="136"/>
      <c r="I38" s="136"/>
      <c r="J38"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38"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38" s="137"/>
      <c r="M38" s="135" t="str">
        <f ca="1">IFERROR("_"&amp;VLOOKUP(CallTb[[#This Row],[iWatch '#]],INDIRECT($D$5&amp;"[#All]"),3,FALSE),"_"&amp;VLOOKUP(CallTb[[#This Row],[iWatch '#]],INDIRECT($D$5&amp;"_"&amp;$F$5&amp;"[#All]"),3,FALSE))</f>
        <v>_2</v>
      </c>
      <c r="N38" s="135">
        <f ca="1">IF((CallTb[[#This Row],[Answer]]="Yes")+(CallTb[[#This Row],[Answer]]="NA")+((CallTb[[#This Row],[Section]]="")*(CallTb[[#This Row],[Answer]]="No")),"",IFERROR(VLOOKUP(CallTb[[#This Row],[iWatch '#]],INDIRECT($D$5&amp;"[#All]"),17,FALSE),VLOOKUP(CallTb[[#This Row],[iWatch '#]],INDIRECT($D$5&amp;"_"&amp;$F$5&amp;"[#All]"),17,FALSE)))</f>
        <v>0</v>
      </c>
      <c r="O38" s="135" cm="1">
        <f t="array" aca="1" ref="O38"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38" s="138"/>
      <c r="Q38" s="135"/>
      <c r="R38" s="135" t="str" cm="1">
        <f t="array" aca="1" ref="R38"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38" s="135" t="str">
        <f>IF(OR(CallTb[[#This Row],[Answer]]="No_AML",CallTb[[#This Row],[Answer]]="No_CFT",CallTb[[#This Row],[Answer]]="No_AntiFraud",CallTb[[#This Row],[Answer]],CallTb[[#This Row],[Answer]]="No"),CallTb[[#This Row],[Answer]],"")</f>
        <v/>
      </c>
      <c r="T38" s="135" t="str">
        <f>IF(CallTb[[#This Row],[Finding Type]]="","",CallTb[[#This Row],[iWatch '#]]&amp;"."&amp;CallTb[[#This Row],[Finding Type]])</f>
        <v/>
      </c>
      <c r="U38" s="135" t="str">
        <f ca="1">IFERROR(IF(SEARCH("Attach a copy",CallTb[[#This Row],[iWatch Questions]])=1,"Yes",""),"")</f>
        <v/>
      </c>
      <c r="V38" s="135">
        <f ca="1">IFERROR(VLOOKUP(CallTb[[#This Row],[iWatch '#]],INDIRECT($D$5&amp;"[#All]"),16,FALSE),VLOOKUP(CallTb[[#This Row],[iWatch '#]],INDIRECT($D$5&amp;"_"&amp;$F$5&amp;"[#All]"),16,FALSE))</f>
        <v>0</v>
      </c>
      <c r="W38" s="135"/>
    </row>
    <row r="39" spans="2:23" ht="52">
      <c r="B39" s="135">
        <v>33</v>
      </c>
      <c r="C39" s="297" t="str">
        <f ca="1">IFERROR(INDEX(INDIRECT($D$5&amp;"[#All]"),MATCH(CallTb[[#This Row],[Order]],INDIRECT($D$5&amp;"[[#All],[Call Flow Order]]"),0),1),INDEX(INDIRECT($D$5&amp;"_"&amp;$F$5&amp;"[#All]"),MATCH(CallTb[[#This Row],[Order]],INDIRECT($D$5&amp;"_"&amp;$F$5&amp;"[[#All],[Call Flow Order]]"),0),1))</f>
        <v>GS7.GQ2</v>
      </c>
      <c r="D39" s="298" t="str">
        <f ca="1">IFERROR(VLOOKUP(CallTb[[#This Row],[iWatch '#]],INDIRECT($D$5&amp;"[#All]"),2,FALSE),VLOOKUP(CallTb[[#This Row],[iWatch '#]],INDIRECT($D$5&amp;"_"&amp;$F$5&amp;"[#All]"),2,FALSE))</f>
        <v>Do FLAs retain a photocopy or scan of the identification documents or biometric information presented by the recipient and retain the photocopies or images, along with the receive forms, for a period of five (5) years?</v>
      </c>
      <c r="E39" s="297">
        <f ca="1">IFERROR(VLOOKUP(CallTb[[#This Row],[iWatch '#]],INDIRECT($D$5&amp;"[#All]"),13,FALSE),VLOOKUP(CallTb[[#This Row],[iWatch '#]],INDIRECT($D$5&amp;"_"&amp;$F$5&amp;"[#All]"),13,FALSE))</f>
        <v>0</v>
      </c>
      <c r="F39" s="299" t="str">
        <f ca="1">IFERROR(VLOOKUP(CallTb[[#This Row],[iWatch '#]],INDIRECT($D$5&amp;"[#All]"),14,FALSE),VLOOKUP(CallTb[[#This Row],[iWatch '#]],INDIRECT($D$5&amp;"_"&amp;$F$5&amp;"[#All]"),14,FALSE))</f>
        <v>This is an EFRAL question.</v>
      </c>
      <c r="G39" s="298" t="str">
        <f ca="1">IFERROR(IFERROR(VLOOKUP(CallTb[[#This Row],[iWatch '#]],INDIRECT($D$5&amp;"[#All]"),VLOOKUP(CallTb[[#This Row],[Answer]],Guidance,2,FALSE),FALSE),VLOOKUP(CallTb[[#This Row],[iWatch '#]],INDIRECT($D$5&amp;"_"&amp;$F$5&amp;"[#All]"),VLOOKUP(CallTb[[#This Row],[Answer]],Guidance,2,FALSE),FALSE)),"")</f>
        <v/>
      </c>
      <c r="H39" s="136"/>
      <c r="I39" s="136"/>
      <c r="J39"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39"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39" s="137"/>
      <c r="M39" s="135" t="str">
        <f ca="1">IFERROR("_"&amp;VLOOKUP(CallTb[[#This Row],[iWatch '#]],INDIRECT($D$5&amp;"[#All]"),3,FALSE),"_"&amp;VLOOKUP(CallTb[[#This Row],[iWatch '#]],INDIRECT($D$5&amp;"_"&amp;$F$5&amp;"[#All]"),3,FALSE))</f>
        <v>_2</v>
      </c>
      <c r="N39" s="135">
        <f ca="1">IF((CallTb[[#This Row],[Answer]]="Yes")+(CallTb[[#This Row],[Answer]]="NA")+((CallTb[[#This Row],[Section]]="")*(CallTb[[#This Row],[Answer]]="No")),"",IFERROR(VLOOKUP(CallTb[[#This Row],[iWatch '#]],INDIRECT($D$5&amp;"[#All]"),17,FALSE),VLOOKUP(CallTb[[#This Row],[iWatch '#]],INDIRECT($D$5&amp;"_"&amp;$F$5&amp;"[#All]"),17,FALSE)))</f>
        <v>0</v>
      </c>
      <c r="O39" s="135" cm="1">
        <f t="array" aca="1" ref="O39"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39" s="138"/>
      <c r="Q39" s="135"/>
      <c r="R39" s="135" t="str" cm="1">
        <f t="array" aca="1" ref="R39"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39" s="135" t="str">
        <f>IF(OR(CallTb[[#This Row],[Answer]]="No_AML",CallTb[[#This Row],[Answer]]="No_CFT",CallTb[[#This Row],[Answer]]="No_AntiFraud",CallTb[[#This Row],[Answer]],CallTb[[#This Row],[Answer]]="No"),CallTb[[#This Row],[Answer]],"")</f>
        <v/>
      </c>
      <c r="T39" s="135" t="str">
        <f>IF(CallTb[[#This Row],[Finding Type]]="","",CallTb[[#This Row],[iWatch '#]]&amp;"."&amp;CallTb[[#This Row],[Finding Type]])</f>
        <v/>
      </c>
      <c r="U39" s="135" t="str">
        <f ca="1">IFERROR(IF(SEARCH("Attach a copy",CallTb[[#This Row],[iWatch Questions]])=1,"Yes",""),"")</f>
        <v/>
      </c>
      <c r="V39" s="135">
        <f ca="1">IFERROR(VLOOKUP(CallTb[[#This Row],[iWatch '#]],INDIRECT($D$5&amp;"[#All]"),16,FALSE),VLOOKUP(CallTb[[#This Row],[iWatch '#]],INDIRECT($D$5&amp;"_"&amp;$F$5&amp;"[#All]"),16,FALSE))</f>
        <v>0</v>
      </c>
      <c r="W39" s="135"/>
    </row>
    <row r="40" spans="2:23" ht="52">
      <c r="B40" s="135">
        <v>34</v>
      </c>
      <c r="C40" s="297" t="str">
        <f ca="1">IFERROR(INDEX(INDIRECT($D$5&amp;"[#All]"),MATCH(CallTb[[#This Row],[Order]],INDIRECT($D$5&amp;"[[#All],[Call Flow Order]]"),0),1),INDEX(INDIRECT($D$5&amp;"_"&amp;$F$5&amp;"[#All]"),MATCH(CallTb[[#This Row],[Order]],INDIRECT($D$5&amp;"_"&amp;$F$5&amp;"[[#All],[Call Flow Order]]"),0),1))</f>
        <v>GS7.GQ3</v>
      </c>
      <c r="D40" s="298" t="str">
        <f ca="1">IFERROR(VLOOKUP(CallTb[[#This Row],[iWatch '#]],INDIRECT($D$5&amp;"[#All]"),2,FALSE),VLOOKUP(CallTb[[#This Row],[iWatch '#]],INDIRECT($D$5&amp;"_"&amp;$F$5&amp;"[#All]"),2,FALSE))</f>
        <v>Explicit statement that WUCO has verified the retention of identity documents and/or biometric information presented by receivers; attachment the document.  (see RRVA Attachment Requirements)</v>
      </c>
      <c r="E40" s="297">
        <f ca="1">IFERROR(VLOOKUP(CallTb[[#This Row],[iWatch '#]],INDIRECT($D$5&amp;"[#All]"),13,FALSE),VLOOKUP(CallTb[[#This Row],[iWatch '#]],INDIRECT($D$5&amp;"_"&amp;$F$5&amp;"[#All]"),13,FALSE))</f>
        <v>0</v>
      </c>
      <c r="F40" s="299" t="str">
        <f ca="1">IFERROR(VLOOKUP(CallTb[[#This Row],[iWatch '#]],INDIRECT($D$5&amp;"[#All]"),14,FALSE),VLOOKUP(CallTb[[#This Row],[iWatch '#]],INDIRECT($D$5&amp;"_"&amp;$F$5&amp;"[#All]"),14,FALSE))</f>
        <v>This is an EFRAL question.</v>
      </c>
      <c r="G40" s="298" t="str">
        <f ca="1">IFERROR(IFERROR(VLOOKUP(CallTb[[#This Row],[iWatch '#]],INDIRECT($D$5&amp;"[#All]"),VLOOKUP(CallTb[[#This Row],[Answer]],Guidance,2,FALSE),FALSE),VLOOKUP(CallTb[[#This Row],[iWatch '#]],INDIRECT($D$5&amp;"_"&amp;$F$5&amp;"[#All]"),VLOOKUP(CallTb[[#This Row],[Answer]],Guidance,2,FALSE),FALSE)),"")</f>
        <v/>
      </c>
      <c r="H40" s="136"/>
      <c r="I40" s="136"/>
      <c r="J40"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40"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40" s="137"/>
      <c r="M40" s="135" t="str">
        <f ca="1">IFERROR("_"&amp;VLOOKUP(CallTb[[#This Row],[iWatch '#]],INDIRECT($D$5&amp;"[#All]"),3,FALSE),"_"&amp;VLOOKUP(CallTb[[#This Row],[iWatch '#]],INDIRECT($D$5&amp;"_"&amp;$F$5&amp;"[#All]"),3,FALSE))</f>
        <v>_</v>
      </c>
      <c r="N40" s="135">
        <f ca="1">IF((CallTb[[#This Row],[Answer]]="Yes")+(CallTb[[#This Row],[Answer]]="NA")+((CallTb[[#This Row],[Section]]="")*(CallTb[[#This Row],[Answer]]="No")),"",IFERROR(VLOOKUP(CallTb[[#This Row],[iWatch '#]],INDIRECT($D$5&amp;"[#All]"),17,FALSE),VLOOKUP(CallTb[[#This Row],[iWatch '#]],INDIRECT($D$5&amp;"_"&amp;$F$5&amp;"[#All]"),17,FALSE)))</f>
        <v>0</v>
      </c>
      <c r="O40" s="135" cm="1">
        <f t="array" aca="1" ref="O40"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40" s="138"/>
      <c r="Q40" s="135"/>
      <c r="R40" s="135" t="str" cm="1">
        <f t="array" aca="1" ref="R40"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40" s="135" t="str">
        <f>IF(OR(CallTb[[#This Row],[Answer]]="No_AML",CallTb[[#This Row],[Answer]]="No_CFT",CallTb[[#This Row],[Answer]]="No_AntiFraud",CallTb[[#This Row],[Answer]],CallTb[[#This Row],[Answer]]="No"),CallTb[[#This Row],[Answer]],"")</f>
        <v/>
      </c>
      <c r="T40" s="135" t="str">
        <f>IF(CallTb[[#This Row],[Finding Type]]="","",CallTb[[#This Row],[iWatch '#]]&amp;"."&amp;CallTb[[#This Row],[Finding Type]])</f>
        <v/>
      </c>
      <c r="U40" s="135" t="str">
        <f ca="1">IFERROR(IF(SEARCH("Attach a copy",CallTb[[#This Row],[iWatch Questions]])=1,"Yes",""),"")</f>
        <v/>
      </c>
      <c r="V40" s="135">
        <f ca="1">IFERROR(VLOOKUP(CallTb[[#This Row],[iWatch '#]],INDIRECT($D$5&amp;"[#All]"),16,FALSE),VLOOKUP(CallTb[[#This Row],[iWatch '#]],INDIRECT($D$5&amp;"_"&amp;$F$5&amp;"[#All]"),16,FALSE))</f>
        <v>0</v>
      </c>
      <c r="W40" s="135"/>
    </row>
    <row r="41" spans="2:23">
      <c r="B41" s="135">
        <v>35</v>
      </c>
      <c r="C41" s="297" t="str">
        <f ca="1">IFERROR(INDEX(INDIRECT($D$5&amp;"[#All]"),MATCH(CallTb[[#This Row],[Order]],INDIRECT($D$5&amp;"[[#All],[Call Flow Order]]"),0),1),INDEX(INDIRECT($D$5&amp;"_"&amp;$F$5&amp;"[#All]"),MATCH(CallTb[[#This Row],[Order]],INDIRECT($D$5&amp;"_"&amp;$F$5&amp;"[[#All],[Call Flow Order]]"),0),1))</f>
        <v>GS7.GQ4</v>
      </c>
      <c r="D41" s="298" t="str">
        <f ca="1">IFERROR(VLOOKUP(CallTb[[#This Row],[iWatch '#]],INDIRECT($D$5&amp;"[#All]"),2,FALSE),VLOOKUP(CallTb[[#This Row],[iWatch '#]],INDIRECT($D$5&amp;"_"&amp;$F$5&amp;"[#All]"),2,FALSE))</f>
        <v>Is this location a Send-Only EFRAL?</v>
      </c>
      <c r="E41" s="297">
        <f ca="1">IFERROR(VLOOKUP(CallTb[[#This Row],[iWatch '#]],INDIRECT($D$5&amp;"[#All]"),13,FALSE),VLOOKUP(CallTb[[#This Row],[iWatch '#]],INDIRECT($D$5&amp;"_"&amp;$F$5&amp;"[#All]"),13,FALSE))</f>
        <v>0</v>
      </c>
      <c r="F41" s="299" t="str">
        <f ca="1">IFERROR(VLOOKUP(CallTb[[#This Row],[iWatch '#]],INDIRECT($D$5&amp;"[#All]"),14,FALSE),VLOOKUP(CallTb[[#This Row],[iWatch '#]],INDIRECT($D$5&amp;"_"&amp;$F$5&amp;"[#All]"),14,FALSE))</f>
        <v>This is an EFRAL question.</v>
      </c>
      <c r="G41" s="298" t="str">
        <f ca="1">IFERROR(IFERROR(VLOOKUP(CallTb[[#This Row],[iWatch '#]],INDIRECT($D$5&amp;"[#All]"),VLOOKUP(CallTb[[#This Row],[Answer]],Guidance,2,FALSE),FALSE),VLOOKUP(CallTb[[#This Row],[iWatch '#]],INDIRECT($D$5&amp;"_"&amp;$F$5&amp;"[#All]"),VLOOKUP(CallTb[[#This Row],[Answer]],Guidance,2,FALSE),FALSE)),"")</f>
        <v/>
      </c>
      <c r="H41" s="136"/>
      <c r="I41" s="136"/>
      <c r="J41"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41"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41" s="137"/>
      <c r="M41" s="135" t="str">
        <f ca="1">IFERROR("_"&amp;VLOOKUP(CallTb[[#This Row],[iWatch '#]],INDIRECT($D$5&amp;"[#All]"),3,FALSE),"_"&amp;VLOOKUP(CallTb[[#This Row],[iWatch '#]],INDIRECT($D$5&amp;"_"&amp;$F$5&amp;"[#All]"),3,FALSE))</f>
        <v>_2</v>
      </c>
      <c r="N41" s="135">
        <f ca="1">IF((CallTb[[#This Row],[Answer]]="Yes")+(CallTb[[#This Row],[Answer]]="NA")+((CallTb[[#This Row],[Section]]="")*(CallTb[[#This Row],[Answer]]="No")),"",IFERROR(VLOOKUP(CallTb[[#This Row],[iWatch '#]],INDIRECT($D$5&amp;"[#All]"),17,FALSE),VLOOKUP(CallTb[[#This Row],[iWatch '#]],INDIRECT($D$5&amp;"_"&amp;$F$5&amp;"[#All]"),17,FALSE)))</f>
        <v>0</v>
      </c>
      <c r="O41" s="135" cm="1">
        <f t="array" aca="1" ref="O41"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41" s="138"/>
      <c r="Q41" s="135"/>
      <c r="R41" s="135" t="str" cm="1">
        <f t="array" aca="1" ref="R41"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41" s="135" t="str">
        <f>IF(OR(CallTb[[#This Row],[Answer]]="No_AML",CallTb[[#This Row],[Answer]]="No_CFT",CallTb[[#This Row],[Answer]]="No_AntiFraud",CallTb[[#This Row],[Answer]],CallTb[[#This Row],[Answer]]="No"),CallTb[[#This Row],[Answer]],"")</f>
        <v/>
      </c>
      <c r="T41" s="135" t="str">
        <f>IF(CallTb[[#This Row],[Finding Type]]="","",CallTb[[#This Row],[iWatch '#]]&amp;"."&amp;CallTb[[#This Row],[Finding Type]])</f>
        <v/>
      </c>
      <c r="U41" s="135" t="str">
        <f ca="1">IFERROR(IF(SEARCH("Attach a copy",CallTb[[#This Row],[iWatch Questions]])=1,"Yes",""),"")</f>
        <v/>
      </c>
      <c r="V41" s="135">
        <f ca="1">IFERROR(VLOOKUP(CallTb[[#This Row],[iWatch '#]],INDIRECT($D$5&amp;"[#All]"),16,FALSE),VLOOKUP(CallTb[[#This Row],[iWatch '#]],INDIRECT($D$5&amp;"_"&amp;$F$5&amp;"[#All]"),16,FALSE))</f>
        <v>0</v>
      </c>
      <c r="W41" s="135"/>
    </row>
    <row r="42" spans="2:23" ht="39">
      <c r="B42" s="135">
        <v>36</v>
      </c>
      <c r="C42" s="297" t="str">
        <f ca="1">IFERROR(INDEX(INDIRECT($D$5&amp;"[#All]"),MATCH(CallTb[[#This Row],[Order]],INDIRECT($D$5&amp;"[[#All],[Call Flow Order]]"),0),1),INDEX(INDIRECT($D$5&amp;"_"&amp;$F$5&amp;"[#All]"),MATCH(CallTb[[#This Row],[Order]],INDIRECT($D$5&amp;"_"&amp;$F$5&amp;"[[#All],[Call Flow Order]]"),0),1))</f>
        <v>GS7.GQ5</v>
      </c>
      <c r="D42" s="298" t="str">
        <f ca="1">IFERROR(VLOOKUP(CallTb[[#This Row],[iWatch '#]],INDIRECT($D$5&amp;"[#All]"),2,FALSE),VLOOKUP(CallTb[[#This Row],[iWatch '#]],INDIRECT($D$5&amp;"_"&amp;$F$5&amp;"[#All]"),2,FALSE))</f>
        <v>Explicit statement that WUCO has verified the Agent's send-only status; attach the document (see Send-only Attachment Requirements)</v>
      </c>
      <c r="E42" s="297">
        <f ca="1">IFERROR(VLOOKUP(CallTb[[#This Row],[iWatch '#]],INDIRECT($D$5&amp;"[#All]"),13,FALSE),VLOOKUP(CallTb[[#This Row],[iWatch '#]],INDIRECT($D$5&amp;"_"&amp;$F$5&amp;"[#All]"),13,FALSE))</f>
        <v>0</v>
      </c>
      <c r="F42" s="299" t="str">
        <f ca="1">IFERROR(VLOOKUP(CallTb[[#This Row],[iWatch '#]],INDIRECT($D$5&amp;"[#All]"),14,FALSE),VLOOKUP(CallTb[[#This Row],[iWatch '#]],INDIRECT($D$5&amp;"_"&amp;$F$5&amp;"[#All]"),14,FALSE))</f>
        <v>This is an EFRAL question.</v>
      </c>
      <c r="G42" s="298" t="str">
        <f ca="1">IFERROR(IFERROR(VLOOKUP(CallTb[[#This Row],[iWatch '#]],INDIRECT($D$5&amp;"[#All]"),VLOOKUP(CallTb[[#This Row],[Answer]],Guidance,2,FALSE),FALSE),VLOOKUP(CallTb[[#This Row],[iWatch '#]],INDIRECT($D$5&amp;"_"&amp;$F$5&amp;"[#All]"),VLOOKUP(CallTb[[#This Row],[Answer]],Guidance,2,FALSE),FALSE)),"")</f>
        <v/>
      </c>
      <c r="H42" s="136"/>
      <c r="I42" s="136"/>
      <c r="J42"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42"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42" s="137"/>
      <c r="M42" s="135" t="str">
        <f ca="1">IFERROR("_"&amp;VLOOKUP(CallTb[[#This Row],[iWatch '#]],INDIRECT($D$5&amp;"[#All]"),3,FALSE),"_"&amp;VLOOKUP(CallTb[[#This Row],[iWatch '#]],INDIRECT($D$5&amp;"_"&amp;$F$5&amp;"[#All]"),3,FALSE))</f>
        <v>_</v>
      </c>
      <c r="N42" s="135">
        <f ca="1">IF((CallTb[[#This Row],[Answer]]="Yes")+(CallTb[[#This Row],[Answer]]="NA")+((CallTb[[#This Row],[Section]]="")*(CallTb[[#This Row],[Answer]]="No")),"",IFERROR(VLOOKUP(CallTb[[#This Row],[iWatch '#]],INDIRECT($D$5&amp;"[#All]"),17,FALSE),VLOOKUP(CallTb[[#This Row],[iWatch '#]],INDIRECT($D$5&amp;"_"&amp;$F$5&amp;"[#All]"),17,FALSE)))</f>
        <v>0</v>
      </c>
      <c r="O42" s="135" cm="1">
        <f t="array" aca="1" ref="O42"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42" s="138"/>
      <c r="Q42" s="135"/>
      <c r="R42" s="135" t="str" cm="1">
        <f t="array" aca="1" ref="R42"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42" s="135" t="str">
        <f>IF(OR(CallTb[[#This Row],[Answer]]="No_AML",CallTb[[#This Row],[Answer]]="No_CFT",CallTb[[#This Row],[Answer]]="No_AntiFraud",CallTb[[#This Row],[Answer]],CallTb[[#This Row],[Answer]]="No"),CallTb[[#This Row],[Answer]],"")</f>
        <v/>
      </c>
      <c r="T42" s="135" t="str">
        <f>IF(CallTb[[#This Row],[Finding Type]]="","",CallTb[[#This Row],[iWatch '#]]&amp;"."&amp;CallTb[[#This Row],[Finding Type]])</f>
        <v/>
      </c>
      <c r="U42" s="135" t="str">
        <f ca="1">IFERROR(IF(SEARCH("Attach a copy",CallTb[[#This Row],[iWatch Questions]])=1,"Yes",""),"")</f>
        <v/>
      </c>
      <c r="V42" s="135">
        <f ca="1">IFERROR(VLOOKUP(CallTb[[#This Row],[iWatch '#]],INDIRECT($D$5&amp;"[#All]"),16,FALSE),VLOOKUP(CallTb[[#This Row],[iWatch '#]],INDIRECT($D$5&amp;"_"&amp;$F$5&amp;"[#All]"),16,FALSE))</f>
        <v>0</v>
      </c>
      <c r="W42" s="135"/>
    </row>
    <row r="43" spans="2:23">
      <c r="B43" s="135">
        <v>37</v>
      </c>
      <c r="C43" s="297" t="str">
        <f ca="1">IFERROR(INDEX(INDIRECT($D$5&amp;"[#All]"),MATCH(CallTb[[#This Row],[Order]],INDIRECT($D$5&amp;"[[#All],[Call Flow Order]]"),0),1),INDEX(INDIRECT($D$5&amp;"_"&amp;$F$5&amp;"[#All]"),MATCH(CallTb[[#This Row],[Order]],INDIRECT($D$5&amp;"_"&amp;$F$5&amp;"[[#All],[Call Flow Order]]"),0),1))</f>
        <v>GS7.GQ6</v>
      </c>
      <c r="D43" s="298" t="str">
        <f ca="1">IFERROR(VLOOKUP(CallTb[[#This Row],[iWatch '#]],INDIRECT($D$5&amp;"[#All]"),2,FALSE),VLOOKUP(CallTb[[#This Row],[iWatch '#]],INDIRECT($D$5&amp;"_"&amp;$F$5&amp;"[#All]"),2,FALSE))</f>
        <v>Is this location a retired EFRAL?</v>
      </c>
      <c r="E43" s="297">
        <f ca="1">IFERROR(VLOOKUP(CallTb[[#This Row],[iWatch '#]],INDIRECT($D$5&amp;"[#All]"),13,FALSE),VLOOKUP(CallTb[[#This Row],[iWatch '#]],INDIRECT($D$5&amp;"_"&amp;$F$5&amp;"[#All]"),13,FALSE))</f>
        <v>0</v>
      </c>
      <c r="F43" s="299" t="str">
        <f ca="1">IFERROR(VLOOKUP(CallTb[[#This Row],[iWatch '#]],INDIRECT($D$5&amp;"[#All]"),14,FALSE),VLOOKUP(CallTb[[#This Row],[iWatch '#]],INDIRECT($D$5&amp;"_"&amp;$F$5&amp;"[#All]"),14,FALSE))</f>
        <v>This is an EFRAL question.</v>
      </c>
      <c r="G43" s="298" t="str">
        <f ca="1">IFERROR(IFERROR(VLOOKUP(CallTb[[#This Row],[iWatch '#]],INDIRECT($D$5&amp;"[#All]"),VLOOKUP(CallTb[[#This Row],[Answer]],Guidance,2,FALSE),FALSE),VLOOKUP(CallTb[[#This Row],[iWatch '#]],INDIRECT($D$5&amp;"_"&amp;$F$5&amp;"[#All]"),VLOOKUP(CallTb[[#This Row],[Answer]],Guidance,2,FALSE),FALSE)),"")</f>
        <v/>
      </c>
      <c r="H43" s="136"/>
      <c r="I43" s="136"/>
      <c r="J43"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43"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43" s="137"/>
      <c r="M43" s="135" t="str">
        <f ca="1">IFERROR("_"&amp;VLOOKUP(CallTb[[#This Row],[iWatch '#]],INDIRECT($D$5&amp;"[#All]"),3,FALSE),"_"&amp;VLOOKUP(CallTb[[#This Row],[iWatch '#]],INDIRECT($D$5&amp;"_"&amp;$F$5&amp;"[#All]"),3,FALSE))</f>
        <v>_2</v>
      </c>
      <c r="N43" s="135">
        <f ca="1">IF((CallTb[[#This Row],[Answer]]="Yes")+(CallTb[[#This Row],[Answer]]="NA")+((CallTb[[#This Row],[Section]]="")*(CallTb[[#This Row],[Answer]]="No")),"",IFERROR(VLOOKUP(CallTb[[#This Row],[iWatch '#]],INDIRECT($D$5&amp;"[#All]"),17,FALSE),VLOOKUP(CallTb[[#This Row],[iWatch '#]],INDIRECT($D$5&amp;"_"&amp;$F$5&amp;"[#All]"),17,FALSE)))</f>
        <v>0</v>
      </c>
      <c r="O43" s="135" cm="1">
        <f t="array" aca="1" ref="O43"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43" s="138"/>
      <c r="Q43" s="135"/>
      <c r="R43" s="135" t="str" cm="1">
        <f t="array" aca="1" ref="R43"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43" s="135" t="str">
        <f>IF(OR(CallTb[[#This Row],[Answer]]="No_AML",CallTb[[#This Row],[Answer]]="No_CFT",CallTb[[#This Row],[Answer]]="No_AntiFraud",CallTb[[#This Row],[Answer]],CallTb[[#This Row],[Answer]]="No"),CallTb[[#This Row],[Answer]],"")</f>
        <v/>
      </c>
      <c r="T43" s="135" t="str">
        <f>IF(CallTb[[#This Row],[Finding Type]]="","",CallTb[[#This Row],[iWatch '#]]&amp;"."&amp;CallTb[[#This Row],[Finding Type]])</f>
        <v/>
      </c>
      <c r="U43" s="135" t="str">
        <f ca="1">IFERROR(IF(SEARCH("Attach a copy",CallTb[[#This Row],[iWatch Questions]])=1,"Yes",""),"")</f>
        <v/>
      </c>
      <c r="V43" s="135">
        <f ca="1">IFERROR(VLOOKUP(CallTb[[#This Row],[iWatch '#]],INDIRECT($D$5&amp;"[#All]"),16,FALSE),VLOOKUP(CallTb[[#This Row],[iWatch '#]],INDIRECT($D$5&amp;"_"&amp;$F$5&amp;"[#All]"),16,FALSE))</f>
        <v>0</v>
      </c>
      <c r="W43" s="135"/>
    </row>
    <row r="44" spans="2:23" ht="26">
      <c r="B44" s="135">
        <v>38</v>
      </c>
      <c r="C44" s="297" t="str">
        <f ca="1">IFERROR(INDEX(INDIRECT($D$5&amp;"[#All]"),MATCH(CallTb[[#This Row],[Order]],INDIRECT($D$5&amp;"[[#All],[Call Flow Order]]"),0),1),INDEX(INDIRECT($D$5&amp;"_"&amp;$F$5&amp;"[#All]"),MATCH(CallTb[[#This Row],[Order]],INDIRECT($D$5&amp;"_"&amp;$F$5&amp;"[[#All],[Call Flow Order]]"),0),1))</f>
        <v>GS7.GQ7</v>
      </c>
      <c r="D44" s="298" t="str">
        <f ca="1">IFERROR(VLOOKUP(CallTb[[#This Row],[iWatch '#]],INDIRECT($D$5&amp;"[#All]"),2,FALSE),VLOOKUP(CallTb[[#This Row],[iWatch '#]],INDIRECT($D$5&amp;"_"&amp;$F$5&amp;"[#All]"),2,FALSE))</f>
        <v>Explicit statement that WUCO has viewed the agent signed Commitment Letter or WU system status confirming it.</v>
      </c>
      <c r="E44" s="297">
        <f ca="1">IFERROR(VLOOKUP(CallTb[[#This Row],[iWatch '#]],INDIRECT($D$5&amp;"[#All]"),13,FALSE),VLOOKUP(CallTb[[#This Row],[iWatch '#]],INDIRECT($D$5&amp;"_"&amp;$F$5&amp;"[#All]"),13,FALSE))</f>
        <v>0</v>
      </c>
      <c r="F44" s="299" t="str">
        <f ca="1">IFERROR(VLOOKUP(CallTb[[#This Row],[iWatch '#]],INDIRECT($D$5&amp;"[#All]"),14,FALSE),VLOOKUP(CallTb[[#This Row],[iWatch '#]],INDIRECT($D$5&amp;"_"&amp;$F$5&amp;"[#All]"),14,FALSE))</f>
        <v>This is an EFRAL question.</v>
      </c>
      <c r="G44" s="298" t="str">
        <f ca="1">IFERROR(IFERROR(VLOOKUP(CallTb[[#This Row],[iWatch '#]],INDIRECT($D$5&amp;"[#All]"),VLOOKUP(CallTb[[#This Row],[Answer]],Guidance,2,FALSE),FALSE),VLOOKUP(CallTb[[#This Row],[iWatch '#]],INDIRECT($D$5&amp;"_"&amp;$F$5&amp;"[#All]"),VLOOKUP(CallTb[[#This Row],[Answer]],Guidance,2,FALSE),FALSE)),"")</f>
        <v/>
      </c>
      <c r="H44" s="136"/>
      <c r="I44" s="136"/>
      <c r="J44"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44"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44" s="137"/>
      <c r="M44" s="135" t="str">
        <f ca="1">IFERROR("_"&amp;VLOOKUP(CallTb[[#This Row],[iWatch '#]],INDIRECT($D$5&amp;"[#All]"),3,FALSE),"_"&amp;VLOOKUP(CallTb[[#This Row],[iWatch '#]],INDIRECT($D$5&amp;"_"&amp;$F$5&amp;"[#All]"),3,FALSE))</f>
        <v>_</v>
      </c>
      <c r="N44" s="135">
        <f ca="1">IF((CallTb[[#This Row],[Answer]]="Yes")+(CallTb[[#This Row],[Answer]]="NA")+((CallTb[[#This Row],[Section]]="")*(CallTb[[#This Row],[Answer]]="No")),"",IFERROR(VLOOKUP(CallTb[[#This Row],[iWatch '#]],INDIRECT($D$5&amp;"[#All]"),17,FALSE),VLOOKUP(CallTb[[#This Row],[iWatch '#]],INDIRECT($D$5&amp;"_"&amp;$F$5&amp;"[#All]"),17,FALSE)))</f>
        <v>0</v>
      </c>
      <c r="O44" s="135" cm="1">
        <f t="array" aca="1" ref="O44"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44" s="138"/>
      <c r="Q44" s="135"/>
      <c r="R44" s="135" t="str" cm="1">
        <f t="array" aca="1" ref="R44"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44" s="135" t="str">
        <f>IF(OR(CallTb[[#This Row],[Answer]]="No_AML",CallTb[[#This Row],[Answer]]="No_CFT",CallTb[[#This Row],[Answer]]="No_AntiFraud",CallTb[[#This Row],[Answer]],CallTb[[#This Row],[Answer]]="No"),CallTb[[#This Row],[Answer]],"")</f>
        <v/>
      </c>
      <c r="T44" s="135" t="str">
        <f>IF(CallTb[[#This Row],[Finding Type]]="","",CallTb[[#This Row],[iWatch '#]]&amp;"."&amp;CallTb[[#This Row],[Finding Type]])</f>
        <v/>
      </c>
      <c r="U44" s="135" t="str">
        <f ca="1">IFERROR(IF(SEARCH("Attach a copy",CallTb[[#This Row],[iWatch Questions]])=1,"Yes",""),"")</f>
        <v/>
      </c>
      <c r="V44" s="135">
        <f ca="1">IFERROR(VLOOKUP(CallTb[[#This Row],[iWatch '#]],INDIRECT($D$5&amp;"[#All]"),16,FALSE),VLOOKUP(CallTb[[#This Row],[iWatch '#]],INDIRECT($D$5&amp;"_"&amp;$F$5&amp;"[#All]"),16,FALSE))</f>
        <v>0</v>
      </c>
      <c r="W44" s="135"/>
    </row>
    <row r="45" spans="2:23">
      <c r="B45" s="135">
        <v>39</v>
      </c>
      <c r="C45" s="297" t="str">
        <f ca="1">IFERROR(INDEX(INDIRECT($D$5&amp;"[#All]"),MATCH(CallTb[[#This Row],[Order]],INDIRECT($D$5&amp;"[[#All],[Call Flow Order]]"),0),1),INDEX(INDIRECT($D$5&amp;"_"&amp;$F$5&amp;"[#All]"),MATCH(CallTb[[#This Row],[Order]],INDIRECT($D$5&amp;"_"&amp;$F$5&amp;"[[#All],[Call Flow Order]]"),0),1))</f>
        <v>GS1.GQ4</v>
      </c>
      <c r="D45" s="298" t="str">
        <f ca="1">IFERROR(VLOOKUP(CallTb[[#This Row],[iWatch '#]],INDIRECT($D$5&amp;"[#All]"),2,FALSE),VLOOKUP(CallTb[[#This Row],[iWatch '#]],INDIRECT($D$5&amp;"_"&amp;$F$5&amp;"[#All]"),2,FALSE))</f>
        <v xml:space="preserve">Is the Finding Level Assigned "With Findings" or higher? </v>
      </c>
      <c r="E45" s="297">
        <f ca="1">IFERROR(VLOOKUP(CallTb[[#This Row],[iWatch '#]],INDIRECT($D$5&amp;"[#All]"),13,FALSE),VLOOKUP(CallTb[[#This Row],[iWatch '#]],INDIRECT($D$5&amp;"_"&amp;$F$5&amp;"[#All]"),13,FALSE))</f>
        <v>0</v>
      </c>
      <c r="F45" s="299" t="str">
        <f ca="1">IFERROR(VLOOKUP(CallTb[[#This Row],[iWatch '#]],INDIRECT($D$5&amp;"[#All]"),14,FALSE),VLOOKUP(CallTb[[#This Row],[iWatch '#]],INDIRECT($D$5&amp;"_"&amp;$F$5&amp;"[#All]"),14,FALSE))</f>
        <v xml:space="preserve"> </v>
      </c>
      <c r="G45" s="298" t="str">
        <f ca="1">IFERROR(IFERROR(VLOOKUP(CallTb[[#This Row],[iWatch '#]],INDIRECT($D$5&amp;"[#All]"),VLOOKUP(CallTb[[#This Row],[Answer]],Guidance,2,FALSE),FALSE),VLOOKUP(CallTb[[#This Row],[iWatch '#]],INDIRECT($D$5&amp;"_"&amp;$F$5&amp;"[#All]"),VLOOKUP(CallTb[[#This Row],[Answer]],Guidance,2,FALSE),FALSE)),"")</f>
        <v/>
      </c>
      <c r="H45" s="136"/>
      <c r="I45" s="136"/>
      <c r="J45"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45"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45" s="137"/>
      <c r="M45" s="135" t="str">
        <f ca="1">IFERROR("_"&amp;VLOOKUP(CallTb[[#This Row],[iWatch '#]],INDIRECT($D$5&amp;"[#All]"),3,FALSE),"_"&amp;VLOOKUP(CallTb[[#This Row],[iWatch '#]],INDIRECT($D$5&amp;"_"&amp;$F$5&amp;"[#All]"),3,FALSE))</f>
        <v>_2</v>
      </c>
      <c r="N45" s="135">
        <f ca="1">IF((CallTb[[#This Row],[Answer]]="Yes")+(CallTb[[#This Row],[Answer]]="NA")+((CallTb[[#This Row],[Section]]="")*(CallTb[[#This Row],[Answer]]="No")),"",IFERROR(VLOOKUP(CallTb[[#This Row],[iWatch '#]],INDIRECT($D$5&amp;"[#All]"),17,FALSE),VLOOKUP(CallTb[[#This Row],[iWatch '#]],INDIRECT($D$5&amp;"_"&amp;$F$5&amp;"[#All]"),17,FALSE)))</f>
        <v>0</v>
      </c>
      <c r="O45" s="135" cm="1">
        <f t="array" aca="1" ref="O45"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45" s="138"/>
      <c r="Q45" s="135"/>
      <c r="R45" s="135" t="str" cm="1">
        <f t="array" aca="1" ref="R45"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45" s="135" t="str">
        <f>IF(OR(CallTb[[#This Row],[Answer]]="No_AML",CallTb[[#This Row],[Answer]]="No_CFT",CallTb[[#This Row],[Answer]]="No_AntiFraud",CallTb[[#This Row],[Answer]],CallTb[[#This Row],[Answer]]="No"),CallTb[[#This Row],[Answer]],"")</f>
        <v/>
      </c>
      <c r="T45" s="135" t="str">
        <f>IF(CallTb[[#This Row],[Finding Type]]="","",CallTb[[#This Row],[iWatch '#]]&amp;"."&amp;CallTb[[#This Row],[Finding Type]])</f>
        <v/>
      </c>
      <c r="U45" s="135" t="str">
        <f ca="1">IFERROR(IF(SEARCH("Attach a copy",CallTb[[#This Row],[iWatch Questions]])=1,"Yes",""),"")</f>
        <v/>
      </c>
      <c r="V45" s="135">
        <f ca="1">IFERROR(VLOOKUP(CallTb[[#This Row],[iWatch '#]],INDIRECT($D$5&amp;"[#All]"),16,FALSE),VLOOKUP(CallTb[[#This Row],[iWatch '#]],INDIRECT($D$5&amp;"_"&amp;$F$5&amp;"[#All]"),16,FALSE))</f>
        <v>0</v>
      </c>
      <c r="W45" s="135"/>
    </row>
    <row r="46" spans="2:23" ht="26">
      <c r="B46" s="135">
        <v>40</v>
      </c>
      <c r="C46" s="297" t="str">
        <f ca="1">IFERROR(INDEX(INDIRECT($D$5&amp;"[#All]"),MATCH(CallTb[[#This Row],[Order]],INDIRECT($D$5&amp;"[[#All],[Call Flow Order]]"),0),1),INDEX(INDIRECT($D$5&amp;"_"&amp;$F$5&amp;"[#All]"),MATCH(CallTb[[#This Row],[Order]],INDIRECT($D$5&amp;"_"&amp;$F$5&amp;"[[#All],[Call Flow Order]]"),0),1))</f>
        <v>GS1.GQ5</v>
      </c>
      <c r="D46" s="298" t="str">
        <f ca="1">IFERROR(VLOOKUP(CallTb[[#This Row],[iWatch '#]],INDIRECT($D$5&amp;"[#All]"),2,FALSE),VLOOKUP(CallTb[[#This Row],[iWatch '#]],INDIRECT($D$5&amp;"_"&amp;$F$5&amp;"[#All]"),2,FALSE))</f>
        <v>Attach a copy of the Findings Letter if the overall Level Assigned is "With Findings" or higher.</v>
      </c>
      <c r="E46" s="297">
        <f ca="1">IFERROR(VLOOKUP(CallTb[[#This Row],[iWatch '#]],INDIRECT($D$5&amp;"[#All]"),13,FALSE),VLOOKUP(CallTb[[#This Row],[iWatch '#]],INDIRECT($D$5&amp;"_"&amp;$F$5&amp;"[#All]"),13,FALSE))</f>
        <v>0</v>
      </c>
      <c r="F46" s="299" t="str">
        <f ca="1">IFERROR(VLOOKUP(CallTb[[#This Row],[iWatch '#]],INDIRECT($D$5&amp;"[#All]"),14,FALSE),VLOOKUP(CallTb[[#This Row],[iWatch '#]],INDIRECT($D$5&amp;"_"&amp;$F$5&amp;"[#All]"),14,FALSE))</f>
        <v xml:space="preserve"> </v>
      </c>
      <c r="G46" s="298" t="str">
        <f ca="1">IFERROR(IFERROR(VLOOKUP(CallTb[[#This Row],[iWatch '#]],INDIRECT($D$5&amp;"[#All]"),VLOOKUP(CallTb[[#This Row],[Answer]],Guidance,2,FALSE),FALSE),VLOOKUP(CallTb[[#This Row],[iWatch '#]],INDIRECT($D$5&amp;"_"&amp;$F$5&amp;"[#All]"),VLOOKUP(CallTb[[#This Row],[Answer]],Guidance,2,FALSE),FALSE)),"")</f>
        <v/>
      </c>
      <c r="H46" s="136"/>
      <c r="I46" s="136"/>
      <c r="J46"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46"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46" s="137"/>
      <c r="M46" s="135" t="str">
        <f ca="1">IFERROR("_"&amp;VLOOKUP(CallTb[[#This Row],[iWatch '#]],INDIRECT($D$5&amp;"[#All]"),3,FALSE),"_"&amp;VLOOKUP(CallTb[[#This Row],[iWatch '#]],INDIRECT($D$5&amp;"_"&amp;$F$5&amp;"[#All]"),3,FALSE))</f>
        <v>_</v>
      </c>
      <c r="N46" s="135">
        <f ca="1">IF((CallTb[[#This Row],[Answer]]="Yes")+(CallTb[[#This Row],[Answer]]="NA")+((CallTb[[#This Row],[Section]]="")*(CallTb[[#This Row],[Answer]]="No")),"",IFERROR(VLOOKUP(CallTb[[#This Row],[iWatch '#]],INDIRECT($D$5&amp;"[#All]"),17,FALSE),VLOOKUP(CallTb[[#This Row],[iWatch '#]],INDIRECT($D$5&amp;"_"&amp;$F$5&amp;"[#All]"),17,FALSE)))</f>
        <v>0</v>
      </c>
      <c r="O46" s="135" cm="1">
        <f t="array" aca="1" ref="O46"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46" s="138"/>
      <c r="Q46" s="135"/>
      <c r="R46" s="135" t="str" cm="1">
        <f t="array" aca="1" ref="R46"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46" s="135" t="str">
        <f>IF(OR(CallTb[[#This Row],[Answer]]="No_AML",CallTb[[#This Row],[Answer]]="No_CFT",CallTb[[#This Row],[Answer]]="No_AntiFraud",CallTb[[#This Row],[Answer]],CallTb[[#This Row],[Answer]]="No"),CallTb[[#This Row],[Answer]],"")</f>
        <v/>
      </c>
      <c r="T46" s="135" t="str">
        <f>IF(CallTb[[#This Row],[Finding Type]]="","",CallTb[[#This Row],[iWatch '#]]&amp;"."&amp;CallTb[[#This Row],[Finding Type]])</f>
        <v/>
      </c>
      <c r="U46" s="135" t="str">
        <f ca="1">IFERROR(IF(SEARCH("Attach a copy",CallTb[[#This Row],[iWatch Questions]])=1,"Yes",""),"")</f>
        <v>Yes</v>
      </c>
      <c r="V46" s="135">
        <f ca="1">IFERROR(VLOOKUP(CallTb[[#This Row],[iWatch '#]],INDIRECT($D$5&amp;"[#All]"),16,FALSE),VLOOKUP(CallTb[[#This Row],[iWatch '#]],INDIRECT($D$5&amp;"_"&amp;$F$5&amp;"[#All]"),16,FALSE))</f>
        <v>0</v>
      </c>
      <c r="W46" s="135"/>
    </row>
    <row r="47" spans="2:23" ht="39">
      <c r="B47" s="135">
        <v>41</v>
      </c>
      <c r="C47" s="297" t="str">
        <f ca="1">IFERROR(INDEX(INDIRECT($D$5&amp;"[#All]"),MATCH(CallTb[[#This Row],[Order]],INDIRECT($D$5&amp;"[[#All],[Call Flow Order]]"),0),1),INDEX(INDIRECT($D$5&amp;"_"&amp;$F$5&amp;"[#All]"),MATCH(CallTb[[#This Row],[Order]],INDIRECT($D$5&amp;"_"&amp;$F$5&amp;"[[#All],[Call Flow Order]]"),0),1))</f>
        <v>GS1.GQ6</v>
      </c>
      <c r="D47" s="298" t="str">
        <f ca="1">IFERROR(VLOOKUP(CallTb[[#This Row],[iWatch '#]],INDIRECT($D$5&amp;"[#All]"),2,FALSE),VLOOKUP(CallTb[[#This Row],[iWatch '#]],INDIRECT($D$5&amp;"_"&amp;$F$5&amp;"[#All]"),2,FALSE))</f>
        <v>Attach a copy of the Finding Letter email sent to the Agent (or proof of mail, i.e., photo of the envelope) if the overall Level Assigned is "With Findings" or higher.</v>
      </c>
      <c r="E47" s="297">
        <f ca="1">IFERROR(VLOOKUP(CallTb[[#This Row],[iWatch '#]],INDIRECT($D$5&amp;"[#All]"),13,FALSE),VLOOKUP(CallTb[[#This Row],[iWatch '#]],INDIRECT($D$5&amp;"_"&amp;$F$5&amp;"[#All]"),13,FALSE))</f>
        <v>0</v>
      </c>
      <c r="F47" s="299" t="str">
        <f ca="1">IFERROR(VLOOKUP(CallTb[[#This Row],[iWatch '#]],INDIRECT($D$5&amp;"[#All]"),14,FALSE),VLOOKUP(CallTb[[#This Row],[iWatch '#]],INDIRECT($D$5&amp;"_"&amp;$F$5&amp;"[#All]"),14,FALSE))</f>
        <v xml:space="preserve"> </v>
      </c>
      <c r="G47" s="298" t="str">
        <f ca="1">IFERROR(IFERROR(VLOOKUP(CallTb[[#This Row],[iWatch '#]],INDIRECT($D$5&amp;"[#All]"),VLOOKUP(CallTb[[#This Row],[Answer]],Guidance,2,FALSE),FALSE),VLOOKUP(CallTb[[#This Row],[iWatch '#]],INDIRECT($D$5&amp;"_"&amp;$F$5&amp;"[#All]"),VLOOKUP(CallTb[[#This Row],[Answer]],Guidance,2,FALSE),FALSE)),"")</f>
        <v/>
      </c>
      <c r="H47" s="136"/>
      <c r="I47" s="136"/>
      <c r="J47" s="300" t="str">
        <f ca="1">IF(CallTb[[#This Row],[Finding Type]]="","",IFERROR(VLOOKUP(CallTb[[#This Row],[iWatch '#]]&amp;"."&amp;CallTb[[#This Row],[Finding Type]]&amp;$F$5,INDIRECT(IF($D$5="Network_Agent_FTF","Network_Agent",$D$5)&amp;"Global[#All]"),VLOOKUP(CallTb[[#This Row],[Answer]],Find,2,FALSE),FALSE),VLOOKUP(CallTb[[#This Row],[iWatch '#]]&amp;"."&amp;CallTb[[#This Row],[Finding Type]]&amp;IF($F$5="India_FTF","India_FTF",""),INDIRECT($D$5&amp;"Global[#All]"),VLOOKUP(CallTb[[#This Row],[Answer]],Find,2,FALSE),FALSE)))</f>
        <v/>
      </c>
      <c r="K47" s="300" t="str">
        <f ca="1">IF(CallTb[[#This Row],[Finding Type]]="","",IFERROR(VLOOKUP(CallTb[[#This Row],[iWatch '#]]&amp;"."&amp;CallTb[[#This Row],[Finding Type]]&amp;$F$5,INDIRECT(IF($D$5="Network_Agent_FTF","Network_Agent",$D$5)&amp;"Global[#All]"),8,FALSE),VLOOKUP(CallTb[[#This Row],[iWatch '#]]&amp;"."&amp;CallTb[[#This Row],[Finding Type]]&amp;IF($F$5="India_FTF","India_FTF",""),INDIRECT($D$5&amp;"Global[#All]"),8,FALSE)))</f>
        <v/>
      </c>
      <c r="L47" s="137"/>
      <c r="M47" s="135" t="str">
        <f ca="1">IFERROR("_"&amp;VLOOKUP(CallTb[[#This Row],[iWatch '#]],INDIRECT($D$5&amp;"[#All]"),3,FALSE),"_"&amp;VLOOKUP(CallTb[[#This Row],[iWatch '#]],INDIRECT($D$5&amp;"_"&amp;$F$5&amp;"[#All]"),3,FALSE))</f>
        <v>_</v>
      </c>
      <c r="N47" s="135">
        <f ca="1">IF((CallTb[[#This Row],[Answer]]="Yes")+(CallTb[[#This Row],[Answer]]="NA")+((CallTb[[#This Row],[Section]]="")*(CallTb[[#This Row],[Answer]]="No")),"",IFERROR(VLOOKUP(CallTb[[#This Row],[iWatch '#]],INDIRECT($D$5&amp;"[#All]"),17,FALSE),VLOOKUP(CallTb[[#This Row],[iWatch '#]],INDIRECT($D$5&amp;"_"&amp;$F$5&amp;"[#All]"),17,FALSE)))</f>
        <v>0</v>
      </c>
      <c r="O47" s="135" cm="1">
        <f t="array" aca="1" ref="O47" ca="1">_xlfn.IFS(CallTb[[#This Row],[Answer]]="NA",0,AND(CallTb[[#This Row],[Answer]]="",CallTb[[#This Row],[Finding Type]]=""),0,AND(CallTb[[#This Row],[Answer]]="No",CallTb[[#This Row],[Finding Type]]="",LEN(CallTb[[#This Row],[Section]])=1),0,AND(CallTb[[#This Row],[Answer]]="Yes",CallTb[[#This Row],[Finding Type]]=""),0,AND(CallTb[[#This Row],[Answer]]="Yes",CallTb[[#This Row],[Finding Type]]&lt;&gt;""),0,AND(CallTb[[#This Row],[Answer]]&lt;&gt;"",CallTb[[#This Row],[Finding Type]]&lt;&gt;""),0,((CallTb[[#This Row],[Answer]]="No")*(CallTb[[#This Row],[Finding Type]]="")*(CallTb[[#This Row],[Section]]="")),0,((CallTb[[#This Row],[Answer]]="No")*(CallTb[[#This Row],[Finding Type]]="")),1,((CallTb[[#This Row],[Answer]]="")*(CallTb[[#This Row],[Finding Type]]&lt;&gt;"")),1)</f>
        <v>0</v>
      </c>
      <c r="P47" s="138"/>
      <c r="Q47" s="135"/>
      <c r="R47" s="135" t="str" cm="1">
        <f t="array" aca="1" ref="R47" ca="1">IFERROR(_xlfn.IFS(($D$5="Independent")*((CallTb[[#This Row],[iWatch '#]]="GS10.GQ6")+(CallTb[[#This Row],[iWatch '#]]="GS10.GQ7")+(CallTb[[#This Row],[iWatch '#]]="GS10.GQ8")+(CallTb[[#This Row],[iWatch '#]]="GS10.GQ9")+(CallTb[[#This Row],[iWatch '#]]="GS10.GQ11")+(CallTb[[#This Row],[iWatch '#]]="GS10.GQ5")+(CallTb[[#This Row],[iWatch '#]]="GS10.GQ10")),"EFRAL",($D$5="Network_Agent")*((CallTb[[#This Row],[iWatch '#]]="GS5.GQ5")+(CallTb[[#This Row],[iWatch '#]]="GS5.GQ6")+(CallTb[[#This Row],[iWatch '#]]="GS5.GQ7")+(CallTb[[#This Row],[iWatch '#]]="GS5.GQ8")+(CallTb[[#This Row],[iWatch '#]]="GS5.GQ10")),"EFRAL"),"")</f>
        <v/>
      </c>
      <c r="S47" s="135" t="str">
        <f>IF(OR(CallTb[[#This Row],[Answer]]="No_AML",CallTb[[#This Row],[Answer]]="No_CFT",CallTb[[#This Row],[Answer]]="No_AntiFraud",CallTb[[#This Row],[Answer]],CallTb[[#This Row],[Answer]]="No"),CallTb[[#This Row],[Answer]],"")</f>
        <v/>
      </c>
      <c r="T47" s="135" t="str">
        <f>IF(CallTb[[#This Row],[Finding Type]]="","",CallTb[[#This Row],[iWatch '#]]&amp;"."&amp;CallTb[[#This Row],[Finding Type]])</f>
        <v/>
      </c>
      <c r="U47" s="135" t="str">
        <f ca="1">IFERROR(IF(SEARCH("Attach a copy",CallTb[[#This Row],[iWatch Questions]])=1,"Yes",""),"")</f>
        <v>Yes</v>
      </c>
      <c r="V47" s="135">
        <f ca="1">IFERROR(VLOOKUP(CallTb[[#This Row],[iWatch '#]],INDIRECT($D$5&amp;"[#All]"),16,FALSE),VLOOKUP(CallTb[[#This Row],[iWatch '#]],INDIRECT($D$5&amp;"_"&amp;$F$5&amp;"[#All]"),16,FALSE))</f>
        <v>0</v>
      </c>
      <c r="W47" s="135"/>
    </row>
    <row r="48" spans="2:23">
      <c r="B48" s="135"/>
      <c r="C48" s="297"/>
      <c r="D48" s="298"/>
      <c r="E48" s="297"/>
      <c r="F48" s="299"/>
      <c r="G48" s="298"/>
      <c r="H48" s="136"/>
      <c r="I48" s="136"/>
      <c r="J48" s="300"/>
      <c r="K48" s="300"/>
      <c r="L48" s="137"/>
      <c r="M48" s="135"/>
      <c r="N48" s="135"/>
      <c r="O48" s="135"/>
      <c r="P48" s="138"/>
      <c r="Q48" s="135"/>
      <c r="R48" s="135"/>
      <c r="S48" s="135"/>
      <c r="T48" s="135"/>
      <c r="U48" s="135"/>
      <c r="V48" s="135"/>
      <c r="W48" s="135"/>
    </row>
    <row r="49" spans="2:23">
      <c r="B49" s="135"/>
      <c r="C49" s="297"/>
      <c r="D49" s="298"/>
      <c r="E49" s="297"/>
      <c r="F49" s="299"/>
      <c r="G49" s="298"/>
      <c r="H49" s="136"/>
      <c r="I49" s="136"/>
      <c r="J49" s="300"/>
      <c r="K49" s="300"/>
      <c r="L49" s="137"/>
      <c r="M49" s="135"/>
      <c r="N49" s="135"/>
      <c r="O49" s="135"/>
      <c r="P49" s="138"/>
      <c r="Q49" s="135"/>
      <c r="R49" s="135"/>
      <c r="S49" s="135"/>
      <c r="T49" s="135"/>
      <c r="U49" s="135"/>
      <c r="V49" s="135"/>
      <c r="W49" s="135"/>
    </row>
    <row r="50" spans="2:23">
      <c r="B50" s="135"/>
      <c r="C50" s="297"/>
      <c r="D50" s="298"/>
      <c r="E50" s="297"/>
      <c r="F50" s="299"/>
      <c r="G50" s="298"/>
      <c r="H50" s="136"/>
      <c r="I50" s="136"/>
      <c r="J50" s="300"/>
      <c r="K50" s="300"/>
      <c r="L50" s="137"/>
      <c r="M50" s="135"/>
      <c r="N50" s="135"/>
      <c r="O50" s="135"/>
      <c r="P50" s="138"/>
      <c r="Q50" s="135"/>
      <c r="R50" s="135"/>
      <c r="S50" s="135"/>
      <c r="T50" s="135"/>
      <c r="U50" s="135"/>
      <c r="V50" s="135"/>
      <c r="W50" s="135"/>
    </row>
    <row r="51" spans="2:23">
      <c r="B51" s="135"/>
      <c r="C51" s="297"/>
      <c r="D51" s="298"/>
      <c r="E51" s="297"/>
      <c r="F51" s="299"/>
      <c r="G51" s="298"/>
      <c r="H51" s="136"/>
      <c r="I51" s="136"/>
      <c r="J51" s="300"/>
      <c r="K51" s="300"/>
      <c r="L51" s="137"/>
      <c r="M51" s="135"/>
      <c r="N51" s="135"/>
      <c r="O51" s="135"/>
      <c r="P51" s="138"/>
      <c r="Q51" s="135"/>
      <c r="R51" s="135"/>
      <c r="S51" s="135"/>
      <c r="T51" s="135"/>
      <c r="U51" s="135"/>
      <c r="V51" s="135"/>
      <c r="W51" s="135"/>
    </row>
    <row r="52" spans="2:23">
      <c r="B52" s="135"/>
      <c r="C52" s="297"/>
      <c r="D52" s="298"/>
      <c r="E52" s="297"/>
      <c r="F52" s="299"/>
      <c r="G52" s="298"/>
      <c r="H52" s="136"/>
      <c r="I52" s="136"/>
      <c r="J52" s="300"/>
      <c r="K52" s="300"/>
      <c r="L52" s="137"/>
      <c r="M52" s="135"/>
      <c r="N52" s="135"/>
      <c r="O52" s="135"/>
      <c r="P52" s="138"/>
      <c r="Q52" s="135"/>
      <c r="R52" s="135"/>
      <c r="S52" s="135"/>
      <c r="T52" s="135"/>
      <c r="U52" s="135"/>
      <c r="V52" s="135"/>
      <c r="W52" s="135"/>
    </row>
    <row r="53" spans="2:23">
      <c r="B53" s="135"/>
      <c r="C53" s="297"/>
      <c r="D53" s="298"/>
      <c r="E53" s="297"/>
      <c r="F53" s="299"/>
      <c r="G53" s="298"/>
      <c r="H53" s="136"/>
      <c r="I53" s="136"/>
      <c r="J53" s="300"/>
      <c r="K53" s="300"/>
      <c r="L53" s="137"/>
      <c r="M53" s="135"/>
      <c r="N53" s="135"/>
      <c r="O53" s="135"/>
      <c r="P53" s="138"/>
      <c r="Q53" s="135"/>
      <c r="R53" s="135"/>
      <c r="S53" s="135"/>
      <c r="T53" s="135"/>
      <c r="U53" s="135"/>
      <c r="V53" s="135"/>
      <c r="W53" s="135"/>
    </row>
    <row r="54" spans="2:23">
      <c r="B54" s="135"/>
      <c r="C54" s="297"/>
      <c r="D54" s="298"/>
      <c r="E54" s="297"/>
      <c r="F54" s="299"/>
      <c r="G54" s="298"/>
      <c r="H54" s="136"/>
      <c r="I54" s="136"/>
      <c r="J54" s="300"/>
      <c r="K54" s="300"/>
      <c r="L54" s="137"/>
      <c r="M54" s="135"/>
      <c r="N54" s="135"/>
      <c r="O54" s="135"/>
      <c r="P54" s="138"/>
      <c r="Q54" s="135"/>
      <c r="R54" s="135"/>
      <c r="S54" s="135"/>
      <c r="T54" s="135"/>
      <c r="U54" s="135"/>
      <c r="V54" s="135"/>
      <c r="W54" s="135"/>
    </row>
    <row r="55" spans="2:23">
      <c r="B55" s="135"/>
      <c r="C55" s="297"/>
      <c r="D55" s="298"/>
      <c r="E55" s="297"/>
      <c r="F55" s="299"/>
      <c r="G55" s="298"/>
      <c r="H55" s="136"/>
      <c r="I55" s="136"/>
      <c r="J55" s="300"/>
      <c r="K55" s="300"/>
      <c r="L55" s="137"/>
      <c r="M55" s="135"/>
      <c r="N55" s="135"/>
      <c r="O55" s="135"/>
      <c r="P55" s="138"/>
      <c r="Q55" s="135"/>
      <c r="R55" s="135"/>
      <c r="S55" s="135"/>
      <c r="T55" s="135"/>
      <c r="U55" s="135"/>
      <c r="V55" s="135"/>
      <c r="W55" s="135"/>
    </row>
    <row r="56" spans="2:23" hidden="1">
      <c r="B56" s="135"/>
      <c r="C56" s="297"/>
      <c r="D56" s="298"/>
      <c r="E56" s="297"/>
      <c r="F56" s="299"/>
      <c r="G56" s="298"/>
      <c r="H56" s="136"/>
      <c r="I56" s="136"/>
      <c r="J56" s="300"/>
      <c r="K56" s="300"/>
      <c r="L56" s="137"/>
      <c r="M56" s="135"/>
      <c r="N56" s="135"/>
      <c r="O56" s="135"/>
      <c r="P56" s="138"/>
      <c r="Q56" s="135"/>
      <c r="R56" s="135"/>
      <c r="S56" s="135"/>
      <c r="T56" s="135"/>
      <c r="U56" s="135"/>
      <c r="V56" s="135"/>
      <c r="W56" s="135"/>
    </row>
    <row r="57" spans="2:23" hidden="1">
      <c r="B57" s="135"/>
      <c r="C57" s="297"/>
      <c r="D57" s="298"/>
      <c r="E57" s="297"/>
      <c r="F57" s="299"/>
      <c r="G57" s="298"/>
      <c r="H57" s="136"/>
      <c r="I57" s="136"/>
      <c r="J57" s="300"/>
      <c r="K57" s="300"/>
      <c r="L57" s="137"/>
      <c r="M57" s="135"/>
      <c r="N57" s="135"/>
      <c r="O57" s="135"/>
      <c r="P57" s="138"/>
      <c r="Q57" s="135"/>
      <c r="R57" s="135"/>
      <c r="S57" s="135"/>
      <c r="T57" s="135"/>
      <c r="U57" s="135"/>
      <c r="V57" s="135"/>
      <c r="W57" s="135"/>
    </row>
    <row r="58" spans="2:23" hidden="1">
      <c r="B58" s="135"/>
      <c r="C58" s="297"/>
      <c r="D58" s="298"/>
      <c r="E58" s="297"/>
      <c r="F58" s="299"/>
      <c r="G58" s="298"/>
      <c r="H58" s="136"/>
      <c r="I58" s="136"/>
      <c r="J58" s="300"/>
      <c r="K58" s="300"/>
      <c r="L58" s="137"/>
      <c r="M58" s="135"/>
      <c r="N58" s="135"/>
      <c r="O58" s="135"/>
      <c r="P58" s="138"/>
      <c r="Q58" s="135"/>
      <c r="R58" s="135"/>
      <c r="S58" s="135"/>
      <c r="T58" s="135"/>
      <c r="U58" s="135"/>
      <c r="V58" s="135"/>
      <c r="W58" s="135"/>
    </row>
    <row r="59" spans="2:23" hidden="1">
      <c r="B59" s="135"/>
      <c r="C59" s="297"/>
      <c r="D59" s="298"/>
      <c r="E59" s="297"/>
      <c r="F59" s="299"/>
      <c r="G59" s="298"/>
      <c r="H59" s="136"/>
      <c r="I59" s="136"/>
      <c r="J59" s="300"/>
      <c r="K59" s="300"/>
      <c r="L59" s="137"/>
      <c r="M59" s="135"/>
      <c r="N59" s="135"/>
      <c r="O59" s="135"/>
      <c r="P59" s="138"/>
      <c r="Q59" s="135"/>
      <c r="R59" s="135"/>
      <c r="S59" s="135"/>
      <c r="T59" s="135"/>
      <c r="U59" s="135"/>
      <c r="V59" s="135"/>
      <c r="W59" s="135"/>
    </row>
    <row r="60" spans="2:23" hidden="1">
      <c r="B60" s="135"/>
      <c r="C60" s="297"/>
      <c r="D60" s="298"/>
      <c r="E60" s="297"/>
      <c r="F60" s="299"/>
      <c r="G60" s="298"/>
      <c r="H60" s="136"/>
      <c r="I60" s="136"/>
      <c r="J60" s="300"/>
      <c r="K60" s="300"/>
      <c r="L60" s="137"/>
      <c r="M60" s="135"/>
      <c r="N60" s="135"/>
      <c r="O60" s="135"/>
      <c r="P60" s="138"/>
      <c r="Q60" s="135"/>
      <c r="R60" s="135"/>
      <c r="S60" s="135"/>
      <c r="T60" s="135"/>
      <c r="U60" s="135"/>
      <c r="V60" s="135"/>
      <c r="W60" s="135"/>
    </row>
    <row r="61" spans="2:23" hidden="1">
      <c r="B61" s="135"/>
      <c r="C61" s="297"/>
      <c r="D61" s="298"/>
      <c r="E61" s="297"/>
      <c r="F61" s="299"/>
      <c r="G61" s="298"/>
      <c r="H61" s="136"/>
      <c r="I61" s="136"/>
      <c r="J61" s="300"/>
      <c r="K61" s="300"/>
      <c r="L61" s="137"/>
      <c r="M61" s="135"/>
      <c r="N61" s="135"/>
      <c r="O61" s="135"/>
      <c r="P61" s="138"/>
      <c r="Q61" s="135"/>
      <c r="R61" s="135"/>
      <c r="S61" s="135"/>
      <c r="T61" s="135"/>
      <c r="U61" s="135"/>
      <c r="V61" s="135"/>
      <c r="W61" s="135"/>
    </row>
    <row r="62" spans="2:23">
      <c r="B62" s="135"/>
      <c r="C62" s="297"/>
      <c r="D62" s="298"/>
      <c r="E62" s="297"/>
      <c r="F62" s="299"/>
      <c r="G62" s="298"/>
      <c r="H62" s="136"/>
      <c r="I62" s="136"/>
      <c r="J62" s="300"/>
      <c r="K62" s="300"/>
      <c r="L62" s="137"/>
      <c r="M62" s="135"/>
      <c r="N62" s="135"/>
      <c r="O62" s="135"/>
      <c r="P62" s="138"/>
      <c r="Q62" s="135"/>
      <c r="R62" s="135"/>
      <c r="S62" s="135"/>
      <c r="T62" s="135"/>
      <c r="U62" s="135"/>
      <c r="V62" s="135"/>
      <c r="W62" s="135"/>
    </row>
    <row r="63" spans="2:23">
      <c r="B63" s="135"/>
      <c r="C63" s="297"/>
      <c r="D63" s="298"/>
      <c r="E63" s="297"/>
      <c r="F63" s="299"/>
      <c r="G63" s="298"/>
      <c r="H63" s="136"/>
      <c r="I63" s="136"/>
      <c r="J63" s="300"/>
      <c r="K63" s="300"/>
      <c r="L63" s="137"/>
      <c r="M63" s="135"/>
      <c r="N63" s="135"/>
      <c r="O63" s="135"/>
      <c r="P63" s="138"/>
      <c r="Q63" s="135"/>
      <c r="R63" s="135"/>
      <c r="S63" s="135"/>
      <c r="T63" s="135"/>
      <c r="U63" s="135"/>
      <c r="V63" s="135"/>
      <c r="W63" s="135"/>
    </row>
    <row r="64" spans="2:23">
      <c r="B64" s="135"/>
      <c r="C64" s="297"/>
      <c r="D64" s="298"/>
      <c r="E64" s="297"/>
      <c r="F64" s="299"/>
      <c r="G64" s="298"/>
      <c r="H64" s="136"/>
      <c r="I64" s="136"/>
      <c r="J64" s="300"/>
      <c r="K64" s="300"/>
      <c r="L64" s="137"/>
      <c r="M64" s="135"/>
      <c r="N64" s="135"/>
      <c r="O64" s="135"/>
      <c r="P64" s="138"/>
      <c r="Q64" s="135"/>
      <c r="R64" s="135"/>
      <c r="S64" s="135"/>
      <c r="T64" s="135"/>
      <c r="U64" s="135"/>
      <c r="V64" s="135"/>
      <c r="W64" s="135"/>
    </row>
    <row r="65" spans="2:23">
      <c r="B65" s="135"/>
      <c r="C65" s="297"/>
      <c r="D65" s="298"/>
      <c r="E65" s="297"/>
      <c r="F65" s="299"/>
      <c r="G65" s="298"/>
      <c r="H65" s="136"/>
      <c r="I65" s="136"/>
      <c r="J65" s="300"/>
      <c r="K65" s="300"/>
      <c r="L65" s="137"/>
      <c r="M65" s="135"/>
      <c r="N65" s="135"/>
      <c r="O65" s="135"/>
      <c r="P65" s="138"/>
      <c r="Q65" s="135"/>
      <c r="R65" s="135"/>
      <c r="S65" s="135"/>
      <c r="T65" s="135"/>
      <c r="U65" s="135"/>
      <c r="V65" s="135"/>
      <c r="W65" s="135"/>
    </row>
    <row r="66" spans="2:23">
      <c r="B66" s="135"/>
      <c r="C66" s="297"/>
      <c r="D66" s="298"/>
      <c r="E66" s="297"/>
      <c r="F66" s="299"/>
      <c r="G66" s="298"/>
      <c r="H66" s="136"/>
      <c r="I66" s="136"/>
      <c r="J66" s="300"/>
      <c r="K66" s="300"/>
      <c r="L66" s="137"/>
      <c r="M66" s="135"/>
      <c r="N66" s="135"/>
      <c r="O66" s="135"/>
      <c r="P66" s="138"/>
      <c r="Q66" s="135"/>
      <c r="R66" s="135"/>
      <c r="S66" s="135"/>
      <c r="T66" s="135"/>
      <c r="U66" s="135"/>
      <c r="V66" s="135"/>
      <c r="W66" s="135"/>
    </row>
    <row r="67" spans="2:23">
      <c r="B67" s="135"/>
      <c r="C67" s="297"/>
      <c r="D67" s="298"/>
      <c r="E67" s="297"/>
      <c r="F67" s="299"/>
      <c r="G67" s="298"/>
      <c r="H67" s="136"/>
      <c r="I67" s="136"/>
      <c r="J67" s="300"/>
      <c r="K67" s="300"/>
      <c r="L67" s="137"/>
      <c r="M67" s="135"/>
      <c r="N67" s="135"/>
      <c r="O67" s="135"/>
      <c r="P67" s="138"/>
      <c r="Q67" s="135"/>
      <c r="R67" s="135"/>
      <c r="S67" s="135"/>
      <c r="T67" s="135"/>
      <c r="U67" s="135"/>
      <c r="V67" s="135"/>
      <c r="W67" s="135"/>
    </row>
    <row r="68" spans="2:23">
      <c r="B68" s="135"/>
      <c r="C68" s="297"/>
      <c r="D68" s="298"/>
      <c r="E68" s="297"/>
      <c r="F68" s="299"/>
      <c r="G68" s="298"/>
      <c r="H68" s="136"/>
      <c r="I68" s="136"/>
      <c r="J68" s="300"/>
      <c r="K68" s="300"/>
      <c r="L68" s="137"/>
      <c r="M68" s="135"/>
      <c r="N68" s="135"/>
      <c r="O68" s="135"/>
      <c r="P68" s="138"/>
      <c r="Q68" s="135"/>
      <c r="R68" s="135"/>
      <c r="S68" s="135"/>
      <c r="T68" s="135"/>
      <c r="U68" s="135"/>
      <c r="V68" s="135"/>
      <c r="W68" s="135"/>
    </row>
    <row r="69" spans="2:23">
      <c r="B69" s="135"/>
      <c r="C69" s="297"/>
      <c r="D69" s="298"/>
      <c r="E69" s="297"/>
      <c r="F69" s="299"/>
      <c r="G69" s="298"/>
      <c r="H69" s="136"/>
      <c r="I69" s="136"/>
      <c r="J69" s="300"/>
      <c r="K69" s="300"/>
      <c r="L69" s="137"/>
      <c r="M69" s="135"/>
      <c r="N69" s="135"/>
      <c r="O69" s="135"/>
      <c r="P69" s="138"/>
      <c r="Q69" s="135"/>
      <c r="R69" s="135"/>
      <c r="S69" s="135"/>
      <c r="T69" s="135"/>
      <c r="U69" s="135"/>
      <c r="V69" s="135"/>
      <c r="W69" s="135"/>
    </row>
    <row r="70" spans="2:23">
      <c r="B70" s="135"/>
      <c r="C70" s="297"/>
      <c r="D70" s="298"/>
      <c r="E70" s="297"/>
      <c r="F70" s="299"/>
      <c r="G70" s="298"/>
      <c r="H70" s="136"/>
      <c r="I70" s="136"/>
      <c r="J70" s="300"/>
      <c r="K70" s="300"/>
      <c r="L70" s="137"/>
      <c r="M70" s="135"/>
      <c r="N70" s="135"/>
      <c r="O70" s="135"/>
      <c r="P70" s="138"/>
      <c r="Q70" s="135"/>
      <c r="R70" s="135"/>
      <c r="S70" s="135"/>
      <c r="T70" s="135"/>
      <c r="U70" s="135"/>
      <c r="V70" s="135"/>
      <c r="W70" s="135"/>
    </row>
    <row r="71" spans="2:23">
      <c r="B71" s="135"/>
      <c r="C71" s="297"/>
      <c r="D71" s="298"/>
      <c r="E71" s="297"/>
      <c r="F71" s="299"/>
      <c r="G71" s="298"/>
      <c r="H71" s="136"/>
      <c r="I71" s="136"/>
      <c r="J71" s="300"/>
      <c r="K71" s="300"/>
      <c r="L71" s="137"/>
      <c r="M71" s="135"/>
      <c r="N71" s="135"/>
      <c r="O71" s="135"/>
      <c r="P71" s="138"/>
      <c r="Q71" s="135"/>
      <c r="R71" s="135"/>
      <c r="S71" s="135"/>
      <c r="T71" s="135"/>
      <c r="U71" s="135"/>
      <c r="V71" s="135"/>
      <c r="W71" s="135"/>
    </row>
    <row r="72" spans="2:23">
      <c r="B72" s="135"/>
      <c r="C72" s="297"/>
      <c r="D72" s="298"/>
      <c r="E72" s="297"/>
      <c r="F72" s="299"/>
      <c r="G72" s="298"/>
      <c r="H72" s="136"/>
      <c r="I72" s="136"/>
      <c r="J72" s="300"/>
      <c r="K72" s="300"/>
      <c r="L72" s="137"/>
      <c r="M72" s="135"/>
      <c r="N72" s="135"/>
      <c r="O72" s="135"/>
      <c r="P72" s="138"/>
      <c r="Q72" s="135"/>
      <c r="R72" s="135"/>
      <c r="S72" s="135"/>
      <c r="T72" s="135"/>
      <c r="U72" s="135"/>
      <c r="V72" s="135"/>
      <c r="W72" s="135"/>
    </row>
    <row r="73" spans="2:23">
      <c r="B73" s="135"/>
      <c r="C73" s="297"/>
      <c r="D73" s="298"/>
      <c r="E73" s="297"/>
      <c r="F73" s="299"/>
      <c r="G73" s="298"/>
      <c r="H73" s="136"/>
      <c r="I73" s="136"/>
      <c r="J73" s="300"/>
      <c r="K73" s="300"/>
      <c r="L73" s="137"/>
      <c r="M73" s="135"/>
      <c r="N73" s="135"/>
      <c r="O73" s="135"/>
      <c r="P73" s="138"/>
      <c r="Q73" s="135"/>
      <c r="R73" s="135"/>
      <c r="S73" s="135"/>
      <c r="T73" s="135"/>
      <c r="U73" s="135"/>
      <c r="V73" s="135"/>
      <c r="W73" s="135"/>
    </row>
    <row r="74" spans="2:23">
      <c r="B74" s="135"/>
      <c r="C74" s="297"/>
      <c r="D74" s="298"/>
      <c r="E74" s="297"/>
      <c r="F74" s="299"/>
      <c r="G74" s="298"/>
      <c r="H74" s="136"/>
      <c r="I74" s="136"/>
      <c r="J74" s="300"/>
      <c r="K74" s="300"/>
      <c r="L74" s="137"/>
      <c r="M74" s="135"/>
      <c r="N74" s="135"/>
      <c r="O74" s="135"/>
      <c r="P74" s="138"/>
      <c r="Q74" s="135"/>
      <c r="R74" s="135"/>
      <c r="S74" s="135"/>
      <c r="T74" s="135"/>
      <c r="U74" s="135"/>
      <c r="V74" s="135"/>
      <c r="W74" s="135"/>
    </row>
    <row r="75" spans="2:23">
      <c r="B75" s="135"/>
      <c r="C75" s="297"/>
      <c r="D75" s="298"/>
      <c r="E75" s="297"/>
      <c r="F75" s="299"/>
      <c r="G75" s="298"/>
      <c r="H75" s="136"/>
      <c r="I75" s="136"/>
      <c r="J75" s="300"/>
      <c r="K75" s="300"/>
      <c r="L75" s="137"/>
      <c r="M75" s="135"/>
      <c r="N75" s="135"/>
      <c r="O75" s="135"/>
      <c r="P75" s="138"/>
      <c r="Q75" s="135"/>
      <c r="R75" s="135"/>
      <c r="S75" s="135"/>
      <c r="T75" s="135"/>
      <c r="U75" s="135"/>
      <c r="V75" s="135"/>
      <c r="W75" s="135"/>
    </row>
    <row r="76" spans="2:23">
      <c r="B76" s="135"/>
      <c r="C76" s="297"/>
      <c r="D76" s="298"/>
      <c r="E76" s="297"/>
      <c r="F76" s="299"/>
      <c r="G76" s="298"/>
      <c r="H76" s="136"/>
      <c r="I76" s="136"/>
      <c r="J76" s="300"/>
      <c r="K76" s="300"/>
      <c r="L76" s="137"/>
      <c r="M76" s="135"/>
      <c r="N76" s="135"/>
      <c r="O76" s="135"/>
      <c r="P76" s="138"/>
      <c r="Q76" s="135"/>
      <c r="R76" s="135"/>
      <c r="S76" s="135"/>
      <c r="T76" s="135"/>
      <c r="U76" s="135"/>
      <c r="V76" s="135"/>
      <c r="W76" s="135"/>
    </row>
    <row r="77" spans="2:23">
      <c r="B77" s="135"/>
      <c r="C77" s="297"/>
      <c r="D77" s="298"/>
      <c r="E77" s="297"/>
      <c r="F77" s="299"/>
      <c r="G77" s="298"/>
      <c r="H77" s="136"/>
      <c r="I77" s="136"/>
      <c r="J77" s="300"/>
      <c r="K77" s="300"/>
      <c r="L77" s="137"/>
      <c r="M77" s="135"/>
      <c r="N77" s="135"/>
      <c r="O77" s="135"/>
      <c r="P77" s="138"/>
      <c r="Q77" s="135"/>
      <c r="R77" s="135"/>
      <c r="S77" s="135"/>
      <c r="T77" s="135"/>
      <c r="U77" s="135"/>
      <c r="V77" s="135"/>
      <c r="W77" s="135"/>
    </row>
    <row r="78" spans="2:23">
      <c r="B78" s="135"/>
      <c r="C78" s="297"/>
      <c r="D78" s="298"/>
      <c r="E78" s="297"/>
      <c r="F78" s="299"/>
      <c r="G78" s="298"/>
      <c r="H78" s="136"/>
      <c r="I78" s="136"/>
      <c r="J78" s="300"/>
      <c r="K78" s="300"/>
      <c r="L78" s="137"/>
      <c r="M78" s="135"/>
      <c r="N78" s="135"/>
      <c r="O78" s="135"/>
      <c r="P78" s="138"/>
      <c r="Q78" s="135"/>
      <c r="R78" s="135"/>
      <c r="S78" s="135"/>
      <c r="T78" s="135"/>
      <c r="U78" s="135"/>
      <c r="V78" s="135"/>
      <c r="W78" s="135"/>
    </row>
    <row r="79" spans="2:23">
      <c r="B79" s="135"/>
      <c r="C79" s="297"/>
      <c r="D79" s="298"/>
      <c r="E79" s="297"/>
      <c r="F79" s="299"/>
      <c r="G79" s="298"/>
      <c r="H79" s="136"/>
      <c r="I79" s="136"/>
      <c r="J79" s="300"/>
      <c r="K79" s="300"/>
      <c r="L79" s="137"/>
      <c r="M79" s="135"/>
      <c r="N79" s="135"/>
      <c r="O79" s="135"/>
      <c r="P79" s="138"/>
      <c r="Q79" s="135"/>
      <c r="R79" s="135"/>
      <c r="S79" s="135"/>
      <c r="T79" s="135"/>
      <c r="U79" s="135"/>
      <c r="V79" s="135"/>
      <c r="W79" s="135"/>
    </row>
    <row r="80" spans="2:23">
      <c r="B80" s="135"/>
      <c r="C80" s="297"/>
      <c r="D80" s="298"/>
      <c r="E80" s="297"/>
      <c r="F80" s="299"/>
      <c r="G80" s="298"/>
      <c r="H80" s="136"/>
      <c r="I80" s="136"/>
      <c r="J80" s="300"/>
      <c r="K80" s="300"/>
      <c r="L80" s="137"/>
      <c r="M80" s="135"/>
      <c r="N80" s="135"/>
      <c r="O80" s="135"/>
      <c r="P80" s="138"/>
      <c r="Q80" s="135"/>
      <c r="R80" s="135"/>
      <c r="S80" s="135"/>
      <c r="T80" s="135"/>
      <c r="U80" s="135"/>
      <c r="V80" s="135"/>
      <c r="W80" s="135"/>
    </row>
    <row r="81" spans="2:23">
      <c r="B81" s="135"/>
      <c r="C81" s="297"/>
      <c r="D81" s="298"/>
      <c r="E81" s="297"/>
      <c r="F81" s="299"/>
      <c r="G81" s="298"/>
      <c r="H81" s="136"/>
      <c r="I81" s="136"/>
      <c r="J81" s="300"/>
      <c r="K81" s="300"/>
      <c r="L81" s="137"/>
      <c r="M81" s="135"/>
      <c r="N81" s="135"/>
      <c r="O81" s="135"/>
      <c r="P81" s="138"/>
      <c r="Q81" s="135"/>
      <c r="R81" s="135"/>
      <c r="S81" s="135"/>
      <c r="T81" s="135"/>
      <c r="U81" s="135"/>
      <c r="V81" s="135"/>
      <c r="W81" s="135"/>
    </row>
    <row r="82" spans="2:23">
      <c r="B82" s="135"/>
      <c r="C82" s="297"/>
      <c r="D82" s="298"/>
      <c r="E82" s="297"/>
      <c r="F82" s="299"/>
      <c r="G82" s="298"/>
      <c r="H82" s="136"/>
      <c r="I82" s="136"/>
      <c r="J82" s="300"/>
      <c r="K82" s="300"/>
      <c r="L82" s="137"/>
      <c r="M82" s="135"/>
      <c r="N82" s="135"/>
      <c r="O82" s="135"/>
      <c r="P82" s="138"/>
      <c r="Q82" s="135"/>
      <c r="R82" s="135"/>
      <c r="S82" s="135"/>
      <c r="T82" s="135"/>
      <c r="U82" s="135"/>
      <c r="V82" s="135"/>
      <c r="W82" s="135"/>
    </row>
    <row r="83" spans="2:23">
      <c r="B83" s="135"/>
      <c r="C83" s="297"/>
      <c r="D83" s="298"/>
      <c r="E83" s="297"/>
      <c r="F83" s="299"/>
      <c r="G83" s="298"/>
      <c r="H83" s="136"/>
      <c r="I83" s="136"/>
      <c r="J83" s="300"/>
      <c r="K83" s="300"/>
      <c r="L83" s="137"/>
      <c r="M83" s="135"/>
      <c r="N83" s="135"/>
      <c r="O83" s="135"/>
      <c r="P83" s="138"/>
      <c r="Q83" s="135"/>
      <c r="R83" s="135"/>
      <c r="S83" s="135"/>
      <c r="T83" s="135"/>
      <c r="U83" s="135"/>
      <c r="V83" s="135"/>
      <c r="W83" s="135"/>
    </row>
    <row r="84" spans="2:23">
      <c r="B84" s="135"/>
      <c r="C84" s="297"/>
      <c r="D84" s="298"/>
      <c r="E84" s="297"/>
      <c r="F84" s="299"/>
      <c r="G84" s="298"/>
      <c r="H84" s="136"/>
      <c r="I84" s="136"/>
      <c r="J84" s="300"/>
      <c r="K84" s="300"/>
      <c r="L84" s="137"/>
      <c r="M84" s="135"/>
      <c r="N84" s="135"/>
      <c r="O84" s="135"/>
      <c r="P84" s="138"/>
      <c r="Q84" s="135"/>
      <c r="R84" s="135"/>
      <c r="S84" s="135"/>
      <c r="T84" s="135"/>
      <c r="U84" s="135"/>
      <c r="V84" s="135"/>
      <c r="W84" s="135"/>
    </row>
    <row r="85" spans="2:23">
      <c r="B85" s="135"/>
      <c r="C85" s="297"/>
      <c r="D85" s="298"/>
      <c r="E85" s="297"/>
      <c r="F85" s="299"/>
      <c r="G85" s="298"/>
      <c r="H85" s="136"/>
      <c r="I85" s="136"/>
      <c r="J85" s="300"/>
      <c r="K85" s="300"/>
      <c r="L85" s="137"/>
      <c r="M85" s="135"/>
      <c r="N85" s="135"/>
      <c r="O85" s="135"/>
      <c r="P85" s="138"/>
      <c r="Q85" s="135"/>
      <c r="R85" s="135"/>
      <c r="S85" s="135"/>
      <c r="T85" s="135"/>
      <c r="U85" s="135"/>
      <c r="V85" s="135"/>
      <c r="W85" s="135"/>
    </row>
    <row r="86" spans="2:23">
      <c r="B86" s="135"/>
      <c r="C86" s="297"/>
      <c r="D86" s="298"/>
      <c r="E86" s="297"/>
      <c r="F86" s="299"/>
      <c r="G86" s="298"/>
      <c r="H86" s="136"/>
      <c r="I86" s="136"/>
      <c r="J86" s="300"/>
      <c r="K86" s="300"/>
      <c r="L86" s="137"/>
      <c r="M86" s="135"/>
      <c r="N86" s="135"/>
      <c r="O86" s="135"/>
      <c r="P86" s="138"/>
      <c r="Q86" s="135"/>
      <c r="R86" s="135"/>
      <c r="S86" s="135"/>
      <c r="T86" s="135"/>
      <c r="U86" s="135"/>
      <c r="V86" s="135"/>
      <c r="W86" s="135"/>
    </row>
    <row r="87" spans="2:23">
      <c r="B87" s="135"/>
      <c r="C87" s="297"/>
      <c r="D87" s="298"/>
      <c r="E87" s="297"/>
      <c r="F87" s="299"/>
      <c r="G87" s="298"/>
      <c r="H87" s="136"/>
      <c r="I87" s="136"/>
      <c r="J87" s="300"/>
      <c r="K87" s="300"/>
      <c r="L87" s="137"/>
      <c r="M87" s="135"/>
      <c r="N87" s="135"/>
      <c r="O87" s="135"/>
      <c r="P87" s="138"/>
      <c r="Q87" s="135"/>
      <c r="R87" s="135"/>
      <c r="S87" s="135"/>
      <c r="T87" s="135"/>
      <c r="U87" s="135"/>
      <c r="V87" s="135"/>
      <c r="W87" s="135"/>
    </row>
    <row r="88" spans="2:23">
      <c r="B88" s="135"/>
      <c r="C88" s="297"/>
      <c r="D88" s="298"/>
      <c r="E88" s="297"/>
      <c r="F88" s="299"/>
      <c r="G88" s="298"/>
      <c r="H88" s="136"/>
      <c r="I88" s="136"/>
      <c r="J88" s="300"/>
      <c r="K88" s="300"/>
      <c r="L88" s="137"/>
      <c r="M88" s="135"/>
      <c r="N88" s="135"/>
      <c r="O88" s="135"/>
      <c r="P88" s="138"/>
      <c r="Q88" s="135"/>
      <c r="R88" s="135"/>
      <c r="S88" s="135"/>
      <c r="T88" s="135"/>
      <c r="U88" s="135"/>
      <c r="V88" s="135"/>
      <c r="W88" s="135"/>
    </row>
    <row r="89" spans="2:23">
      <c r="B89" s="135"/>
      <c r="C89" s="297"/>
      <c r="D89" s="298"/>
      <c r="E89" s="297"/>
      <c r="F89" s="299"/>
      <c r="G89" s="298"/>
      <c r="H89" s="136"/>
      <c r="I89" s="136"/>
      <c r="J89" s="300"/>
      <c r="K89" s="300"/>
      <c r="L89" s="137"/>
      <c r="M89" s="135"/>
      <c r="N89" s="135"/>
      <c r="O89" s="135"/>
      <c r="P89" s="138"/>
      <c r="Q89" s="135"/>
      <c r="R89" s="135"/>
      <c r="S89" s="135"/>
      <c r="T89" s="135"/>
      <c r="U89" s="135"/>
      <c r="V89" s="135"/>
      <c r="W89" s="135"/>
    </row>
    <row r="90" spans="2:23">
      <c r="B90" s="135"/>
      <c r="C90" s="297"/>
      <c r="D90" s="298"/>
      <c r="E90" s="297"/>
      <c r="F90" s="299"/>
      <c r="G90" s="298"/>
      <c r="H90" s="136"/>
      <c r="I90" s="136"/>
      <c r="J90" s="300"/>
      <c r="K90" s="300"/>
      <c r="L90" s="137"/>
      <c r="M90" s="135"/>
      <c r="N90" s="135"/>
      <c r="O90" s="135"/>
      <c r="P90" s="138"/>
      <c r="Q90" s="135"/>
      <c r="R90" s="135"/>
      <c r="S90" s="135"/>
      <c r="T90" s="135"/>
      <c r="U90" s="135"/>
      <c r="V90" s="135"/>
      <c r="W90" s="135"/>
    </row>
    <row r="91" spans="2:23">
      <c r="B91" s="135"/>
      <c r="C91" s="297"/>
      <c r="D91" s="298"/>
      <c r="E91" s="297"/>
      <c r="F91" s="299"/>
      <c r="G91" s="298"/>
      <c r="H91" s="136"/>
      <c r="I91" s="136"/>
      <c r="J91" s="300"/>
      <c r="K91" s="300"/>
      <c r="L91" s="137"/>
      <c r="M91" s="135"/>
      <c r="N91" s="135"/>
      <c r="O91" s="135"/>
      <c r="P91" s="138"/>
      <c r="Q91" s="135"/>
      <c r="R91" s="135"/>
      <c r="S91" s="135"/>
      <c r="T91" s="135"/>
      <c r="U91" s="135"/>
      <c r="V91" s="135"/>
      <c r="W91" s="135"/>
    </row>
    <row r="92" spans="2:23">
      <c r="B92" s="135"/>
      <c r="C92" s="297"/>
      <c r="D92" s="298"/>
      <c r="E92" s="297"/>
      <c r="F92" s="299"/>
      <c r="G92" s="298"/>
      <c r="H92" s="136"/>
      <c r="I92" s="136"/>
      <c r="J92" s="300"/>
      <c r="K92" s="300"/>
      <c r="L92" s="137"/>
      <c r="M92" s="135"/>
      <c r="N92" s="135"/>
      <c r="O92" s="135"/>
      <c r="P92" s="138"/>
      <c r="Q92" s="135"/>
      <c r="R92" s="135"/>
      <c r="S92" s="135"/>
      <c r="T92" s="135"/>
      <c r="U92" s="135"/>
      <c r="V92" s="135"/>
      <c r="W92" s="135"/>
    </row>
    <row r="93" spans="2:23">
      <c r="B93" s="135"/>
      <c r="C93" s="297"/>
      <c r="D93" s="298"/>
      <c r="E93" s="297"/>
      <c r="F93" s="299"/>
      <c r="G93" s="298"/>
      <c r="H93" s="136"/>
      <c r="I93" s="136"/>
      <c r="J93" s="300"/>
      <c r="K93" s="300"/>
      <c r="L93" s="137"/>
      <c r="M93" s="135"/>
      <c r="N93" s="135"/>
      <c r="O93" s="135"/>
      <c r="P93" s="138"/>
      <c r="Q93" s="135"/>
      <c r="R93" s="135"/>
      <c r="S93" s="135"/>
      <c r="T93" s="135"/>
      <c r="U93" s="135"/>
      <c r="V93" s="135"/>
      <c r="W93" s="135"/>
    </row>
    <row r="94" spans="2:23">
      <c r="B94" s="135"/>
      <c r="C94" s="297"/>
      <c r="D94" s="298"/>
      <c r="E94" s="297"/>
      <c r="F94" s="299"/>
      <c r="G94" s="298"/>
      <c r="H94" s="136"/>
      <c r="I94" s="136"/>
      <c r="J94" s="300"/>
      <c r="K94" s="300"/>
      <c r="L94" s="137"/>
      <c r="M94" s="135"/>
      <c r="N94" s="135"/>
      <c r="O94" s="135"/>
      <c r="P94" s="138"/>
      <c r="Q94" s="135"/>
      <c r="R94" s="135"/>
      <c r="S94" s="135"/>
      <c r="T94" s="135"/>
      <c r="U94" s="135"/>
      <c r="V94" s="135"/>
      <c r="W94" s="135"/>
    </row>
    <row r="95" spans="2:23">
      <c r="B95" s="135"/>
      <c r="C95" s="297"/>
      <c r="D95" s="298"/>
      <c r="E95" s="297"/>
      <c r="F95" s="299"/>
      <c r="G95" s="298"/>
      <c r="H95" s="136"/>
      <c r="I95" s="136"/>
      <c r="J95" s="300"/>
      <c r="K95" s="300"/>
      <c r="L95" s="137"/>
      <c r="M95" s="135"/>
      <c r="N95" s="135"/>
      <c r="O95" s="135"/>
      <c r="P95" s="138"/>
      <c r="Q95" s="135"/>
      <c r="R95" s="135"/>
      <c r="S95" s="135"/>
      <c r="T95" s="135"/>
      <c r="U95" s="135"/>
      <c r="V95" s="135"/>
      <c r="W95" s="135"/>
    </row>
    <row r="96" spans="2:23">
      <c r="B96" s="135"/>
      <c r="C96" s="297"/>
      <c r="D96" s="298"/>
      <c r="E96" s="297"/>
      <c r="F96" s="299"/>
      <c r="G96" s="298"/>
      <c r="H96" s="136"/>
      <c r="I96" s="136"/>
      <c r="J96" s="300"/>
      <c r="K96" s="300"/>
      <c r="L96" s="137"/>
      <c r="M96" s="135"/>
      <c r="N96" s="135"/>
      <c r="O96" s="135"/>
      <c r="P96" s="138"/>
      <c r="Q96" s="135"/>
      <c r="R96" s="135"/>
      <c r="S96" s="135"/>
      <c r="T96" s="135"/>
      <c r="U96" s="135"/>
      <c r="V96" s="135"/>
      <c r="W96" s="135"/>
    </row>
    <row r="97" spans="2:23">
      <c r="B97" s="135"/>
      <c r="C97" s="297"/>
      <c r="D97" s="298"/>
      <c r="E97" s="297"/>
      <c r="F97" s="299"/>
      <c r="G97" s="298"/>
      <c r="H97" s="136"/>
      <c r="I97" s="136"/>
      <c r="J97" s="300"/>
      <c r="K97" s="300"/>
      <c r="L97" s="137"/>
      <c r="M97" s="135"/>
      <c r="N97" s="135"/>
      <c r="O97" s="135"/>
      <c r="P97" s="138"/>
      <c r="Q97" s="135"/>
      <c r="R97" s="135"/>
      <c r="S97" s="135"/>
      <c r="T97" s="135"/>
      <c r="U97" s="135"/>
      <c r="V97" s="135"/>
      <c r="W97" s="135"/>
    </row>
    <row r="98" spans="2:23">
      <c r="B98" s="135"/>
      <c r="C98" s="297"/>
      <c r="D98" s="298"/>
      <c r="E98" s="297"/>
      <c r="F98" s="299"/>
      <c r="G98" s="298"/>
      <c r="H98" s="136"/>
      <c r="I98" s="136"/>
      <c r="J98" s="300"/>
      <c r="K98" s="300"/>
      <c r="L98" s="137"/>
      <c r="M98" s="135"/>
      <c r="N98" s="135"/>
      <c r="O98" s="135"/>
      <c r="P98" s="138"/>
      <c r="Q98" s="135"/>
      <c r="R98" s="135"/>
      <c r="S98" s="135"/>
      <c r="T98" s="135"/>
      <c r="U98" s="135"/>
      <c r="V98" s="135"/>
      <c r="W98" s="135"/>
    </row>
    <row r="99" spans="2:23">
      <c r="B99" s="135"/>
      <c r="C99" s="297"/>
      <c r="D99" s="298"/>
      <c r="E99" s="297"/>
      <c r="F99" s="299"/>
      <c r="G99" s="298"/>
      <c r="H99" s="136"/>
      <c r="I99" s="136"/>
      <c r="J99" s="300"/>
      <c r="K99" s="300"/>
      <c r="L99" s="137"/>
      <c r="M99" s="135"/>
      <c r="N99" s="135"/>
      <c r="O99" s="135"/>
      <c r="P99" s="138"/>
      <c r="Q99" s="135"/>
      <c r="R99" s="135"/>
      <c r="S99" s="135"/>
      <c r="T99" s="135"/>
      <c r="U99" s="135"/>
      <c r="V99" s="135"/>
      <c r="W99" s="135"/>
    </row>
    <row r="100" spans="2:23">
      <c r="B100" s="135"/>
      <c r="C100" s="297"/>
      <c r="D100" s="298"/>
      <c r="E100" s="297"/>
      <c r="F100" s="299"/>
      <c r="G100" s="298"/>
      <c r="H100" s="136"/>
      <c r="I100" s="136"/>
      <c r="J100" s="300"/>
      <c r="K100" s="300"/>
      <c r="L100" s="137"/>
      <c r="M100" s="135"/>
      <c r="N100" s="135"/>
      <c r="O100" s="135"/>
      <c r="P100" s="138"/>
      <c r="Q100" s="135"/>
      <c r="R100" s="135"/>
      <c r="S100" s="135"/>
      <c r="T100" s="135"/>
      <c r="U100" s="135"/>
      <c r="V100" s="135"/>
      <c r="W100" s="135"/>
    </row>
  </sheetData>
  <sheetProtection algorithmName="SHA-512" hashValue="oPESxCtDGCaKrBE8YQQl3BNV2n+UIdM6fRKFRt0yuqFb4H4wSKHvpd9XkKY09+4yher4QJcdZ9SK1NljpHhMhg==" saltValue="LexvfEa8GLfqhOt+cSzh8A==" spinCount="100000" sheet="1" objects="1" scenarios="1" autoFilter="0"/>
  <protectedRanges>
    <protectedRange sqref="I2:I3" name="Range1_1_2_2"/>
  </protectedRanges>
  <conditionalFormatting sqref="E7:E47">
    <cfRule type="expression" dxfId="975" priority="19">
      <formula>AND(D6=0,O6="Yes")</formula>
    </cfRule>
  </conditionalFormatting>
  <conditionalFormatting sqref="I7:I47">
    <cfRule type="expression" dxfId="974" priority="7">
      <formula>AND(I7="Response_Required",W7="")</formula>
    </cfRule>
    <cfRule type="expression" dxfId="973" priority="8">
      <formula>AND(I7="Resolved_Onsite",W7="")</formula>
    </cfRule>
    <cfRule type="expression" dxfId="972" priority="9">
      <formula>AND(I7="Suspension",W7="")</formula>
    </cfRule>
    <cfRule type="expression" dxfId="971" priority="16">
      <formula>AND(Z6=F6,K6="No")</formula>
    </cfRule>
    <cfRule type="expression" dxfId="970" priority="17">
      <formula>AND(LEN(AA6)&gt;1,L6="No")</formula>
    </cfRule>
    <cfRule type="expression" dxfId="969" priority="18">
      <formula>AND(LEN(AF6)&gt;1,Q6="No")</formula>
    </cfRule>
  </conditionalFormatting>
  <conditionalFormatting sqref="G7:G47">
    <cfRule type="expression" dxfId="968" priority="15">
      <formula>AND(Q6="Yes",ISNA(H6))</formula>
    </cfRule>
  </conditionalFormatting>
  <conditionalFormatting sqref="H7:H47">
    <cfRule type="cellIs" dxfId="967" priority="12" operator="equal">
      <formula>"Yes"</formula>
    </cfRule>
    <cfRule type="cellIs" dxfId="966" priority="13" operator="equal">
      <formula>"Yes"</formula>
    </cfRule>
    <cfRule type="expression" dxfId="965" priority="14">
      <formula>AND(OR($H7="No",$H7="No_AML",$H7="No_CFT",$H7="No_AntiFraud",$H7="No_AML/CFT",$H7="No_AML/CFT/AntiFraud"),LEN($E7)&gt;5,$W29="")</formula>
    </cfRule>
  </conditionalFormatting>
  <conditionalFormatting sqref="C7:F47">
    <cfRule type="expression" dxfId="964" priority="11">
      <formula>$R7="EFRAL"</formula>
    </cfRule>
  </conditionalFormatting>
  <conditionalFormatting sqref="D7:G47">
    <cfRule type="expression" dxfId="963" priority="10">
      <formula>$P7="Yes"</formula>
    </cfRule>
  </conditionalFormatting>
  <conditionalFormatting sqref="E7:G47">
    <cfRule type="cellIs" dxfId="962" priority="2" operator="equal">
      <formula>0</formula>
    </cfRule>
    <cfRule type="cellIs" dxfId="961" priority="6" operator="equal">
      <formula>0</formula>
    </cfRule>
  </conditionalFormatting>
  <conditionalFormatting sqref="L2">
    <cfRule type="cellIs" dxfId="960" priority="1" operator="greaterThan">
      <formula>0</formula>
    </cfRule>
    <cfRule type="expression" dxfId="959" priority="5">
      <formula>"($L$2*1)&gt;0"</formula>
    </cfRule>
  </conditionalFormatting>
  <conditionalFormatting sqref="J3">
    <cfRule type="cellIs" dxfId="958" priority="4" operator="greaterThan">
      <formula>0</formula>
    </cfRule>
  </conditionalFormatting>
  <conditionalFormatting sqref="L3">
    <cfRule type="expression" dxfId="957" priority="3">
      <formula>($L$3*1)&gt;0</formula>
    </cfRule>
  </conditionalFormatting>
  <dataValidations count="3">
    <dataValidation type="list" showInputMessage="1" showErrorMessage="1" sqref="H7:H47" xr:uid="{37BB8856-754E-4F1E-8BB4-0087689C4548}">
      <formula1>INDIRECT($M7)</formula1>
    </dataValidation>
    <dataValidation type="list" showInputMessage="1" showErrorMessage="1" sqref="I7:I47" xr:uid="{E5D90473-699D-478E-9F08-A71D09FAC7C4}">
      <formula1>INDIRECT($N7)</formula1>
    </dataValidation>
    <dataValidation type="list" showInputMessage="1" showErrorMessage="1" sqref="H4" xr:uid="{EAC56AC0-53D8-48AB-BC1D-642B4E48C31B}">
      <formula1>"Select AAL version, GAO AAL V1.3_6-19-2018, GAO AAL v1.4_11-01-2022"</formula1>
    </dataValidation>
  </dataValidations>
  <pageMargins left="0.7" right="0.7" top="0.75" bottom="0.75" header="0.3" footer="0.3"/>
  <pageSetup orientation="portrait" r:id="rId1"/>
  <customProperties>
    <customPr name="workbookAdvencedSettings" r:id="rId2"/>
    <customPr name="workbookExecutionSettings" r:id="rId3"/>
    <customPr name="workbookGatewaySettings" r:id="rId4"/>
  </customProperties>
  <drawing r:id="rId5"/>
  <tableParts count="1">
    <tablePart r:id="rId6"/>
  </tableParts>
  <extLst>
    <ext xmlns:x15="http://schemas.microsoft.com/office/spreadsheetml/2010/11/main" uri="{3A4CF648-6AED-40f4-86FF-DC5316D8AED3}">
      <x14:slicerList xmlns:x14="http://schemas.microsoft.com/office/spreadsheetml/2009/9/main">
        <x14:slicer r:id="rId7"/>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84EA2-81E3-4A29-BC3C-3F81F3A19824}">
  <sheetPr codeName="Sheet3"/>
  <dimension ref="A1:L104"/>
  <sheetViews>
    <sheetView showGridLines="0" topLeftCell="C1" zoomScale="70" zoomScaleNormal="70" workbookViewId="0">
      <pane ySplit="6" topLeftCell="A48" activePane="bottomLeft" state="frozen"/>
      <selection activeCell="C1" sqref="C1"/>
      <selection pane="bottomLeft" activeCell="C52" sqref="C52"/>
    </sheetView>
  </sheetViews>
  <sheetFormatPr defaultColWidth="9.453125" defaultRowHeight="15.5"/>
  <cols>
    <col min="1" max="1" width="21.453125" style="269" hidden="1" customWidth="1"/>
    <col min="2" max="2" width="22.453125" style="270" hidden="1" customWidth="1"/>
    <col min="3" max="3" width="20.54296875" style="294" bestFit="1" customWidth="1"/>
    <col min="4" max="4" width="53.54296875" style="295" customWidth="1"/>
    <col min="5" max="5" width="26.54296875" style="296" customWidth="1"/>
    <col min="6" max="6" width="20.54296875" style="296" customWidth="1"/>
    <col min="7" max="7" width="28.54296875" style="296" customWidth="1"/>
    <col min="8" max="8" width="61.54296875" style="296" customWidth="1"/>
    <col min="9" max="9" width="62.54296875" style="296" customWidth="1"/>
    <col min="10" max="10" width="54.54296875" style="294" customWidth="1"/>
    <col min="11" max="11" width="16.453125" style="269" hidden="1" customWidth="1"/>
    <col min="12" max="12" width="9.453125" style="269" hidden="1" customWidth="1"/>
    <col min="13" max="16384" width="9.453125" style="269"/>
  </cols>
  <sheetData>
    <row r="1" spans="1:12" ht="44.15" customHeight="1">
      <c r="C1" s="271" t="s">
        <v>101</v>
      </c>
      <c r="D1" s="272"/>
      <c r="E1" s="272"/>
      <c r="F1" s="272"/>
      <c r="G1" s="271"/>
      <c r="H1" s="272"/>
      <c r="I1" s="272"/>
      <c r="J1" s="272"/>
    </row>
    <row r="2" spans="1:12" s="273" customFormat="1" ht="38.9" customHeight="1">
      <c r="B2" s="270"/>
      <c r="C2" s="274" t="s">
        <v>102</v>
      </c>
      <c r="D2" s="455">
        <f>'Call Flow'!$D$2</f>
        <v>10000002179028</v>
      </c>
      <c r="E2" s="275" t="s">
        <v>103</v>
      </c>
      <c r="F2" s="276" t="str">
        <f>'Gen Info'!$O$4</f>
        <v>AME920355 &amp; VME580355 &amp; AME900357 &amp; OME100359</v>
      </c>
      <c r="G2" s="275" t="s">
        <v>104</v>
      </c>
      <c r="H2" s="456" t="s">
        <v>105</v>
      </c>
      <c r="I2" s="274" t="s">
        <v>106</v>
      </c>
      <c r="J2" s="457" t="str">
        <f>D3&amp;" - "&amp;F2</f>
        <v>TIENDA MUEBLERIA EL BODEGON AY - AME920355 &amp; VME580355 &amp; AME900357 &amp; OME100359</v>
      </c>
    </row>
    <row r="3" spans="1:12" s="273" customFormat="1" ht="38.9" customHeight="1">
      <c r="B3" s="270"/>
      <c r="C3" s="274" t="s">
        <v>107</v>
      </c>
      <c r="D3" s="276" t="str">
        <f>'Call Flow'!$D$3</f>
        <v>TIENDA MUEBLERIA EL BODEGON AY</v>
      </c>
      <c r="E3" s="275" t="s">
        <v>108</v>
      </c>
      <c r="F3" s="277">
        <f>'Gen Info'!$B$7</f>
        <v>45902</v>
      </c>
      <c r="G3" s="275" t="s">
        <v>109</v>
      </c>
      <c r="H3" s="278" t="str" cm="1">
        <f t="array" ref="H3">LocationInfo[Input
Compliance Officer/Delegate
LETTER RECEPIENT EMAIL]</f>
        <v>carlos.cedillo@progressa.mx</v>
      </c>
      <c r="I3" s="274" t="s">
        <v>110</v>
      </c>
      <c r="J3" s="279">
        <f>'Call Flow'!$L$2</f>
        <v>0</v>
      </c>
    </row>
    <row r="4" spans="1:12" s="273" customFormat="1" ht="38.9" customHeight="1">
      <c r="B4" s="270"/>
      <c r="C4" s="274" t="s">
        <v>111</v>
      </c>
      <c r="D4" s="280" t="str">
        <f>'Call Flow'!$D$4</f>
        <v>Spanish</v>
      </c>
      <c r="E4" s="275" t="s">
        <v>112</v>
      </c>
      <c r="F4" s="458">
        <f>'Gen Info'!$C$19</f>
        <v>45658</v>
      </c>
      <c r="G4" s="275" t="s">
        <v>32</v>
      </c>
      <c r="H4" s="281" t="str">
        <f ca="1">'Gen Info'!$F$17</f>
        <v>Lunes 22 Septiembre, 2025</v>
      </c>
      <c r="I4" s="274" t="s">
        <v>113</v>
      </c>
      <c r="J4" s="279">
        <f>'Call Flow'!$L$3</f>
        <v>0</v>
      </c>
    </row>
    <row r="5" spans="1:12" s="273" customFormat="1" ht="38.9" customHeight="1">
      <c r="B5" s="270"/>
      <c r="C5" s="274" t="s">
        <v>114</v>
      </c>
      <c r="D5" s="304" t="str">
        <f>'Call Flow'!$D$5</f>
        <v>Network_Agent</v>
      </c>
      <c r="E5" s="275" t="s">
        <v>26</v>
      </c>
      <c r="F5" s="277" t="str">
        <f>'Call Flow'!$F$5</f>
        <v>Mexico</v>
      </c>
      <c r="G5" s="275"/>
      <c r="H5" s="281"/>
      <c r="I5" s="274"/>
      <c r="J5" s="282"/>
    </row>
    <row r="6" spans="1:12" s="285" customFormat="1" ht="37">
      <c r="A6" s="269"/>
      <c r="B6" s="283" t="s">
        <v>115</v>
      </c>
      <c r="C6" s="284" t="s">
        <v>69</v>
      </c>
      <c r="D6" s="284" t="s">
        <v>70</v>
      </c>
      <c r="E6" s="284" t="s">
        <v>71</v>
      </c>
      <c r="F6" s="284" t="s">
        <v>116</v>
      </c>
      <c r="G6" s="284" t="s">
        <v>75</v>
      </c>
      <c r="H6" s="284" t="s">
        <v>76</v>
      </c>
      <c r="I6" s="284" t="s">
        <v>77</v>
      </c>
      <c r="J6" s="284" t="s">
        <v>117</v>
      </c>
      <c r="K6" s="283" t="s">
        <v>118</v>
      </c>
      <c r="L6" s="283" t="s">
        <v>119</v>
      </c>
    </row>
    <row r="7" spans="1:12" s="270" customFormat="1">
      <c r="A7" s="269"/>
      <c r="B7" s="345">
        <v>1</v>
      </c>
      <c r="C7" s="285" t="str">
        <f ca="1">IFERROR(INDEX(INDIRECT($D$5&amp;"[#All]"),MATCH(iWatchTb[[#This Row],[iWatch Order]],INDIRECT($D$5&amp;"[[#All],[iWatch Order]]"),0),1),INDEX(INDIRECT($D$5&amp;"_"&amp;$F$5&amp;"[#All]"),MATCH(iWatchTb[[#This Row],[iWatch Order]],INDIRECT($D$5&amp;"_"&amp;$F$5&amp;"[[#All],[iWatch Order]]"),0),1))</f>
        <v>GS1.GQ1</v>
      </c>
      <c r="D7" s="287" t="str">
        <f ca="1">VLOOKUP(iWatchTb[[#This Row],[iWatch '#]],CallTb[[#All],[iWatch '#]:[Free Text]],2,FALSE)</f>
        <v>Who conducted the interview (WUCO)?</v>
      </c>
      <c r="E7" s="286" t="str">
        <f ca="1">IF(VLOOKUP(iWatchTb[[#This Row],[iWatch '#]],CallTb[[#All],[iWatch '#]:[Free Text]],3,FALSE)=0,"",VLOOKUP(iWatchTb[[#This Row],[iWatch '#]],CallTb[[#All],[iWatch '#]:[Free Text]],3,FALSE))</f>
        <v/>
      </c>
      <c r="F7" s="286" t="str">
        <f ca="1">IF(VLOOKUP(iWatchTb[[#This Row],[iWatch '#]],CallTb[[#All],[iWatch '#]:[Free Text]],6,FALSE)=0,"",VLOOKUP(iWatchTb[[#This Row],[iWatch '#]],CallTb[[#All],[iWatch '#]:[Free Text]],6,FALSE))</f>
        <v/>
      </c>
      <c r="G7" s="286">
        <f ca="1">VLOOKUP(iWatchTb[[#This Row],[iWatch '#]],CallTb[[#All],[iWatch '#]:[Free Text]],7,FALSE)</f>
        <v>0</v>
      </c>
      <c r="H7" s="286" t="str">
        <f ca="1">VLOOKUP(iWatchTb[[#This Row],[iWatch '#]],CallTb[[#All],[iWatch '#]:[Free Text]],8,FALSE)</f>
        <v/>
      </c>
      <c r="I7" s="286" t="str">
        <f ca="1">VLOOKUP(iWatchTb[[#This Row],[iWatch '#]],CallTb[[#All],[iWatch '#]:[Free Text]],9,FALSE)</f>
        <v/>
      </c>
      <c r="J7" s="286" t="str">
        <f ca="1">VLOOKUP(iWatchTb[[#This Row],[iWatch '#]],CallTb[[#All],[iWatch '#]:[Free Text]],10,FALSE)</f>
        <v>Ronald Ruiz Gomez</v>
      </c>
      <c r="K7" s="286" t="str">
        <f ca="1">VLOOKUP(LEFT(iWatchTb[[#This Row],[iWatch '#]],4),tblColoring[#Data],2,FALSE)</f>
        <v>Grey</v>
      </c>
      <c r="L7" s="286" t="str">
        <f ca="1">IFERROR(IF(FIND("EFRAL",iWatchTb[[#This Row],[iWatch Questions]])&gt;0,"EFRAL"),"")</f>
        <v/>
      </c>
    </row>
    <row r="8" spans="1:12" s="270" customFormat="1">
      <c r="B8" s="345">
        <v>2</v>
      </c>
      <c r="C8" s="285" t="str">
        <f ca="1">IFERROR(INDEX(INDIRECT($D$5&amp;"[#All]"),MATCH(iWatchTb[[#This Row],[iWatch Order]],INDIRECT($D$5&amp;"[[#All],[iWatch Order]]"),0),1),INDEX(INDIRECT($D$5&amp;"_"&amp;$F$5&amp;"[#All]"),MATCH(iWatchTb[[#This Row],[iWatch Order]],INDIRECT($D$5&amp;"_"&amp;$F$5&amp;"[[#All],[iWatch Order]]"),0),1))</f>
        <v>GS1.GQ2</v>
      </c>
      <c r="D8" s="287" t="str">
        <f ca="1">VLOOKUP(iWatchTb[[#This Row],[iWatch '#]],CallTb[[#All],[iWatch '#]:[Free Text]],2,FALSE)</f>
        <v>Date of Review</v>
      </c>
      <c r="E8" s="286" t="str">
        <f ca="1">IF(VLOOKUP(iWatchTb[[#This Row],[iWatch '#]],CallTb[[#All],[iWatch '#]:[Free Text]],3,FALSE)=0,"",VLOOKUP(iWatchTb[[#This Row],[iWatch '#]],CallTb[[#All],[iWatch '#]:[Free Text]],3,FALSE))</f>
        <v/>
      </c>
      <c r="F8" s="288" t="str">
        <f ca="1">IF(VLOOKUP(iWatchTb[[#This Row],[iWatch '#]],CallTb[[#All],[iWatch '#]:[Free Text]],6,FALSE)=0,"",VLOOKUP(iWatchTb[[#This Row],[iWatch '#]],CallTb[[#All],[iWatch '#]:[Free Text]],6,FALSE))</f>
        <v/>
      </c>
      <c r="G8" s="288">
        <f ca="1">VLOOKUP(iWatchTb[[#This Row],[iWatch '#]],CallTb[[#All],[iWatch '#]:[Free Text]],7,FALSE)</f>
        <v>0</v>
      </c>
      <c r="H8" s="288" t="str">
        <f ca="1">VLOOKUP(iWatchTb[[#This Row],[iWatch '#]],CallTb[[#All],[iWatch '#]:[Free Text]],8,FALSE)</f>
        <v/>
      </c>
      <c r="I8" s="286" t="str">
        <f ca="1">VLOOKUP(iWatchTb[[#This Row],[iWatch '#]],CallTb[[#All],[iWatch '#]:[Free Text]],9,FALSE)</f>
        <v/>
      </c>
      <c r="J8" s="289">
        <f ca="1">VLOOKUP(iWatchTb[[#This Row],[iWatch '#]],CallTb[[#All],[iWatch '#]:[Free Text]],10,FALSE)</f>
        <v>45902</v>
      </c>
      <c r="K8" s="286" t="str">
        <f ca="1">VLOOKUP(LEFT(iWatchTb[[#This Row],[iWatch '#]],4),tblColoring[#Data],2,FALSE)</f>
        <v>Grey</v>
      </c>
      <c r="L8" s="286" t="str">
        <f ca="1">IFERROR(IF(FIND("EFRAL",iWatchTb[[#This Row],[iWatch Questions]])&gt;0,"EFRAL"),"")</f>
        <v/>
      </c>
    </row>
    <row r="9" spans="1:12" s="270" customFormat="1" ht="31">
      <c r="B9" s="345">
        <v>3</v>
      </c>
      <c r="C9" s="285" t="str">
        <f ca="1">IFERROR(INDEX(INDIRECT($D$5&amp;"[#All]"),MATCH(iWatchTb[[#This Row],[iWatch Order]],INDIRECT($D$5&amp;"[[#All],[iWatch Order]]"),0),1),INDEX(INDIRECT($D$5&amp;"_"&amp;$F$5&amp;"[#All]"),MATCH(iWatchTb[[#This Row],[iWatch Order]],INDIRECT($D$5&amp;"_"&amp;$F$5&amp;"[[#All],[iWatch Order]]"),0),1))</f>
        <v>GS1.GQ3</v>
      </c>
      <c r="D9" s="287" t="str">
        <f ca="1">VLOOKUP(iWatchTb[[#This Row],[iWatch '#]],CallTb[[#All],[iWatch '#]:[Free Text]],2,FALSE)</f>
        <v>Interviewee Name, email address, and/or Fax:</v>
      </c>
      <c r="E9" s="286" t="str">
        <f ca="1">IF(VLOOKUP(iWatchTb[[#This Row],[iWatch '#]],CallTb[[#All],[iWatch '#]:[Free Text]],3,FALSE)=0,"",VLOOKUP(iWatchTb[[#This Row],[iWatch '#]],CallTb[[#All],[iWatch '#]:[Free Text]],3,FALSE))</f>
        <v/>
      </c>
      <c r="F9" s="288" t="str">
        <f ca="1">IF(VLOOKUP(iWatchTb[[#This Row],[iWatch '#]],CallTb[[#All],[iWatch '#]:[Free Text]],6,FALSE)=0,"",VLOOKUP(iWatchTb[[#This Row],[iWatch '#]],CallTb[[#All],[iWatch '#]:[Free Text]],6,FALSE))</f>
        <v/>
      </c>
      <c r="G9" s="288">
        <f ca="1">VLOOKUP(iWatchTb[[#This Row],[iWatch '#]],CallTb[[#All],[iWatch '#]:[Free Text]],7,FALSE)</f>
        <v>0</v>
      </c>
      <c r="H9" s="288" t="str">
        <f ca="1">VLOOKUP(iWatchTb[[#This Row],[iWatch '#]],CallTb[[#All],[iWatch '#]:[Free Text]],8,FALSE)</f>
        <v/>
      </c>
      <c r="I9" s="286" t="str">
        <f ca="1">VLOOKUP(iWatchTb[[#This Row],[iWatch '#]],CallTb[[#All],[iWatch '#]:[Free Text]],9,FALSE)</f>
        <v/>
      </c>
      <c r="J9" s="286" t="str">
        <f ca="1">VLOOKUP(iWatchTb[[#This Row],[iWatch '#]],CallTb[[#All],[iWatch '#]:[Free Text]],10,FALSE)</f>
        <v>Carlos Eduardo
carlos.cedillo@progressa.mx</v>
      </c>
      <c r="K9" s="286" t="str">
        <f ca="1">VLOOKUP(LEFT(iWatchTb[[#This Row],[iWatch '#]],4),tblColoring[#Data],2,FALSE)</f>
        <v>Grey</v>
      </c>
      <c r="L9" s="286" t="str">
        <f ca="1">IFERROR(IF(FIND("EFRAL",iWatchTb[[#This Row],[iWatch Questions]])&gt;0,"EFRAL"),"")</f>
        <v/>
      </c>
    </row>
    <row r="10" spans="1:12" s="270" customFormat="1">
      <c r="B10" s="345">
        <v>4</v>
      </c>
      <c r="C10" s="285" t="str">
        <f ca="1">IFERROR(INDEX(INDIRECT($D$5&amp;"[#All]"),MATCH(iWatchTb[[#This Row],[iWatch Order]],INDIRECT($D$5&amp;"[[#All],[iWatch Order]]"),0),1),INDEX(INDIRECT($D$5&amp;"_"&amp;$F$5&amp;"[#All]"),MATCH(iWatchTb[[#This Row],[iWatch Order]],INDIRECT($D$5&amp;"_"&amp;$F$5&amp;"[[#All],[iWatch Order]]"),0),1))</f>
        <v>GS1.GQ4</v>
      </c>
      <c r="D10" s="287" t="str">
        <f ca="1">VLOOKUP(iWatchTb[[#This Row],[iWatch '#]],CallTb[[#All],[iWatch '#]:[Free Text]],2,FALSE)</f>
        <v xml:space="preserve">Is the Finding Level Assigned "With Findings" or higher? </v>
      </c>
      <c r="E10" s="286" t="str">
        <f ca="1">IF(VLOOKUP(iWatchTb[[#This Row],[iWatch '#]],CallTb[[#All],[iWatch '#]:[Free Text]],3,FALSE)=0,"",VLOOKUP(iWatchTb[[#This Row],[iWatch '#]],CallTb[[#All],[iWatch '#]:[Free Text]],3,FALSE))</f>
        <v/>
      </c>
      <c r="F10" s="288" t="str">
        <f ca="1">IF(VLOOKUP(iWatchTb[[#This Row],[iWatch '#]],CallTb[[#All],[iWatch '#]:[Free Text]],6,FALSE)=0,"",VLOOKUP(iWatchTb[[#This Row],[iWatch '#]],CallTb[[#All],[iWatch '#]:[Free Text]],6,FALSE))</f>
        <v/>
      </c>
      <c r="G10" s="288">
        <f ca="1">VLOOKUP(iWatchTb[[#This Row],[iWatch '#]],CallTb[[#All],[iWatch '#]:[Free Text]],7,FALSE)</f>
        <v>0</v>
      </c>
      <c r="H10" s="288" t="str">
        <f ca="1">VLOOKUP(iWatchTb[[#This Row],[iWatch '#]],CallTb[[#All],[iWatch '#]:[Free Text]],8,FALSE)</f>
        <v/>
      </c>
      <c r="I10" s="286" t="str">
        <f ca="1">VLOOKUP(iWatchTb[[#This Row],[iWatch '#]],CallTb[[#All],[iWatch '#]:[Free Text]],9,FALSE)</f>
        <v/>
      </c>
      <c r="J10" s="286">
        <f ca="1">VLOOKUP(iWatchTb[[#This Row],[iWatch '#]],CallTb[[#All],[iWatch '#]:[Free Text]],10,FALSE)</f>
        <v>0</v>
      </c>
      <c r="K10" s="286" t="str">
        <f ca="1">VLOOKUP(LEFT(iWatchTb[[#This Row],[iWatch '#]],4),tblColoring[#Data],2,FALSE)</f>
        <v>Grey</v>
      </c>
      <c r="L10" s="286" t="str">
        <f ca="1">IFERROR(IF(FIND("EFRAL",iWatchTb[[#This Row],[iWatch Questions]])&gt;0,"EFRAL"),"")</f>
        <v/>
      </c>
    </row>
    <row r="11" spans="1:12" s="270" customFormat="1" ht="29">
      <c r="B11" s="345">
        <v>5</v>
      </c>
      <c r="C11" s="285" t="str">
        <f ca="1">IFERROR(INDEX(INDIRECT($D$5&amp;"[#All]"),MATCH(iWatchTb[[#This Row],[iWatch Order]],INDIRECT($D$5&amp;"[[#All],[iWatch Order]]"),0),1),INDEX(INDIRECT($D$5&amp;"_"&amp;$F$5&amp;"[#All]"),MATCH(iWatchTb[[#This Row],[iWatch Order]],INDIRECT($D$5&amp;"_"&amp;$F$5&amp;"[[#All],[iWatch Order]]"),0),1))</f>
        <v>GS1.GQ5</v>
      </c>
      <c r="D11" s="290" t="str">
        <f ca="1">VLOOKUP(iWatchTb[[#This Row],[iWatch '#]],CallTb[[#All],[iWatch '#]:[Free Text]],2,FALSE)</f>
        <v>Attach a copy of the Findings Letter if the overall Level Assigned is "With Findings" or higher.</v>
      </c>
      <c r="E11" s="286" t="str">
        <f ca="1">IF(VLOOKUP(iWatchTb[[#This Row],[iWatch '#]],CallTb[[#All],[iWatch '#]:[Free Text]],3,FALSE)=0,"",VLOOKUP(iWatchTb[[#This Row],[iWatch '#]],CallTb[[#All],[iWatch '#]:[Free Text]],3,FALSE))</f>
        <v/>
      </c>
      <c r="F11" s="291" t="str">
        <f ca="1">IF(VLOOKUP(iWatchTb[[#This Row],[iWatch '#]],CallTb[[#All],[iWatch '#]:[Free Text]],6,FALSE)=0,"",VLOOKUP(iWatchTb[[#This Row],[iWatch '#]],CallTb[[#All],[iWatch '#]:[Free Text]],6,FALSE))</f>
        <v/>
      </c>
      <c r="G11" s="288">
        <f ca="1">VLOOKUP(iWatchTb[[#This Row],[iWatch '#]],CallTb[[#All],[iWatch '#]:[Free Text]],7,FALSE)</f>
        <v>0</v>
      </c>
      <c r="H11" s="288" t="str">
        <f ca="1">VLOOKUP(iWatchTb[[#This Row],[iWatch '#]],CallTb[[#All],[iWatch '#]:[Free Text]],8,FALSE)</f>
        <v/>
      </c>
      <c r="I11" s="286" t="str">
        <f ca="1">VLOOKUP(iWatchTb[[#This Row],[iWatch '#]],CallTb[[#All],[iWatch '#]:[Free Text]],9,FALSE)</f>
        <v/>
      </c>
      <c r="J11" s="286">
        <f ca="1">VLOOKUP(iWatchTb[[#This Row],[iWatch '#]],CallTb[[#All],[iWatch '#]:[Free Text]],10,FALSE)</f>
        <v>0</v>
      </c>
      <c r="K11" s="286" t="str">
        <f ca="1">VLOOKUP(LEFT(iWatchTb[[#This Row],[iWatch '#]],4),tblColoring[#Data],2,FALSE)</f>
        <v>Grey</v>
      </c>
      <c r="L11" s="286" t="str">
        <f ca="1">IFERROR(IF(FIND("EFRAL",iWatchTb[[#This Row],[iWatch Questions]])&gt;0,"EFRAL"),"")</f>
        <v/>
      </c>
    </row>
    <row r="12" spans="1:12" s="270" customFormat="1" ht="43.5">
      <c r="B12" s="345">
        <v>6</v>
      </c>
      <c r="C12" s="285" t="str">
        <f ca="1">IFERROR(INDEX(INDIRECT($D$5&amp;"[#All]"),MATCH(iWatchTb[[#This Row],[iWatch Order]],INDIRECT($D$5&amp;"[[#All],[iWatch Order]]"),0),1),INDEX(INDIRECT($D$5&amp;"_"&amp;$F$5&amp;"[#All]"),MATCH(iWatchTb[[#This Row],[iWatch Order]],INDIRECT($D$5&amp;"_"&amp;$F$5&amp;"[[#All],[iWatch Order]]"),0),1))</f>
        <v>GS1.GQ6</v>
      </c>
      <c r="D12" s="290" t="str">
        <f ca="1">VLOOKUP(iWatchTb[[#This Row],[iWatch '#]],CallTb[[#All],[iWatch '#]:[Free Text]],2,FALSE)</f>
        <v>Attach a copy of the Finding Letter email sent to the Agent (or proof of mail, i.e., photo of the envelope) if the overall Level Assigned is "With Findings" or higher.</v>
      </c>
      <c r="E12" s="286" t="str">
        <f ca="1">IF(VLOOKUP(iWatchTb[[#This Row],[iWatch '#]],CallTb[[#All],[iWatch '#]:[Free Text]],3,FALSE)=0,"",VLOOKUP(iWatchTb[[#This Row],[iWatch '#]],CallTb[[#All],[iWatch '#]:[Free Text]],3,FALSE))</f>
        <v/>
      </c>
      <c r="F12" s="291" t="str">
        <f ca="1">IF(VLOOKUP(iWatchTb[[#This Row],[iWatch '#]],CallTb[[#All],[iWatch '#]:[Free Text]],6,FALSE)=0,"",VLOOKUP(iWatchTb[[#This Row],[iWatch '#]],CallTb[[#All],[iWatch '#]:[Free Text]],6,FALSE))</f>
        <v/>
      </c>
      <c r="G12" s="288">
        <f ca="1">VLOOKUP(iWatchTb[[#This Row],[iWatch '#]],CallTb[[#All],[iWatch '#]:[Free Text]],7,FALSE)</f>
        <v>0</v>
      </c>
      <c r="H12" s="288" t="str">
        <f ca="1">VLOOKUP(iWatchTb[[#This Row],[iWatch '#]],CallTb[[#All],[iWatch '#]:[Free Text]],8,FALSE)</f>
        <v/>
      </c>
      <c r="I12" s="286" t="str">
        <f ca="1">VLOOKUP(iWatchTb[[#This Row],[iWatch '#]],CallTb[[#All],[iWatch '#]:[Free Text]],9,FALSE)</f>
        <v/>
      </c>
      <c r="J12" s="286">
        <f ca="1">VLOOKUP(iWatchTb[[#This Row],[iWatch '#]],CallTb[[#All],[iWatch '#]:[Free Text]],10,FALSE)</f>
        <v>0</v>
      </c>
      <c r="K12" s="286" t="str">
        <f ca="1">VLOOKUP(LEFT(iWatchTb[[#This Row],[iWatch '#]],4),tblColoring[#Data],2,FALSE)</f>
        <v>Grey</v>
      </c>
      <c r="L12" s="286" t="str">
        <f ca="1">IFERROR(IF(FIND("EFRAL",iWatchTb[[#This Row],[iWatch Questions]])&gt;0,"EFRAL"),"")</f>
        <v/>
      </c>
    </row>
    <row r="13" spans="1:12" s="270" customFormat="1" ht="72.5">
      <c r="B13" s="345">
        <v>7</v>
      </c>
      <c r="C13" s="285" t="str">
        <f ca="1">IFERROR(INDEX(INDIRECT($D$5&amp;"[#All]"),MATCH(iWatchTb[[#This Row],[iWatch Order]],INDIRECT($D$5&amp;"[[#All],[iWatch Order]]"),0),1),INDEX(INDIRECT($D$5&amp;"_"&amp;$F$5&amp;"[#All]"),MATCH(iWatchTb[[#This Row],[iWatch Order]],INDIRECT($D$5&amp;"_"&amp;$F$5&amp;"[[#All],[iWatch Order]]"),0),1))</f>
        <v>GS2.GQ1</v>
      </c>
      <c r="D13" s="290" t="str">
        <f ca="1">VLOOKUP(iWatchTb[[#This Row],[iWatch '#]],CallTb[[#All],[iWatch '#]:[Free Text]],2,FALSE)</f>
        <v xml:space="preserve">Has the Agent cleared all findings and remediation action items related to the last program review or FIU/FRM Investigations, which were due on or before the date of the present review?
</v>
      </c>
      <c r="E13" s="286" t="str">
        <f ca="1">IF(VLOOKUP(iWatchTb[[#This Row],[iWatch '#]],CallTb[[#All],[iWatch '#]:[Free Text]],3,FALSE)=0,"",VLOOKUP(iWatchTb[[#This Row],[iWatch '#]],CallTb[[#All],[iWatch '#]:[Free Text]],3,FALSE))</f>
        <v>Historial de Cumplimiento</v>
      </c>
      <c r="F13" s="291" t="str">
        <f ca="1">IF(VLOOKUP(iWatchTb[[#This Row],[iWatch '#]],CallTb[[#All],[iWatch '#]:[Free Text]],6,FALSE)=0,"",VLOOKUP(iWatchTb[[#This Row],[iWatch '#]],CallTb[[#All],[iWatch '#]:[Free Text]],6,FALSE))</f>
        <v/>
      </c>
      <c r="G13" s="288">
        <f ca="1">VLOOKUP(iWatchTb[[#This Row],[iWatch '#]],CallTb[[#All],[iWatch '#]:[Free Text]],7,FALSE)</f>
        <v>0</v>
      </c>
      <c r="H13" s="288" t="str">
        <f ca="1">VLOOKUP(iWatchTb[[#This Row],[iWatch '#]],CallTb[[#All],[iWatch '#]:[Free Text]],8,FALSE)</f>
        <v/>
      </c>
      <c r="I13" s="286" t="str">
        <f ca="1">VLOOKUP(iWatchTb[[#This Row],[iWatch '#]],CallTb[[#All],[iWatch '#]:[Free Text]],9,FALSE)</f>
        <v/>
      </c>
      <c r="J13" s="286">
        <f ca="1">VLOOKUP(iWatchTb[[#This Row],[iWatch '#]],CallTb[[#All],[iWatch '#]:[Free Text]],10,FALSE)</f>
        <v>0</v>
      </c>
      <c r="K13" s="286" t="str">
        <f ca="1">VLOOKUP(LEFT(iWatchTb[[#This Row],[iWatch '#]],4),tblColoring[#Data],2,FALSE)</f>
        <v>Blue</v>
      </c>
      <c r="L13" s="286" t="str">
        <f ca="1">IFERROR(IF(FIND("EFRAL",iWatchTb[[#This Row],[iWatch Questions]])&gt;0,"EFRAL"),"")</f>
        <v/>
      </c>
    </row>
    <row r="14" spans="1:12" s="270" customFormat="1" ht="116">
      <c r="B14" s="345">
        <v>8</v>
      </c>
      <c r="C14" s="285" t="str">
        <f ca="1">IFERROR(INDEX(INDIRECT($D$5&amp;"[#All]"),MATCH(iWatchTb[[#This Row],[iWatch Order]],INDIRECT($D$5&amp;"[[#All],[iWatch Order]]"),0),1),INDEX(INDIRECT($D$5&amp;"_"&amp;$F$5&amp;"[#All]"),MATCH(iWatchTb[[#This Row],[iWatch Order]],INDIRECT($D$5&amp;"_"&amp;$F$5&amp;"[[#All],[iWatch Order]]"),0),1))</f>
        <v>GS2.GQ2</v>
      </c>
      <c r="D14" s="290" t="str">
        <f ca="1">VLOOKUP(iWatchTb[[#This Row],[iWatch '#]],CallTb[[#All],[iWatch '#]:[Free Text]],2,FALSE)</f>
        <v xml:space="preserve">If the answer to the previous question is "Yes", provide previous case number and an explicit statement confirming that the WUCO reviewed the previous program review or FIU/FRM Investigations case and has verified that all findings were remediated. 
If the answer to the previous question is "No", provide the previous case number and list of findings that were not cleared. </v>
      </c>
      <c r="E14" s="286" t="str">
        <f ca="1">IF(VLOOKUP(iWatchTb[[#This Row],[iWatch '#]],CallTb[[#All],[iWatch '#]:[Free Text]],3,FALSE)=0,"",VLOOKUP(iWatchTb[[#This Row],[iWatch '#]],CallTb[[#All],[iWatch '#]:[Free Text]],3,FALSE))</f>
        <v/>
      </c>
      <c r="F14" s="291" t="str">
        <f ca="1">IF(VLOOKUP(iWatchTb[[#This Row],[iWatch '#]],CallTb[[#All],[iWatch '#]:[Free Text]],6,FALSE)=0,"",VLOOKUP(iWatchTb[[#This Row],[iWatch '#]],CallTb[[#All],[iWatch '#]:[Free Text]],6,FALSE))</f>
        <v/>
      </c>
      <c r="G14" s="288">
        <f ca="1">VLOOKUP(iWatchTb[[#This Row],[iWatch '#]],CallTb[[#All],[iWatch '#]:[Free Text]],7,FALSE)</f>
        <v>0</v>
      </c>
      <c r="H14" s="288" t="str">
        <f ca="1">VLOOKUP(iWatchTb[[#This Row],[iWatch '#]],CallTb[[#All],[iWatch '#]:[Free Text]],8,FALSE)</f>
        <v/>
      </c>
      <c r="I14" s="286" t="str">
        <f ca="1">VLOOKUP(iWatchTb[[#This Row],[iWatch '#]],CallTb[[#All],[iWatch '#]:[Free Text]],9,FALSE)</f>
        <v/>
      </c>
      <c r="J14" s="286">
        <f ca="1">VLOOKUP(iWatchTb[[#This Row],[iWatch '#]],CallTb[[#All],[iWatch '#]:[Free Text]],10,FALSE)</f>
        <v>0</v>
      </c>
      <c r="K14" s="286" t="str">
        <f ca="1">VLOOKUP(LEFT(iWatchTb[[#This Row],[iWatch '#]],4),tblColoring[#Data],2,FALSE)</f>
        <v>Blue</v>
      </c>
      <c r="L14" s="286" t="str">
        <f ca="1">IFERROR(IF(FIND("EFRAL",iWatchTb[[#This Row],[iWatch Questions]])&gt;0,"EFRAL"),"")</f>
        <v/>
      </c>
    </row>
    <row r="15" spans="1:12" s="270" customFormat="1" ht="31">
      <c r="B15" s="345">
        <v>9</v>
      </c>
      <c r="C15" s="285" t="str">
        <f ca="1">IFERROR(INDEX(INDIRECT($D$5&amp;"[#All]"),MATCH(iWatchTb[[#This Row],[iWatch Order]],INDIRECT($D$5&amp;"[[#All],[iWatch Order]]"),0),1),INDEX(INDIRECT($D$5&amp;"_"&amp;$F$5&amp;"[#All]"),MATCH(iWatchTb[[#This Row],[iWatch Order]],INDIRECT($D$5&amp;"_"&amp;$F$5&amp;"[[#All],[iWatch Order]]"),0),1))</f>
        <v>GS3.GQ1</v>
      </c>
      <c r="D15" s="290" t="str">
        <f ca="1">VLOOKUP(iWatchTb[[#This Row],[iWatch '#]],CallTb[[#All],[iWatch '#]:[Free Text]],2,FALSE)</f>
        <v>Are the location name, address, and telephone number stored in Western Union ("WU") systems accurate?</v>
      </c>
      <c r="E15" s="286" t="str">
        <f ca="1">IF(VLOOKUP(iWatchTb[[#This Row],[iWatch '#]],CallTb[[#All],[iWatch '#]:[Free Text]],3,FALSE)=0,"",VLOOKUP(iWatchTb[[#This Row],[iWatch '#]],CallTb[[#All],[iWatch '#]:[Free Text]],3,FALSE))</f>
        <v>Disponibilidad de la Localidad</v>
      </c>
      <c r="F15" s="291" t="str">
        <f ca="1">IF(VLOOKUP(iWatchTb[[#This Row],[iWatch '#]],CallTb[[#All],[iWatch '#]:[Free Text]],6,FALSE)=0,"",VLOOKUP(iWatchTb[[#This Row],[iWatch '#]],CallTb[[#All],[iWatch '#]:[Free Text]],6,FALSE))</f>
        <v/>
      </c>
      <c r="G15" s="288">
        <f ca="1">VLOOKUP(iWatchTb[[#This Row],[iWatch '#]],CallTb[[#All],[iWatch '#]:[Free Text]],7,FALSE)</f>
        <v>0</v>
      </c>
      <c r="H15" s="288" t="str">
        <f ca="1">VLOOKUP(iWatchTb[[#This Row],[iWatch '#]],CallTb[[#All],[iWatch '#]:[Free Text]],8,FALSE)</f>
        <v/>
      </c>
      <c r="I15" s="286" t="str">
        <f ca="1">VLOOKUP(iWatchTb[[#This Row],[iWatch '#]],CallTb[[#All],[iWatch '#]:[Free Text]],9,FALSE)</f>
        <v/>
      </c>
      <c r="J15" s="286">
        <f ca="1">VLOOKUP(iWatchTb[[#This Row],[iWatch '#]],CallTb[[#All],[iWatch '#]:[Free Text]],10,FALSE)</f>
        <v>0</v>
      </c>
      <c r="K15" s="286" t="str">
        <f ca="1">VLOOKUP(LEFT(iWatchTb[[#This Row],[iWatch '#]],4),tblColoring[#Data],2,FALSE)</f>
        <v>Grey</v>
      </c>
      <c r="L15" s="286" t="str">
        <f ca="1">IFERROR(IF(FIND("EFRAL",iWatchTb[[#This Row],[iWatch Questions]])&gt;0,"EFRAL"),"")</f>
        <v/>
      </c>
    </row>
    <row r="16" spans="1:12" s="270" customFormat="1" ht="58">
      <c r="B16" s="345">
        <v>10</v>
      </c>
      <c r="C16" s="285" t="str">
        <f ca="1">IFERROR(INDEX(INDIRECT($D$5&amp;"[#All]"),MATCH(iWatchTb[[#This Row],[iWatch Order]],INDIRECT($D$5&amp;"[[#All],[iWatch Order]]"),0),1),INDEX(INDIRECT($D$5&amp;"_"&amp;$F$5&amp;"[#All]"),MATCH(iWatchTb[[#This Row],[iWatch Order]],INDIRECT($D$5&amp;"_"&amp;$F$5&amp;"[[#All],[iWatch Order]]"),0),1))</f>
        <v>GS3.GQ2</v>
      </c>
      <c r="D16" s="290" t="str">
        <f ca="1">VLOOKUP(iWatchTb[[#This Row],[iWatch '#]],CallTb[[#All],[iWatch '#]:[Free Text]],2,FALSE)</f>
        <v xml:space="preserve">Does each Front Line Associate ("FLA") use only their own unique Operator ID to process money transfer/money order transactions?
</v>
      </c>
      <c r="E16" s="286" t="str">
        <f ca="1">IF(VLOOKUP(iWatchTb[[#This Row],[iWatch '#]],CallTb[[#All],[iWatch '#]:[Free Text]],3,FALSE)=0,"",VLOOKUP(iWatchTb[[#This Row],[iWatch '#]],CallTb[[#All],[iWatch '#]:[Free Text]],3,FALSE))</f>
        <v>Disponibilidad de la Localidad</v>
      </c>
      <c r="F16" s="291" t="str">
        <f ca="1">IF(VLOOKUP(iWatchTb[[#This Row],[iWatch '#]],CallTb[[#All],[iWatch '#]:[Free Text]],6,FALSE)=0,"",VLOOKUP(iWatchTb[[#This Row],[iWatch '#]],CallTb[[#All],[iWatch '#]:[Free Text]],6,FALSE))</f>
        <v/>
      </c>
      <c r="G16" s="288">
        <f ca="1">VLOOKUP(iWatchTb[[#This Row],[iWatch '#]],CallTb[[#All],[iWatch '#]:[Free Text]],7,FALSE)</f>
        <v>0</v>
      </c>
      <c r="H16" s="288" t="str">
        <f ca="1">VLOOKUP(iWatchTb[[#This Row],[iWatch '#]],CallTb[[#All],[iWatch '#]:[Free Text]],8,FALSE)</f>
        <v/>
      </c>
      <c r="I16" s="286" t="str">
        <f ca="1">VLOOKUP(iWatchTb[[#This Row],[iWatch '#]],CallTb[[#All],[iWatch '#]:[Free Text]],9,FALSE)</f>
        <v/>
      </c>
      <c r="J16" s="286">
        <f ca="1">VLOOKUP(iWatchTb[[#This Row],[iWatch '#]],CallTb[[#All],[iWatch '#]:[Free Text]],10,FALSE)</f>
        <v>0</v>
      </c>
      <c r="K16" s="286" t="str">
        <f ca="1">VLOOKUP(LEFT(iWatchTb[[#This Row],[iWatch '#]],4),tblColoring[#Data],2,FALSE)</f>
        <v>Grey</v>
      </c>
      <c r="L16" s="286" t="str">
        <f ca="1">IFERROR(IF(FIND("EFRAL",iWatchTb[[#This Row],[iWatch Questions]])&gt;0,"EFRAL"),"")</f>
        <v/>
      </c>
    </row>
    <row r="17" spans="2:12" s="270" customFormat="1" ht="43.5">
      <c r="B17" s="345">
        <v>11</v>
      </c>
      <c r="C17" s="285" t="str">
        <f ca="1">IFERROR(INDEX(INDIRECT($D$5&amp;"[#All]"),MATCH(iWatchTb[[#This Row],[iWatch Order]],INDIRECT($D$5&amp;"[[#All],[iWatch Order]]"),0),1),INDEX(INDIRECT($D$5&amp;"_"&amp;$F$5&amp;"[#All]"),MATCH(iWatchTb[[#This Row],[iWatch Order]],INDIRECT($D$5&amp;"_"&amp;$F$5&amp;"[[#All],[iWatch Order]]"),0),1))</f>
        <v>GS3.GQ3</v>
      </c>
      <c r="D17" s="290" t="str">
        <f ca="1">VLOOKUP(iWatchTb[[#This Row],[iWatch '#]],CallTb[[#All],[iWatch '#]:[Free Text]],2,FALSE)</f>
        <v xml:space="preserve">Do FLAs have access to the Agent's complete AML/CFT and Anti-Fraud Compliance policies and procedures? 
</v>
      </c>
      <c r="E17" s="286" t="str">
        <f ca="1">IF(VLOOKUP(iWatchTb[[#This Row],[iWatch '#]],CallTb[[#All],[iWatch '#]:[Free Text]],3,FALSE)=0,"",VLOOKUP(iWatchTb[[#This Row],[iWatch '#]],CallTb[[#All],[iWatch '#]:[Free Text]],3,FALSE))</f>
        <v>Disponibilidad de la Localidad</v>
      </c>
      <c r="F17" s="291" t="str">
        <f ca="1">IF(VLOOKUP(iWatchTb[[#This Row],[iWatch '#]],CallTb[[#All],[iWatch '#]:[Free Text]],6,FALSE)=0,"",VLOOKUP(iWatchTb[[#This Row],[iWatch '#]],CallTb[[#All],[iWatch '#]:[Free Text]],6,FALSE))</f>
        <v/>
      </c>
      <c r="G17" s="288">
        <f ca="1">VLOOKUP(iWatchTb[[#This Row],[iWatch '#]],CallTb[[#All],[iWatch '#]:[Free Text]],7,FALSE)</f>
        <v>0</v>
      </c>
      <c r="H17" s="288" t="str">
        <f ca="1">VLOOKUP(iWatchTb[[#This Row],[iWatch '#]],CallTb[[#All],[iWatch '#]:[Free Text]],8,FALSE)</f>
        <v/>
      </c>
      <c r="I17" s="286" t="str">
        <f ca="1">VLOOKUP(iWatchTb[[#This Row],[iWatch '#]],CallTb[[#All],[iWatch '#]:[Free Text]],9,FALSE)</f>
        <v/>
      </c>
      <c r="J17" s="286">
        <f ca="1">VLOOKUP(iWatchTb[[#This Row],[iWatch '#]],CallTb[[#All],[iWatch '#]:[Free Text]],10,FALSE)</f>
        <v>0</v>
      </c>
      <c r="K17" s="286" t="str">
        <f ca="1">VLOOKUP(LEFT(iWatchTb[[#This Row],[iWatch '#]],4),tblColoring[#Data],2,FALSE)</f>
        <v>Grey</v>
      </c>
      <c r="L17" s="286" t="str">
        <f ca="1">IFERROR(IF(FIND("EFRAL",iWatchTb[[#This Row],[iWatch Questions]])&gt;0,"EFRAL"),"")</f>
        <v/>
      </c>
    </row>
    <row r="18" spans="2:12" s="270" customFormat="1" ht="46.5">
      <c r="B18" s="345">
        <v>12</v>
      </c>
      <c r="C18" s="285" t="str">
        <f ca="1">IFERROR(INDEX(INDIRECT($D$5&amp;"[#All]"),MATCH(iWatchTb[[#This Row],[iWatch Order]],INDIRECT($D$5&amp;"[[#All],[iWatch Order]]"),0),1),INDEX(INDIRECT($D$5&amp;"_"&amp;$F$5&amp;"[#All]"),MATCH(iWatchTb[[#This Row],[iWatch Order]],INDIRECT($D$5&amp;"_"&amp;$F$5&amp;"[[#All],[iWatch Order]]"),0),1))</f>
        <v>GS4.GQ1</v>
      </c>
      <c r="D18" s="290" t="str">
        <f ca="1">VLOOKUP(iWatchTb[[#This Row],[iWatch '#]],CallTb[[#All],[iWatch '#]:[Free Text]],2,FALSE)</f>
        <v>Can FLAs demonstrate that they have been properly trained by describing AML and CFT compliance characteristics?</v>
      </c>
      <c r="E18" s="286" t="str">
        <f ca="1">IF(VLOOKUP(iWatchTb[[#This Row],[iWatch '#]],CallTb[[#All],[iWatch '#]:[Free Text]],3,FALSE)=0,"",VLOOKUP(iWatchTb[[#This Row],[iWatch '#]],CallTb[[#All],[iWatch '#]:[Free Text]],3,FALSE))</f>
        <v>Conocimiento de Operador - Actividad Sospechosa y Fraude</v>
      </c>
      <c r="F18" s="291" t="str">
        <f ca="1">IF(VLOOKUP(iWatchTb[[#This Row],[iWatch '#]],CallTb[[#All],[iWatch '#]:[Free Text]],6,FALSE)=0,"",VLOOKUP(iWatchTb[[#This Row],[iWatch '#]],CallTb[[#All],[iWatch '#]:[Free Text]],6,FALSE))</f>
        <v/>
      </c>
      <c r="G18" s="288">
        <f ca="1">VLOOKUP(iWatchTb[[#This Row],[iWatch '#]],CallTb[[#All],[iWatch '#]:[Free Text]],7,FALSE)</f>
        <v>0</v>
      </c>
      <c r="H18" s="288" t="str">
        <f ca="1">VLOOKUP(iWatchTb[[#This Row],[iWatch '#]],CallTb[[#All],[iWatch '#]:[Free Text]],8,FALSE)</f>
        <v/>
      </c>
      <c r="I18" s="286" t="str">
        <f ca="1">VLOOKUP(iWatchTb[[#This Row],[iWatch '#]],CallTb[[#All],[iWatch '#]:[Free Text]],9,FALSE)</f>
        <v/>
      </c>
      <c r="J18" s="286">
        <f ca="1">VLOOKUP(iWatchTb[[#This Row],[iWatch '#]],CallTb[[#All],[iWatch '#]:[Free Text]],10,FALSE)</f>
        <v>0</v>
      </c>
      <c r="K18" s="286" t="str">
        <f ca="1">VLOOKUP(LEFT(iWatchTb[[#This Row],[iWatch '#]],4),tblColoring[#Data],2,FALSE)</f>
        <v>Blue</v>
      </c>
      <c r="L18" s="286" t="str">
        <f ca="1">IFERROR(IF(FIND("EFRAL",iWatchTb[[#This Row],[iWatch Questions]])&gt;0,"EFRAL"),"")</f>
        <v/>
      </c>
    </row>
    <row r="19" spans="2:12" s="270" customFormat="1" ht="58">
      <c r="B19" s="345">
        <v>13</v>
      </c>
      <c r="C19" s="285" t="str">
        <f ca="1">IFERROR(INDEX(INDIRECT($D$5&amp;"[#All]"),MATCH(iWatchTb[[#This Row],[iWatch Order]],INDIRECT($D$5&amp;"[[#All],[iWatch Order]]"),0),1),INDEX(INDIRECT($D$5&amp;"_"&amp;$F$5&amp;"[#All]"),MATCH(iWatchTb[[#This Row],[iWatch Order]],INDIRECT($D$5&amp;"_"&amp;$F$5&amp;"[[#All],[iWatch Order]]"),0),1))</f>
        <v>GS4.GQ2</v>
      </c>
      <c r="D19" s="290" t="str">
        <f ca="1">VLOOKUP(iWatchTb[[#This Row],[iWatch '#]],CallTb[[#All],[iWatch '#]:[Free Text]],2,FALSE)</f>
        <v xml:space="preserve">FLA INTERVIEW: Can FLAs identify red flags that indicate a consumer may be involved in Suspicious Activity or transactions?
</v>
      </c>
      <c r="E19" s="286" t="str">
        <f ca="1">IF(VLOOKUP(iWatchTb[[#This Row],[iWatch '#]],CallTb[[#All],[iWatch '#]:[Free Text]],3,FALSE)=0,"",VLOOKUP(iWatchTb[[#This Row],[iWatch '#]],CallTb[[#All],[iWatch '#]:[Free Text]],3,FALSE))</f>
        <v>Conocimiento de Operador - Actividad Sospechosa y Fraude</v>
      </c>
      <c r="F19" s="288" t="str">
        <f ca="1">IF(VLOOKUP(iWatchTb[[#This Row],[iWatch '#]],CallTb[[#All],[iWatch '#]:[Free Text]],6,FALSE)=0,"",VLOOKUP(iWatchTb[[#This Row],[iWatch '#]],CallTb[[#All],[iWatch '#]:[Free Text]],6,FALSE))</f>
        <v/>
      </c>
      <c r="G19" s="288">
        <f ca="1">VLOOKUP(iWatchTb[[#This Row],[iWatch '#]],CallTb[[#All],[iWatch '#]:[Free Text]],7,FALSE)</f>
        <v>0</v>
      </c>
      <c r="H19" s="288" t="str">
        <f ca="1">VLOOKUP(iWatchTb[[#This Row],[iWatch '#]],CallTb[[#All],[iWatch '#]:[Free Text]],8,FALSE)</f>
        <v/>
      </c>
      <c r="I19" s="286" t="str">
        <f ca="1">VLOOKUP(iWatchTb[[#This Row],[iWatch '#]],CallTb[[#All],[iWatch '#]:[Free Text]],9,FALSE)</f>
        <v/>
      </c>
      <c r="J19" s="286">
        <f ca="1">VLOOKUP(iWatchTb[[#This Row],[iWatch '#]],CallTb[[#All],[iWatch '#]:[Free Text]],10,FALSE)</f>
        <v>0</v>
      </c>
      <c r="K19" s="286" t="str">
        <f ca="1">VLOOKUP(LEFT(iWatchTb[[#This Row],[iWatch '#]],4),tblColoring[#Data],2,FALSE)</f>
        <v>Blue</v>
      </c>
      <c r="L19" s="286" t="str">
        <f ca="1">IFERROR(IF(FIND("EFRAL",iWatchTb[[#This Row],[iWatch Questions]])&gt;0,"EFRAL"),"")</f>
        <v/>
      </c>
    </row>
    <row r="20" spans="2:12" s="270" customFormat="1" ht="58">
      <c r="B20" s="345">
        <v>14</v>
      </c>
      <c r="C20" s="285" t="str">
        <f ca="1">IFERROR(INDEX(INDIRECT($D$5&amp;"[#All]"),MATCH(iWatchTb[[#This Row],[iWatch Order]],INDIRECT($D$5&amp;"[[#All],[iWatch Order]]"),0),1),INDEX(INDIRECT($D$5&amp;"_"&amp;$F$5&amp;"[#All]"),MATCH(iWatchTb[[#This Row],[iWatch Order]],INDIRECT($D$5&amp;"_"&amp;$F$5&amp;"[[#All],[iWatch Order]]"),0),1))</f>
        <v>GS4.GQ3</v>
      </c>
      <c r="D20" s="290" t="str">
        <f ca="1">VLOOKUP(iWatchTb[[#This Row],[iWatch '#]],CallTb[[#All],[iWatch '#]:[Free Text]],2,FALSE)</f>
        <v xml:space="preserve">FLA INTERVIEW: Do FLAs know the appropriate steps to take (including reporting, etc.) when faced with suspicious activity or transactions?
</v>
      </c>
      <c r="E20" s="286" t="str">
        <f ca="1">IF(VLOOKUP(iWatchTb[[#This Row],[iWatch '#]],CallTb[[#All],[iWatch '#]:[Free Text]],3,FALSE)=0,"",VLOOKUP(iWatchTb[[#This Row],[iWatch '#]],CallTb[[#All],[iWatch '#]:[Free Text]],3,FALSE))</f>
        <v>Conocimiento de Operador - Actividad Sospechosa y Fraude</v>
      </c>
      <c r="F20" s="288" t="str">
        <f ca="1">IF(VLOOKUP(iWatchTb[[#This Row],[iWatch '#]],CallTb[[#All],[iWatch '#]:[Free Text]],6,FALSE)=0,"",VLOOKUP(iWatchTb[[#This Row],[iWatch '#]],CallTb[[#All],[iWatch '#]:[Free Text]],6,FALSE))</f>
        <v/>
      </c>
      <c r="G20" s="288">
        <f ca="1">VLOOKUP(iWatchTb[[#This Row],[iWatch '#]],CallTb[[#All],[iWatch '#]:[Free Text]],7,FALSE)</f>
        <v>0</v>
      </c>
      <c r="H20" s="288" t="str">
        <f ca="1">VLOOKUP(iWatchTb[[#This Row],[iWatch '#]],CallTb[[#All],[iWatch '#]:[Free Text]],8,FALSE)</f>
        <v/>
      </c>
      <c r="I20" s="286" t="str">
        <f ca="1">VLOOKUP(iWatchTb[[#This Row],[iWatch '#]],CallTb[[#All],[iWatch '#]:[Free Text]],9,FALSE)</f>
        <v/>
      </c>
      <c r="J20" s="286">
        <f ca="1">VLOOKUP(iWatchTb[[#This Row],[iWatch '#]],CallTb[[#All],[iWatch '#]:[Free Text]],10,FALSE)</f>
        <v>0</v>
      </c>
      <c r="K20" s="286" t="str">
        <f ca="1">VLOOKUP(LEFT(iWatchTb[[#This Row],[iWatch '#]],4),tblColoring[#Data],2,FALSE)</f>
        <v>Blue</v>
      </c>
      <c r="L20" s="286" t="str">
        <f ca="1">IFERROR(IF(FIND("EFRAL",iWatchTb[[#This Row],[iWatch Questions]])&gt;0,"EFRAL"),"")</f>
        <v/>
      </c>
    </row>
    <row r="21" spans="2:12" s="270" customFormat="1" ht="46.5">
      <c r="B21" s="345">
        <v>15</v>
      </c>
      <c r="C21" s="285" t="str">
        <f ca="1">IFERROR(INDEX(INDIRECT($D$5&amp;"[#All]"),MATCH(iWatchTb[[#This Row],[iWatch Order]],INDIRECT($D$5&amp;"[[#All],[iWatch Order]]"),0),1),INDEX(INDIRECT($D$5&amp;"_"&amp;$F$5&amp;"[#All]"),MATCH(iWatchTb[[#This Row],[iWatch Order]],INDIRECT($D$5&amp;"_"&amp;$F$5&amp;"[[#All],[iWatch Order]]"),0),1))</f>
        <v>GS4.GQ4</v>
      </c>
      <c r="D21" s="287" t="str">
        <f ca="1">VLOOKUP(iWatchTb[[#This Row],[iWatch '#]],CallTb[[#All],[iWatch '#]:[Free Text]],2,FALSE)</f>
        <v xml:space="preserve">FLA INTERVIEW: Is the FLA(s)  able to identify Agent Fraud related activity? </v>
      </c>
      <c r="E21" s="286" t="str">
        <f ca="1">IF(VLOOKUP(iWatchTb[[#This Row],[iWatch '#]],CallTb[[#All],[iWatch '#]:[Free Text]],3,FALSE)=0,"",VLOOKUP(iWatchTb[[#This Row],[iWatch '#]],CallTb[[#All],[iWatch '#]:[Free Text]],3,FALSE))</f>
        <v>Conocimiento de Operador - Actividad Sospechosa y Fraude</v>
      </c>
      <c r="F21" s="286" t="str">
        <f ca="1">IF(VLOOKUP(iWatchTb[[#This Row],[iWatch '#]],CallTb[[#All],[iWatch '#]:[Free Text]],6,FALSE)=0,"",VLOOKUP(iWatchTb[[#This Row],[iWatch '#]],CallTb[[#All],[iWatch '#]:[Free Text]],6,FALSE))</f>
        <v/>
      </c>
      <c r="G21" s="286">
        <f ca="1">VLOOKUP(iWatchTb[[#This Row],[iWatch '#]],CallTb[[#All],[iWatch '#]:[Free Text]],7,FALSE)</f>
        <v>0</v>
      </c>
      <c r="H21" s="286" t="str">
        <f ca="1">VLOOKUP(iWatchTb[[#This Row],[iWatch '#]],CallTb[[#All],[iWatch '#]:[Free Text]],8,FALSE)</f>
        <v/>
      </c>
      <c r="I21" s="292" t="str">
        <f ca="1">VLOOKUP(iWatchTb[[#This Row],[iWatch '#]],CallTb[[#All],[iWatch '#]:[Free Text]],9,FALSE)</f>
        <v/>
      </c>
      <c r="J21" s="286">
        <f ca="1">VLOOKUP(iWatchTb[[#This Row],[iWatch '#]],CallTb[[#All],[iWatch '#]:[Free Text]],10,FALSE)</f>
        <v>0</v>
      </c>
      <c r="K21" s="286" t="str">
        <f ca="1">VLOOKUP(LEFT(iWatchTb[[#This Row],[iWatch '#]],4),tblColoring[#Data],2,FALSE)</f>
        <v>Blue</v>
      </c>
      <c r="L21" s="286" t="str">
        <f ca="1">IFERROR(IF(FIND("EFRAL",iWatchTb[[#This Row],[iWatch Questions]])&gt;0,"EFRAL"),"")</f>
        <v/>
      </c>
    </row>
    <row r="22" spans="2:12" s="270" customFormat="1" ht="46.5">
      <c r="B22" s="345">
        <v>16</v>
      </c>
      <c r="C22" s="285" t="str">
        <f ca="1">IFERROR(INDEX(INDIRECT($D$5&amp;"[#All]"),MATCH(iWatchTb[[#This Row],[iWatch Order]],INDIRECT($D$5&amp;"[[#All],[iWatch Order]]"),0),1),INDEX(INDIRECT($D$5&amp;"_"&amp;$F$5&amp;"[#All]"),MATCH(iWatchTb[[#This Row],[iWatch Order]],INDIRECT($D$5&amp;"_"&amp;$F$5&amp;"[[#All],[iWatch Order]]"),0),1))</f>
        <v>GS4.GQ5</v>
      </c>
      <c r="D22" s="287" t="str">
        <f ca="1">VLOOKUP(iWatchTb[[#This Row],[iWatch '#]],CallTb[[#All],[iWatch '#]:[Free Text]],2,FALSE)</f>
        <v xml:space="preserve">FLA INTERVIEW: Is the FLA(s)  able to explain the actions that should be taken with regard to Agent Fraud related activity? </v>
      </c>
      <c r="E22" s="286" t="str">
        <f ca="1">IF(VLOOKUP(iWatchTb[[#This Row],[iWatch '#]],CallTb[[#All],[iWatch '#]:[Free Text]],3,FALSE)=0,"",VLOOKUP(iWatchTb[[#This Row],[iWatch '#]],CallTb[[#All],[iWatch '#]:[Free Text]],3,FALSE))</f>
        <v>Conocimiento de Operador - Actividad Sospechosa y Fraude</v>
      </c>
      <c r="F22" s="286" t="str">
        <f ca="1">IF(VLOOKUP(iWatchTb[[#This Row],[iWatch '#]],CallTb[[#All],[iWatch '#]:[Free Text]],6,FALSE)=0,"",VLOOKUP(iWatchTb[[#This Row],[iWatch '#]],CallTb[[#All],[iWatch '#]:[Free Text]],6,FALSE))</f>
        <v/>
      </c>
      <c r="G22" s="286">
        <f ca="1">VLOOKUP(iWatchTb[[#This Row],[iWatch '#]],CallTb[[#All],[iWatch '#]:[Free Text]],7,FALSE)</f>
        <v>0</v>
      </c>
      <c r="H22" s="286" t="str">
        <f ca="1">VLOOKUP(iWatchTb[[#This Row],[iWatch '#]],CallTb[[#All],[iWatch '#]:[Free Text]],8,FALSE)</f>
        <v/>
      </c>
      <c r="I22" s="292" t="str">
        <f ca="1">VLOOKUP(iWatchTb[[#This Row],[iWatch '#]],CallTb[[#All],[iWatch '#]:[Free Text]],9,FALSE)</f>
        <v/>
      </c>
      <c r="J22" s="286">
        <f ca="1">VLOOKUP(iWatchTb[[#This Row],[iWatch '#]],CallTb[[#All],[iWatch '#]:[Free Text]],10,FALSE)</f>
        <v>0</v>
      </c>
      <c r="K22" s="286" t="str">
        <f ca="1">VLOOKUP(LEFT(iWatchTb[[#This Row],[iWatch '#]],4),tblColoring[#Data],2,FALSE)</f>
        <v>Blue</v>
      </c>
      <c r="L22" s="286" t="str">
        <f ca="1">IFERROR(IF(FIND("EFRAL",iWatchTb[[#This Row],[iWatch Questions]])&gt;0,"EFRAL"),"")</f>
        <v/>
      </c>
    </row>
    <row r="23" spans="2:12" s="270" customFormat="1" ht="46.5">
      <c r="B23" s="345">
        <v>17</v>
      </c>
      <c r="C23" s="285" t="str">
        <f ca="1">IFERROR(INDEX(INDIRECT($D$5&amp;"[#All]"),MATCH(iWatchTb[[#This Row],[iWatch Order]],INDIRECT($D$5&amp;"[[#All],[iWatch Order]]"),0),1),INDEX(INDIRECT($D$5&amp;"_"&amp;$F$5&amp;"[#All]"),MATCH(iWatchTb[[#This Row],[iWatch Order]],INDIRECT($D$5&amp;"_"&amp;$F$5&amp;"[[#All],[iWatch Order]]"),0),1))</f>
        <v>GS4.GQ6</v>
      </c>
      <c r="D23" s="287" t="str">
        <f ca="1">VLOOKUP(iWatchTb[[#This Row],[iWatch '#]],CallTb[[#All],[iWatch '#]:[Free Text]],2,FALSE)</f>
        <v>FLA INTERVIEW: Is the FLA(s)  able to  identify consumer fraud related activity?</v>
      </c>
      <c r="E23" s="286" t="str">
        <f ca="1">IF(VLOOKUP(iWatchTb[[#This Row],[iWatch '#]],CallTb[[#All],[iWatch '#]:[Free Text]],3,FALSE)=0,"",VLOOKUP(iWatchTb[[#This Row],[iWatch '#]],CallTb[[#All],[iWatch '#]:[Free Text]],3,FALSE))</f>
        <v>Conocimiento de Operador - Actividad Sospechosa y Fraude</v>
      </c>
      <c r="F23" s="286" t="str">
        <f ca="1">IF(VLOOKUP(iWatchTb[[#This Row],[iWatch '#]],CallTb[[#All],[iWatch '#]:[Free Text]],6,FALSE)=0,"",VLOOKUP(iWatchTb[[#This Row],[iWatch '#]],CallTb[[#All],[iWatch '#]:[Free Text]],6,FALSE))</f>
        <v/>
      </c>
      <c r="G23" s="286">
        <f ca="1">VLOOKUP(iWatchTb[[#This Row],[iWatch '#]],CallTb[[#All],[iWatch '#]:[Free Text]],7,FALSE)</f>
        <v>0</v>
      </c>
      <c r="H23" s="286" t="str">
        <f ca="1">VLOOKUP(iWatchTb[[#This Row],[iWatch '#]],CallTb[[#All],[iWatch '#]:[Free Text]],8,FALSE)</f>
        <v/>
      </c>
      <c r="I23" s="292" t="str">
        <f ca="1">VLOOKUP(iWatchTb[[#This Row],[iWatch '#]],CallTb[[#All],[iWatch '#]:[Free Text]],9,FALSE)</f>
        <v/>
      </c>
      <c r="J23" s="286">
        <f ca="1">VLOOKUP(iWatchTb[[#This Row],[iWatch '#]],CallTb[[#All],[iWatch '#]:[Free Text]],10,FALSE)</f>
        <v>0</v>
      </c>
      <c r="K23" s="286" t="str">
        <f ca="1">VLOOKUP(LEFT(iWatchTb[[#This Row],[iWatch '#]],4),tblColoring[#Data],2,FALSE)</f>
        <v>Blue</v>
      </c>
      <c r="L23" s="286" t="str">
        <f ca="1">IFERROR(IF(FIND("EFRAL",iWatchTb[[#This Row],[iWatch Questions]])&gt;0,"EFRAL"),"")</f>
        <v/>
      </c>
    </row>
    <row r="24" spans="2:12" s="270" customFormat="1" ht="46.5">
      <c r="B24" s="345">
        <v>18</v>
      </c>
      <c r="C24" s="285" t="str">
        <f ca="1">IFERROR(INDEX(INDIRECT($D$5&amp;"[#All]"),MATCH(iWatchTb[[#This Row],[iWatch Order]],INDIRECT($D$5&amp;"[[#All],[iWatch Order]]"),0),1),INDEX(INDIRECT($D$5&amp;"_"&amp;$F$5&amp;"[#All]"),MATCH(iWatchTb[[#This Row],[iWatch Order]],INDIRECT($D$5&amp;"_"&amp;$F$5&amp;"[[#All],[iWatch Order]]"),0),1))</f>
        <v>GS4.GQ7</v>
      </c>
      <c r="D24" s="287" t="str">
        <f ca="1">VLOOKUP(iWatchTb[[#This Row],[iWatch '#]],CallTb[[#All],[iWatch '#]:[Free Text]],2,FALSE)</f>
        <v xml:space="preserve">FLA INTERVIEW: Is the FLA(s)  able to explain the actions that should be taken with regards to consumer fraud related activity? </v>
      </c>
      <c r="E24" s="286" t="str">
        <f ca="1">IF(VLOOKUP(iWatchTb[[#This Row],[iWatch '#]],CallTb[[#All],[iWatch '#]:[Free Text]],3,FALSE)=0,"",VLOOKUP(iWatchTb[[#This Row],[iWatch '#]],CallTb[[#All],[iWatch '#]:[Free Text]],3,FALSE))</f>
        <v>Conocimiento de Operador - Actividad Sospechosa y Fraude</v>
      </c>
      <c r="F24" s="286" t="str">
        <f ca="1">IF(VLOOKUP(iWatchTb[[#This Row],[iWatch '#]],CallTb[[#All],[iWatch '#]:[Free Text]],6,FALSE)=0,"",VLOOKUP(iWatchTb[[#This Row],[iWatch '#]],CallTb[[#All],[iWatch '#]:[Free Text]],6,FALSE))</f>
        <v/>
      </c>
      <c r="G24" s="286">
        <f ca="1">VLOOKUP(iWatchTb[[#This Row],[iWatch '#]],CallTb[[#All],[iWatch '#]:[Free Text]],7,FALSE)</f>
        <v>0</v>
      </c>
      <c r="H24" s="286" t="str">
        <f ca="1">VLOOKUP(iWatchTb[[#This Row],[iWatch '#]],CallTb[[#All],[iWatch '#]:[Free Text]],8,FALSE)</f>
        <v/>
      </c>
      <c r="I24" s="292" t="str">
        <f ca="1">VLOOKUP(iWatchTb[[#This Row],[iWatch '#]],CallTb[[#All],[iWatch '#]:[Free Text]],9,FALSE)</f>
        <v/>
      </c>
      <c r="J24" s="286">
        <f ca="1">VLOOKUP(iWatchTb[[#This Row],[iWatch '#]],CallTb[[#All],[iWatch '#]:[Free Text]],10,FALSE)</f>
        <v>0</v>
      </c>
      <c r="K24" s="286" t="str">
        <f ca="1">VLOOKUP(LEFT(iWatchTb[[#This Row],[iWatch '#]],4),tblColoring[#Data],2,FALSE)</f>
        <v>Blue</v>
      </c>
      <c r="L24" s="286" t="str">
        <f ca="1">IFERROR(IF(FIND("EFRAL",iWatchTb[[#This Row],[iWatch Questions]])&gt;0,"EFRAL"),"")</f>
        <v/>
      </c>
    </row>
    <row r="25" spans="2:12" s="270" customFormat="1" ht="46.5">
      <c r="B25" s="345">
        <v>19</v>
      </c>
      <c r="C25" s="285" t="str">
        <f ca="1">IFERROR(INDEX(INDIRECT($D$5&amp;"[#All]"),MATCH(iWatchTb[[#This Row],[iWatch Order]],INDIRECT($D$5&amp;"[[#All],[iWatch Order]]"),0),1),INDEX(INDIRECT($D$5&amp;"_"&amp;$F$5&amp;"[#All]"),MATCH(iWatchTb[[#This Row],[iWatch Order]],INDIRECT($D$5&amp;"_"&amp;$F$5&amp;"[[#All],[iWatch Order]]"),0),1))</f>
        <v>GS4.GQ8</v>
      </c>
      <c r="D25" s="287" t="str">
        <f ca="1">VLOOKUP(iWatchTb[[#This Row],[iWatch '#]],CallTb[[#All],[iWatch '#]:[Free Text]],2,FALSE)</f>
        <v xml:space="preserve">FLA INTERVIEW: Is the FLA(s)  aware transactions involving potential consumer fraud cannot be referred to another WU or competitor location? </v>
      </c>
      <c r="E25" s="286" t="str">
        <f ca="1">IF(VLOOKUP(iWatchTb[[#This Row],[iWatch '#]],CallTb[[#All],[iWatch '#]:[Free Text]],3,FALSE)=0,"",VLOOKUP(iWatchTb[[#This Row],[iWatch '#]],CallTb[[#All],[iWatch '#]:[Free Text]],3,FALSE))</f>
        <v>Conocimiento de Operador - Actividad Sospechosa y Fraude</v>
      </c>
      <c r="F25" s="286" t="str">
        <f ca="1">IF(VLOOKUP(iWatchTb[[#This Row],[iWatch '#]],CallTb[[#All],[iWatch '#]:[Free Text]],6,FALSE)=0,"",VLOOKUP(iWatchTb[[#This Row],[iWatch '#]],CallTb[[#All],[iWatch '#]:[Free Text]],6,FALSE))</f>
        <v/>
      </c>
      <c r="G25" s="286">
        <f ca="1">VLOOKUP(iWatchTb[[#This Row],[iWatch '#]],CallTb[[#All],[iWatch '#]:[Free Text]],7,FALSE)</f>
        <v>0</v>
      </c>
      <c r="H25" s="286" t="str">
        <f ca="1">VLOOKUP(iWatchTb[[#This Row],[iWatch '#]],CallTb[[#All],[iWatch '#]:[Free Text]],8,FALSE)</f>
        <v/>
      </c>
      <c r="I25" s="292" t="str">
        <f ca="1">VLOOKUP(iWatchTb[[#This Row],[iWatch '#]],CallTb[[#All],[iWatch '#]:[Free Text]],9,FALSE)</f>
        <v/>
      </c>
      <c r="J25" s="286">
        <f ca="1">VLOOKUP(iWatchTb[[#This Row],[iWatch '#]],CallTb[[#All],[iWatch '#]:[Free Text]],10,FALSE)</f>
        <v>0</v>
      </c>
      <c r="K25" s="286" t="str">
        <f ca="1">VLOOKUP(LEFT(iWatchTb[[#This Row],[iWatch '#]],4),tblColoring[#Data],2,FALSE)</f>
        <v>Blue</v>
      </c>
      <c r="L25" s="286" t="str">
        <f ca="1">IFERROR(IF(FIND("EFRAL",iWatchTb[[#This Row],[iWatch Questions]])&gt;0,"EFRAL"),"")</f>
        <v/>
      </c>
    </row>
    <row r="26" spans="2:12" s="270" customFormat="1" ht="93">
      <c r="B26" s="345">
        <v>20</v>
      </c>
      <c r="C26" s="285" t="str">
        <f ca="1">IFERROR(INDEX(INDIRECT($D$5&amp;"[#All]"),MATCH(iWatchTb[[#This Row],[iWatch Order]],INDIRECT($D$5&amp;"[[#All],[iWatch Order]]"),0),1),INDEX(INDIRECT($D$5&amp;"_"&amp;$F$5&amp;"[#All]"),MATCH(iWatchTb[[#This Row],[iWatch Order]],INDIRECT($D$5&amp;"_"&amp;$F$5&amp;"[[#All],[iWatch Order]]"),0),1))</f>
        <v>GS5.GQ1</v>
      </c>
      <c r="D26" s="287" t="str">
        <f ca="1">VLOOKUP(iWatchTb[[#This Row],[iWatch '#]],CallTb[[#All],[iWatch '#]:[Free Text]],2,FALSE)</f>
        <v xml:space="preserve">During pre-work, does a review of  transactions show no or minimal Data integrity issues including invalid, illegible, incomplete, missing, or conflicting biographical data for consumers or recipients of money transfers (Specifically: Names, Addresses, Telephone numbers and identifications)? </v>
      </c>
      <c r="E26" s="286" t="str">
        <f ca="1">IF(VLOOKUP(iWatchTb[[#This Row],[iWatch '#]],CallTb[[#All],[iWatch '#]:[Free Text]],3,FALSE)=0,"",VLOOKUP(iWatchTb[[#This Row],[iWatch '#]],CallTb[[#All],[iWatch '#]:[Free Text]],3,FALSE))</f>
        <v>Requisitos de KYC</v>
      </c>
      <c r="F26" s="286" t="str">
        <f ca="1">IF(VLOOKUP(iWatchTb[[#This Row],[iWatch '#]],CallTb[[#All],[iWatch '#]:[Free Text]],6,FALSE)=0,"",VLOOKUP(iWatchTb[[#This Row],[iWatch '#]],CallTb[[#All],[iWatch '#]:[Free Text]],6,FALSE))</f>
        <v/>
      </c>
      <c r="G26" s="286">
        <f ca="1">VLOOKUP(iWatchTb[[#This Row],[iWatch '#]],CallTb[[#All],[iWatch '#]:[Free Text]],7,FALSE)</f>
        <v>0</v>
      </c>
      <c r="H26" s="286" t="str">
        <f ca="1">VLOOKUP(iWatchTb[[#This Row],[iWatch '#]],CallTb[[#All],[iWatch '#]:[Free Text]],8,FALSE)</f>
        <v/>
      </c>
      <c r="I26" s="292" t="str">
        <f ca="1">VLOOKUP(iWatchTb[[#This Row],[iWatch '#]],CallTb[[#All],[iWatch '#]:[Free Text]],9,FALSE)</f>
        <v/>
      </c>
      <c r="J26" s="286">
        <f ca="1">VLOOKUP(iWatchTb[[#This Row],[iWatch '#]],CallTb[[#All],[iWatch '#]:[Free Text]],10,FALSE)</f>
        <v>0</v>
      </c>
      <c r="K26" s="286" t="str">
        <f ca="1">VLOOKUP(LEFT(iWatchTb[[#This Row],[iWatch '#]],4),tblColoring[#Data],2,FALSE)</f>
        <v>Grey</v>
      </c>
      <c r="L26" s="286" t="str">
        <f ca="1">IFERROR(IF(FIND("EFRAL",iWatchTb[[#This Row],[iWatch Questions]])&gt;0,"EFRAL"),"")</f>
        <v/>
      </c>
    </row>
    <row r="27" spans="2:12" s="270" customFormat="1" ht="170.5">
      <c r="B27" s="345">
        <v>21</v>
      </c>
      <c r="C27" s="285" t="str">
        <f ca="1">IFERROR(INDEX(INDIRECT($D$5&amp;"[#All]"),MATCH(iWatchTb[[#This Row],[iWatch Order]],INDIRECT($D$5&amp;"[[#All],[iWatch Order]]"),0),1),INDEX(INDIRECT($D$5&amp;"_"&amp;$F$5&amp;"[#All]"),MATCH(iWatchTb[[#This Row],[iWatch Order]],INDIRECT($D$5&amp;"_"&amp;$F$5&amp;"[[#All],[iWatch Order]]"),0),1))</f>
        <v>GS5.GQ2</v>
      </c>
      <c r="D27" s="287" t="str">
        <f ca="1">VLOOKUP(iWatchTb[[#This Row],[iWatch '#]],CallTb[[#All],[iWatch '#]:[Free Text]],2,FALSE)</f>
        <v xml:space="preserve">Provide your Data Integrity Tool summary (include an overall reason for discussion, Agent response, WUCO recommendation and action required). If N/A was selected for the previous question, please provide a detailed explanation for why Data Integrity Analysis does not apply to this Agent.  
</v>
      </c>
      <c r="E27" s="286" t="str">
        <f ca="1">IF(VLOOKUP(iWatchTb[[#This Row],[iWatch '#]],CallTb[[#All],[iWatch '#]:[Free Text]],3,FALSE)=0,"",VLOOKUP(iWatchTb[[#This Row],[iWatch '#]],CallTb[[#All],[iWatch '#]:[Free Text]],3,FALSE))</f>
        <v/>
      </c>
      <c r="F27" s="286" t="str">
        <f ca="1">IF(VLOOKUP(iWatchTb[[#This Row],[iWatch '#]],CallTb[[#All],[iWatch '#]:[Free Text]],6,FALSE)=0,"",VLOOKUP(iWatchTb[[#This Row],[iWatch '#]],CallTb[[#All],[iWatch '#]:[Free Text]],6,FALSE))</f>
        <v/>
      </c>
      <c r="G27" s="286">
        <f ca="1">VLOOKUP(iWatchTb[[#This Row],[iWatch '#]],CallTb[[#All],[iWatch '#]:[Free Text]],7,FALSE)</f>
        <v>0</v>
      </c>
      <c r="H27" s="286" t="str">
        <f ca="1">VLOOKUP(iWatchTb[[#This Row],[iWatch '#]],CallTb[[#All],[iWatch '#]:[Free Text]],8,FALSE)</f>
        <v/>
      </c>
      <c r="I27" s="292" t="str">
        <f ca="1">VLOOKUP(iWatchTb[[#This Row],[iWatch '#]],CallTb[[#All],[iWatch '#]:[Free Text]],9,FALSE)</f>
        <v/>
      </c>
      <c r="J27" s="286" t="str">
        <f ca="1">VLOOKUP(iWatchTb[[#This Row],[iWatch '#]],CallTb[[#All],[iWatch '#]:[Free Text]],10,FALSE)</f>
        <v>1)What is being found? 2) Agent's response to that? 3) Recommendation to the Agent 4) Finding or No Finding assigned Although the report brought up results associated with address inconsistencies, the agent explained that the location is in a rural area and there are no street names or apartment numbers; therefore, no significant questionable activity was detected. Regarding senders showing more than one ID, after reviewing the report it was noticed that they are different type and different number; therefore, no significant questionable activity was detected.</v>
      </c>
      <c r="K27" s="286" t="str">
        <f ca="1">VLOOKUP(LEFT(iWatchTb[[#This Row],[iWatch '#]],4),tblColoring[#Data],2,FALSE)</f>
        <v>Grey</v>
      </c>
      <c r="L27" s="286" t="str">
        <f ca="1">IFERROR(IF(FIND("EFRAL",iWatchTb[[#This Row],[iWatch Questions]])&gt;0,"EFRAL"),"")</f>
        <v/>
      </c>
    </row>
    <row r="28" spans="2:12" s="270" customFormat="1" ht="46.5">
      <c r="B28" s="345">
        <v>22</v>
      </c>
      <c r="C28" s="285" t="str">
        <f ca="1">IFERROR(INDEX(INDIRECT($D$5&amp;"[#All]"),MATCH(iWatchTb[[#This Row],[iWatch Order]],INDIRECT($D$5&amp;"[[#All],[iWatch Order]]"),0),1),INDEX(INDIRECT($D$5&amp;"_"&amp;$F$5&amp;"[#All]"),MATCH(iWatchTb[[#This Row],[iWatch Order]],INDIRECT($D$5&amp;"_"&amp;$F$5&amp;"[[#All],[iWatch Order]]"),0),1))</f>
        <v>GS5.GQ3</v>
      </c>
      <c r="D28" s="287" t="str">
        <f ca="1">VLOOKUP(iWatchTb[[#This Row],[iWatch '#]],CallTb[[#All],[iWatch '#]:[Free Text]],2,FALSE)</f>
        <v>FLA INTERVIEW: Do FLAs know the acceptable forms of identification for Western Union money transfer/money order transactions?</v>
      </c>
      <c r="E28" s="293" t="str">
        <f ca="1">IF(VLOOKUP(iWatchTb[[#This Row],[iWatch '#]],CallTb[[#All],[iWatch '#]:[Free Text]],3,FALSE)=0,"",VLOOKUP(iWatchTb[[#This Row],[iWatch '#]],CallTb[[#All],[iWatch '#]:[Free Text]],3,FALSE))</f>
        <v>Requisitos de KYC</v>
      </c>
      <c r="F28" s="286" t="str">
        <f ca="1">IF(VLOOKUP(iWatchTb[[#This Row],[iWatch '#]],CallTb[[#All],[iWatch '#]:[Free Text]],6,FALSE)=0,"",VLOOKUP(iWatchTb[[#This Row],[iWatch '#]],CallTb[[#All],[iWatch '#]:[Free Text]],6,FALSE))</f>
        <v/>
      </c>
      <c r="G28" s="286">
        <f ca="1">VLOOKUP(iWatchTb[[#This Row],[iWatch '#]],CallTb[[#All],[iWatch '#]:[Free Text]],7,FALSE)</f>
        <v>0</v>
      </c>
      <c r="H28" s="286" t="str">
        <f ca="1">VLOOKUP(iWatchTb[[#This Row],[iWatch '#]],CallTb[[#All],[iWatch '#]:[Free Text]],8,FALSE)</f>
        <v/>
      </c>
      <c r="I28" s="292" t="str">
        <f ca="1">VLOOKUP(iWatchTb[[#This Row],[iWatch '#]],CallTb[[#All],[iWatch '#]:[Free Text]],9,FALSE)</f>
        <v/>
      </c>
      <c r="J28" s="286">
        <f ca="1">VLOOKUP(iWatchTb[[#This Row],[iWatch '#]],CallTb[[#All],[iWatch '#]:[Free Text]],10,FALSE)</f>
        <v>0</v>
      </c>
      <c r="K28" s="286" t="str">
        <f ca="1">VLOOKUP(LEFT(iWatchTb[[#This Row],[iWatch '#]],4),tblColoring[#Data],2,FALSE)</f>
        <v>Grey</v>
      </c>
      <c r="L28" s="286" t="str">
        <f ca="1">IFERROR(IF(FIND("EFRAL",iWatchTb[[#This Row],[iWatch Questions]])&gt;0,"EFRAL"),"")</f>
        <v/>
      </c>
    </row>
    <row r="29" spans="2:12" s="270" customFormat="1" ht="108.5">
      <c r="B29" s="345">
        <v>23</v>
      </c>
      <c r="C29" s="285" t="str">
        <f ca="1">IFERROR(INDEX(INDIRECT($D$5&amp;"[#All]"),MATCH(iWatchTb[[#This Row],[iWatch Order]],INDIRECT($D$5&amp;"[[#All],[iWatch Order]]"),0),1),INDEX(INDIRECT($D$5&amp;"_"&amp;$F$5&amp;"[#All]"),MATCH(iWatchTb[[#This Row],[iWatch Order]],INDIRECT($D$5&amp;"_"&amp;$F$5&amp;"[[#All],[iWatch Order]]"),0),1))</f>
        <v>GS5.GQ4</v>
      </c>
      <c r="D29" s="287" t="str">
        <f ca="1">VLOOKUP(iWatchTb[[#This Row],[iWatch '#]],CallTb[[#All],[iWatch '#]:[Free Text]],2,FALSE)</f>
        <v xml:space="preserve">Do FLAs check to ensure that consumer IDs meet minimum requirements, are only using valid ID cards, which at a minimum must include that the ID is not expired, it is government issued (or as applicable per regional requirements), and contains a photo of the consumer?
</v>
      </c>
      <c r="E29" s="293" t="str">
        <f ca="1">IF(VLOOKUP(iWatchTb[[#This Row],[iWatch '#]],CallTb[[#All],[iWatch '#]:[Free Text]],3,FALSE)=0,"",VLOOKUP(iWatchTb[[#This Row],[iWatch '#]],CallTb[[#All],[iWatch '#]:[Free Text]],3,FALSE))</f>
        <v>Requisitos de KYC</v>
      </c>
      <c r="F29" s="286" t="str">
        <f ca="1">IF(VLOOKUP(iWatchTb[[#This Row],[iWatch '#]],CallTb[[#All],[iWatch '#]:[Free Text]],6,FALSE)=0,"",VLOOKUP(iWatchTb[[#This Row],[iWatch '#]],CallTb[[#All],[iWatch '#]:[Free Text]],6,FALSE))</f>
        <v/>
      </c>
      <c r="G29" s="286">
        <f ca="1">VLOOKUP(iWatchTb[[#This Row],[iWatch '#]],CallTb[[#All],[iWatch '#]:[Free Text]],7,FALSE)</f>
        <v>0</v>
      </c>
      <c r="H29" s="286" t="str">
        <f ca="1">VLOOKUP(iWatchTb[[#This Row],[iWatch '#]],CallTb[[#All],[iWatch '#]:[Free Text]],8,FALSE)</f>
        <v/>
      </c>
      <c r="I29" s="292" t="str">
        <f ca="1">VLOOKUP(iWatchTb[[#This Row],[iWatch '#]],CallTb[[#All],[iWatch '#]:[Free Text]],9,FALSE)</f>
        <v/>
      </c>
      <c r="J29" s="286">
        <f ca="1">VLOOKUP(iWatchTb[[#This Row],[iWatch '#]],CallTb[[#All],[iWatch '#]:[Free Text]],10,FALSE)</f>
        <v>0</v>
      </c>
      <c r="K29" s="286" t="str">
        <f ca="1">VLOOKUP(LEFT(iWatchTb[[#This Row],[iWatch '#]],4),tblColoring[#Data],2,FALSE)</f>
        <v>Grey</v>
      </c>
      <c r="L29" s="286" t="str">
        <f ca="1">IFERROR(IF(FIND("EFRAL",iWatchTb[[#This Row],[iWatch Questions]])&gt;0,"EFRAL"),"")</f>
        <v/>
      </c>
    </row>
    <row r="30" spans="2:12" s="270" customFormat="1" ht="31">
      <c r="B30" s="345">
        <v>24</v>
      </c>
      <c r="C30" s="285" t="str">
        <f ca="1">IFERROR(INDEX(INDIRECT($D$5&amp;"[#All]"),MATCH(iWatchTb[[#This Row],[iWatch Order]],INDIRECT($D$5&amp;"[[#All],[iWatch Order]]"),0),1),INDEX(INDIRECT($D$5&amp;"_"&amp;$F$5&amp;"[#All]"),MATCH(iWatchTb[[#This Row],[iWatch Order]],INDIRECT($D$5&amp;"_"&amp;$F$5&amp;"[[#All],[iWatch Order]]"),0),1))</f>
        <v>GS5.GQ5</v>
      </c>
      <c r="D30" s="287" t="str">
        <f ca="1">VLOOKUP(iWatchTb[[#This Row],[iWatch '#]],CallTb[[#All],[iWatch '#]:[Free Text]],2,FALSE)</f>
        <v>FLA INTERVIEW: Do the FLAs know that third party transactions are not permitted?</v>
      </c>
      <c r="E30" s="293" t="str">
        <f ca="1">IF(VLOOKUP(iWatchTb[[#This Row],[iWatch '#]],CallTb[[#All],[iWatch '#]:[Free Text]],3,FALSE)=0,"",VLOOKUP(iWatchTb[[#This Row],[iWatch '#]],CallTb[[#All],[iWatch '#]:[Free Text]],3,FALSE))</f>
        <v>Requisitos de KYC</v>
      </c>
      <c r="F30" s="286" t="str">
        <f ca="1">IF(VLOOKUP(iWatchTb[[#This Row],[iWatch '#]],CallTb[[#All],[iWatch '#]:[Free Text]],6,FALSE)=0,"",VLOOKUP(iWatchTb[[#This Row],[iWatch '#]],CallTb[[#All],[iWatch '#]:[Free Text]],6,FALSE))</f>
        <v/>
      </c>
      <c r="G30" s="286">
        <f ca="1">VLOOKUP(iWatchTb[[#This Row],[iWatch '#]],CallTb[[#All],[iWatch '#]:[Free Text]],7,FALSE)</f>
        <v>0</v>
      </c>
      <c r="H30" s="286" t="str">
        <f ca="1">VLOOKUP(iWatchTb[[#This Row],[iWatch '#]],CallTb[[#All],[iWatch '#]:[Free Text]],8,FALSE)</f>
        <v/>
      </c>
      <c r="I30" s="292" t="str">
        <f ca="1">VLOOKUP(iWatchTb[[#This Row],[iWatch '#]],CallTb[[#All],[iWatch '#]:[Free Text]],9,FALSE)</f>
        <v/>
      </c>
      <c r="J30" s="286">
        <f ca="1">VLOOKUP(iWatchTb[[#This Row],[iWatch '#]],CallTb[[#All],[iWatch '#]:[Free Text]],10,FALSE)</f>
        <v>0</v>
      </c>
      <c r="K30" s="286" t="str">
        <f ca="1">VLOOKUP(LEFT(iWatchTb[[#This Row],[iWatch '#]],4),tblColoring[#Data],2,FALSE)</f>
        <v>Grey</v>
      </c>
      <c r="L30" s="286" t="str">
        <f ca="1">IFERROR(IF(FIND("EFRAL",iWatchTb[[#This Row],[iWatch Questions]])&gt;0,"EFRAL"),"")</f>
        <v/>
      </c>
    </row>
    <row r="31" spans="2:12" s="270" customFormat="1" ht="62">
      <c r="B31" s="345">
        <v>25</v>
      </c>
      <c r="C31" s="285" t="str">
        <f ca="1">IFERROR(INDEX(INDIRECT($D$5&amp;"[#All]"),MATCH(iWatchTb[[#This Row],[iWatch Order]],INDIRECT($D$5&amp;"[[#All],[iWatch Order]]"),0),1),INDEX(INDIRECT($D$5&amp;"_"&amp;$F$5&amp;"[#All]"),MATCH(iWatchTb[[#This Row],[iWatch Order]],INDIRECT($D$5&amp;"_"&amp;$F$5&amp;"[[#All],[iWatch Order]]"),0),1))</f>
        <v>GS5.GQ6</v>
      </c>
      <c r="D31" s="287" t="str">
        <f ca="1">VLOOKUP(iWatchTb[[#This Row],[iWatch '#]],CallTb[[#All],[iWatch '#]:[Free Text]],2,FALSE)</f>
        <v>FLA INTERVIEW: Do FLAs know that consumers (or their representatives for countries where third party transactions are allowed) must be physically present to transact?</v>
      </c>
      <c r="E31" s="293" t="str">
        <f ca="1">IF(VLOOKUP(iWatchTb[[#This Row],[iWatch '#]],CallTb[[#All],[iWatch '#]:[Free Text]],3,FALSE)=0,"",VLOOKUP(iWatchTb[[#This Row],[iWatch '#]],CallTb[[#All],[iWatch '#]:[Free Text]],3,FALSE))</f>
        <v>Requisitos de KYC</v>
      </c>
      <c r="F31" s="286" t="str">
        <f ca="1">IF(VLOOKUP(iWatchTb[[#This Row],[iWatch '#]],CallTb[[#All],[iWatch '#]:[Free Text]],6,FALSE)=0,"",VLOOKUP(iWatchTb[[#This Row],[iWatch '#]],CallTb[[#All],[iWatch '#]:[Free Text]],6,FALSE))</f>
        <v/>
      </c>
      <c r="G31" s="286">
        <f ca="1">VLOOKUP(iWatchTb[[#This Row],[iWatch '#]],CallTb[[#All],[iWatch '#]:[Free Text]],7,FALSE)</f>
        <v>0</v>
      </c>
      <c r="H31" s="286" t="str">
        <f ca="1">VLOOKUP(iWatchTb[[#This Row],[iWatch '#]],CallTb[[#All],[iWatch '#]:[Free Text]],8,FALSE)</f>
        <v/>
      </c>
      <c r="I31" s="292" t="str">
        <f ca="1">VLOOKUP(iWatchTb[[#This Row],[iWatch '#]],CallTb[[#All],[iWatch '#]:[Free Text]],9,FALSE)</f>
        <v/>
      </c>
      <c r="J31" s="286">
        <f ca="1">VLOOKUP(iWatchTb[[#This Row],[iWatch '#]],CallTb[[#All],[iWatch '#]:[Free Text]],10,FALSE)</f>
        <v>0</v>
      </c>
      <c r="K31" s="286" t="str">
        <f ca="1">VLOOKUP(LEFT(iWatchTb[[#This Row],[iWatch '#]],4),tblColoring[#Data],2,FALSE)</f>
        <v>Grey</v>
      </c>
      <c r="L31" s="286" t="str">
        <f ca="1">IFERROR(IF(FIND("EFRAL",iWatchTb[[#This Row],[iWatch Questions]])&gt;0,"EFRAL"),"")</f>
        <v/>
      </c>
    </row>
    <row r="32" spans="2:12" s="270" customFormat="1" ht="62">
      <c r="B32" s="345">
        <v>26</v>
      </c>
      <c r="C32" s="285" t="str">
        <f ca="1">IFERROR(INDEX(INDIRECT($D$5&amp;"[#All]"),MATCH(iWatchTb[[#This Row],[iWatch Order]],INDIRECT($D$5&amp;"[[#All],[iWatch Order]]"),0),1),INDEX(INDIRECT($D$5&amp;"_"&amp;$F$5&amp;"[#All]"),MATCH(iWatchTb[[#This Row],[iWatch Order]],INDIRECT($D$5&amp;"_"&amp;$F$5&amp;"[[#All],[iWatch Order]]"),0),1))</f>
        <v>GS5.GQ7</v>
      </c>
      <c r="D32" s="287" t="str">
        <f ca="1">VLOOKUP(iWatchTb[[#This Row],[iWatch '#]],CallTb[[#All],[iWatch '#]:[Free Text]],2,FALSE)</f>
        <v xml:space="preserve">Do FLAs ensure that consumers complete and/or sign all transaction forms/receipts, as applicable?
</v>
      </c>
      <c r="E32" s="293" t="str">
        <f ca="1">IF(VLOOKUP(iWatchTb[[#This Row],[iWatch '#]],CallTb[[#All],[iWatch '#]:[Free Text]],3,FALSE)=0,"",VLOOKUP(iWatchTb[[#This Row],[iWatch '#]],CallTb[[#All],[iWatch '#]:[Free Text]],3,FALSE))</f>
        <v>Requisitos de KYC</v>
      </c>
      <c r="F32" s="286" t="str">
        <f ca="1">IF(VLOOKUP(iWatchTb[[#This Row],[iWatch '#]],CallTb[[#All],[iWatch '#]:[Free Text]],6,FALSE)=0,"",VLOOKUP(iWatchTb[[#This Row],[iWatch '#]],CallTb[[#All],[iWatch '#]:[Free Text]],6,FALSE))</f>
        <v/>
      </c>
      <c r="G32" s="286">
        <f ca="1">VLOOKUP(iWatchTb[[#This Row],[iWatch '#]],CallTb[[#All],[iWatch '#]:[Free Text]],7,FALSE)</f>
        <v>0</v>
      </c>
      <c r="H32" s="286" t="str">
        <f ca="1">VLOOKUP(iWatchTb[[#This Row],[iWatch '#]],CallTb[[#All],[iWatch '#]:[Free Text]],8,FALSE)</f>
        <v/>
      </c>
      <c r="I32" s="292" t="str">
        <f ca="1">VLOOKUP(iWatchTb[[#This Row],[iWatch '#]],CallTb[[#All],[iWatch '#]:[Free Text]],9,FALSE)</f>
        <v/>
      </c>
      <c r="J32" s="286">
        <f ca="1">VLOOKUP(iWatchTb[[#This Row],[iWatch '#]],CallTb[[#All],[iWatch '#]:[Free Text]],10,FALSE)</f>
        <v>0</v>
      </c>
      <c r="K32" s="286" t="str">
        <f ca="1">VLOOKUP(LEFT(iWatchTb[[#This Row],[iWatch '#]],4),tblColoring[#Data],2,FALSE)</f>
        <v>Grey</v>
      </c>
      <c r="L32" s="286" t="str">
        <f ca="1">IFERROR(IF(FIND("EFRAL",iWatchTb[[#This Row],[iWatch Questions]])&gt;0,"EFRAL"),"")</f>
        <v/>
      </c>
    </row>
    <row r="33" spans="2:12" s="270" customFormat="1" ht="139.5">
      <c r="B33" s="345">
        <v>27</v>
      </c>
      <c r="C33" s="285" t="str">
        <f ca="1">IFERROR(INDEX(INDIRECT($D$5&amp;"[#All]"),MATCH(iWatchTb[[#This Row],[iWatch Order]],INDIRECT($D$5&amp;"[[#All],[iWatch Order]]"),0),1),INDEX(INDIRECT($D$5&amp;"_"&amp;$F$5&amp;"[#All]"),MATCH(iWatchTb[[#This Row],[iWatch Order]],INDIRECT($D$5&amp;"_"&amp;$F$5&amp;"[[#All],[iWatch Order]]"),0),1))</f>
        <v>GS5.GQ8</v>
      </c>
      <c r="D33" s="287" t="str">
        <f ca="1">VLOOKUP(iWatchTb[[#This Row],[iWatch '#]],CallTb[[#All],[iWatch '#]:[Free Text]],2,FALSE)</f>
        <v xml:space="preserve">FLA INTERVIEW: Do FLAs sufficiently understand the Enhanced Customer Due Dilligence (ECDD) and the Large Principal Money Transfer (LPMT) procedures, including:
•   Established transaction thresholds that trigger LPMT ;
•   All applicable  ECDD or LPMT procedures
•   Documentation requirements, if any?
</v>
      </c>
      <c r="E33" s="293" t="str">
        <f ca="1">IF(VLOOKUP(iWatchTb[[#This Row],[iWatch '#]],CallTb[[#All],[iWatch '#]:[Free Text]],3,FALSE)=0,"",VLOOKUP(iWatchTb[[#This Row],[iWatch '#]],CallTb[[#All],[iWatch '#]:[Free Text]],3,FALSE))</f>
        <v>Requisitos de KYC</v>
      </c>
      <c r="F33" s="286" t="str">
        <f ca="1">IF(VLOOKUP(iWatchTb[[#This Row],[iWatch '#]],CallTb[[#All],[iWatch '#]:[Free Text]],6,FALSE)=0,"",VLOOKUP(iWatchTb[[#This Row],[iWatch '#]],CallTb[[#All],[iWatch '#]:[Free Text]],6,FALSE))</f>
        <v/>
      </c>
      <c r="G33" s="286">
        <f ca="1">VLOOKUP(iWatchTb[[#This Row],[iWatch '#]],CallTb[[#All],[iWatch '#]:[Free Text]],7,FALSE)</f>
        <v>0</v>
      </c>
      <c r="H33" s="286" t="str">
        <f ca="1">VLOOKUP(iWatchTb[[#This Row],[iWatch '#]],CallTb[[#All],[iWatch '#]:[Free Text]],8,FALSE)</f>
        <v/>
      </c>
      <c r="I33" s="292" t="str">
        <f ca="1">VLOOKUP(iWatchTb[[#This Row],[iWatch '#]],CallTb[[#All],[iWatch '#]:[Free Text]],9,FALSE)</f>
        <v/>
      </c>
      <c r="J33" s="286">
        <f ca="1">VLOOKUP(iWatchTb[[#This Row],[iWatch '#]],CallTb[[#All],[iWatch '#]:[Free Text]],10,FALSE)</f>
        <v>0</v>
      </c>
      <c r="K33" s="286" t="str">
        <f ca="1">VLOOKUP(LEFT(iWatchTb[[#This Row],[iWatch '#]],4),tblColoring[#Data],2,FALSE)</f>
        <v>Grey</v>
      </c>
      <c r="L33" s="286" t="str">
        <f ca="1">IFERROR(IF(FIND("EFRAL",iWatchTb[[#This Row],[iWatch Questions]])&gt;0,"EFRAL"),"")</f>
        <v/>
      </c>
    </row>
    <row r="34" spans="2:12" s="270" customFormat="1" ht="46.5">
      <c r="B34" s="345">
        <v>28</v>
      </c>
      <c r="C34" s="285" t="str">
        <f ca="1">IFERROR(INDEX(INDIRECT($D$5&amp;"[#All]"),MATCH(iWatchTb[[#This Row],[iWatch Order]],INDIRECT($D$5&amp;"[[#All],[iWatch Order]]"),0),1),INDEX(INDIRECT($D$5&amp;"_"&amp;$F$5&amp;"[#All]"),MATCH(iWatchTb[[#This Row],[iWatch Order]],INDIRECT($D$5&amp;"_"&amp;$F$5&amp;"[[#All],[iWatch Order]]"),0),1))</f>
        <v>GS6.GQ1</v>
      </c>
      <c r="D34" s="287" t="str">
        <f ca="1">VLOOKUP(iWatchTb[[#This Row],[iWatch '#]],CallTb[[#All],[iWatch '#]:[Free Text]],2,FALSE)</f>
        <v>For Send transactions, is the consumer charged the exact amount (principal plus fees and taxes) listed on the Western Union send receipt?</v>
      </c>
      <c r="E34" s="293" t="str">
        <f ca="1">IF(VLOOKUP(iWatchTb[[#This Row],[iWatch '#]],CallTb[[#All],[iWatch '#]:[Free Text]],3,FALSE)=0,"",VLOOKUP(iWatchTb[[#This Row],[iWatch '#]],CallTb[[#All],[iWatch '#]:[Free Text]],3,FALSE))</f>
        <v>Protección del Consumidor</v>
      </c>
      <c r="F34" s="286" t="str">
        <f ca="1">IF(VLOOKUP(iWatchTb[[#This Row],[iWatch '#]],CallTb[[#All],[iWatch '#]:[Free Text]],6,FALSE)=0,"",VLOOKUP(iWatchTb[[#This Row],[iWatch '#]],CallTb[[#All],[iWatch '#]:[Free Text]],6,FALSE))</f>
        <v/>
      </c>
      <c r="G34" s="286">
        <f ca="1">VLOOKUP(iWatchTb[[#This Row],[iWatch '#]],CallTb[[#All],[iWatch '#]:[Free Text]],7,FALSE)</f>
        <v>0</v>
      </c>
      <c r="H34" s="286" t="str">
        <f ca="1">VLOOKUP(iWatchTb[[#This Row],[iWatch '#]],CallTb[[#All],[iWatch '#]:[Free Text]],8,FALSE)</f>
        <v/>
      </c>
      <c r="I34" s="292" t="str">
        <f ca="1">VLOOKUP(iWatchTb[[#This Row],[iWatch '#]],CallTb[[#All],[iWatch '#]:[Free Text]],9,FALSE)</f>
        <v/>
      </c>
      <c r="J34" s="286">
        <f ca="1">VLOOKUP(iWatchTb[[#This Row],[iWatch '#]],CallTb[[#All],[iWatch '#]:[Free Text]],10,FALSE)</f>
        <v>0</v>
      </c>
      <c r="K34" s="286" t="str">
        <f ca="1">VLOOKUP(LEFT(iWatchTb[[#This Row],[iWatch '#]],4),tblColoring[#Data],2,FALSE)</f>
        <v>Blue</v>
      </c>
      <c r="L34" s="286" t="str">
        <f ca="1">IFERROR(IF(FIND("EFRAL",iWatchTb[[#This Row],[iWatch Questions]])&gt;0,"EFRAL"),"")</f>
        <v/>
      </c>
    </row>
    <row r="35" spans="2:12" s="270" customFormat="1" ht="46.5">
      <c r="B35" s="345">
        <v>29</v>
      </c>
      <c r="C35" s="285" t="str">
        <f ca="1">IFERROR(INDEX(INDIRECT($D$5&amp;"[#All]"),MATCH(iWatchTb[[#This Row],[iWatch Order]],INDIRECT($D$5&amp;"[[#All],[iWatch Order]]"),0),1),INDEX(INDIRECT($D$5&amp;"_"&amp;$F$5&amp;"[#All]"),MATCH(iWatchTb[[#This Row],[iWatch Order]],INDIRECT($D$5&amp;"_"&amp;$F$5&amp;"[[#All],[iWatch Order]]"),0),1))</f>
        <v>GS6.GQ2</v>
      </c>
      <c r="D35" s="287" t="str">
        <f ca="1">VLOOKUP(iWatchTb[[#This Row],[iWatch '#]],CallTb[[#All],[iWatch '#]:[Free Text]],2,FALSE)</f>
        <v xml:space="preserve">For Receive (payout) transactions, does the consumer receive the exact payout amount as listed on the Western Union receive receipt? </v>
      </c>
      <c r="E35" s="293" t="str">
        <f ca="1">IF(VLOOKUP(iWatchTb[[#This Row],[iWatch '#]],CallTb[[#All],[iWatch '#]:[Free Text]],3,FALSE)=0,"",VLOOKUP(iWatchTb[[#This Row],[iWatch '#]],CallTb[[#All],[iWatch '#]:[Free Text]],3,FALSE))</f>
        <v>Protección del Consumidor</v>
      </c>
      <c r="F35" s="286" t="str">
        <f ca="1">IF(VLOOKUP(iWatchTb[[#This Row],[iWatch '#]],CallTb[[#All],[iWatch '#]:[Free Text]],6,FALSE)=0,"",VLOOKUP(iWatchTb[[#This Row],[iWatch '#]],CallTb[[#All],[iWatch '#]:[Free Text]],6,FALSE))</f>
        <v/>
      </c>
      <c r="G35" s="286">
        <f ca="1">VLOOKUP(iWatchTb[[#This Row],[iWatch '#]],CallTb[[#All],[iWatch '#]:[Free Text]],7,FALSE)</f>
        <v>0</v>
      </c>
      <c r="H35" s="286" t="str">
        <f ca="1">VLOOKUP(iWatchTb[[#This Row],[iWatch '#]],CallTb[[#All],[iWatch '#]:[Free Text]],8,FALSE)</f>
        <v/>
      </c>
      <c r="I35" s="292" t="str">
        <f ca="1">VLOOKUP(iWatchTb[[#This Row],[iWatch '#]],CallTb[[#All],[iWatch '#]:[Free Text]],9,FALSE)</f>
        <v/>
      </c>
      <c r="J35" s="286">
        <f ca="1">VLOOKUP(iWatchTb[[#This Row],[iWatch '#]],CallTb[[#All],[iWatch '#]:[Free Text]],10,FALSE)</f>
        <v>0</v>
      </c>
      <c r="K35" s="286" t="str">
        <f ca="1">VLOOKUP(LEFT(iWatchTb[[#This Row],[iWatch '#]],4),tblColoring[#Data],2,FALSE)</f>
        <v>Blue</v>
      </c>
      <c r="L35" s="286" t="str">
        <f ca="1">IFERROR(IF(FIND("EFRAL",iWatchTb[[#This Row],[iWatch Questions]])&gt;0,"EFRAL"),"")</f>
        <v/>
      </c>
    </row>
    <row r="36" spans="2:12" s="270" customFormat="1">
      <c r="B36" s="345">
        <v>30</v>
      </c>
      <c r="C36" s="285" t="str">
        <f ca="1">IFERROR(INDEX(INDIRECT($D$5&amp;"[#All]"),MATCH(iWatchTb[[#This Row],[iWatch Order]],INDIRECT($D$5&amp;"[[#All],[iWatch Order]]"),0),1),INDEX(INDIRECT($D$5&amp;"_"&amp;$F$5&amp;"[#All]"),MATCH(iWatchTb[[#This Row],[iWatch Order]],INDIRECT($D$5&amp;"_"&amp;$F$5&amp;"[[#All],[iWatch Order]]"),0),1))</f>
        <v>GS7.GQ1</v>
      </c>
      <c r="D36" s="287" t="str">
        <f ca="1">VLOOKUP(iWatchTb[[#This Row],[iWatch '#]],CallTb[[#All],[iWatch '#]:[Free Text]],2,FALSE)</f>
        <v>Is this an EFRAL Post reactivation Quarterly Review?</v>
      </c>
      <c r="E36" s="293" t="str">
        <f ca="1">IF(VLOOKUP(iWatchTb[[#This Row],[iWatch '#]],CallTb[[#All],[iWatch '#]:[Free Text]],3,FALSE)=0,"",VLOOKUP(iWatchTb[[#This Row],[iWatch '#]],CallTb[[#All],[iWatch '#]:[Free Text]],3,FALSE))</f>
        <v/>
      </c>
      <c r="F36" s="286" t="str">
        <f ca="1">IF(VLOOKUP(iWatchTb[[#This Row],[iWatch '#]],CallTb[[#All],[iWatch '#]:[Free Text]],6,FALSE)=0,"",VLOOKUP(iWatchTb[[#This Row],[iWatch '#]],CallTb[[#All],[iWatch '#]:[Free Text]],6,FALSE))</f>
        <v/>
      </c>
      <c r="G36" s="286">
        <f ca="1">VLOOKUP(iWatchTb[[#This Row],[iWatch '#]],CallTb[[#All],[iWatch '#]:[Free Text]],7,FALSE)</f>
        <v>0</v>
      </c>
      <c r="H36" s="286" t="str">
        <f ca="1">VLOOKUP(iWatchTb[[#This Row],[iWatch '#]],CallTb[[#All],[iWatch '#]:[Free Text]],8,FALSE)</f>
        <v/>
      </c>
      <c r="I36" s="292" t="str">
        <f ca="1">VLOOKUP(iWatchTb[[#This Row],[iWatch '#]],CallTb[[#All],[iWatch '#]:[Free Text]],9,FALSE)</f>
        <v/>
      </c>
      <c r="J36" s="286">
        <f ca="1">VLOOKUP(iWatchTb[[#This Row],[iWatch '#]],CallTb[[#All],[iWatch '#]:[Free Text]],10,FALSE)</f>
        <v>0</v>
      </c>
      <c r="K36" s="286" t="str">
        <f ca="1">VLOOKUP(LEFT(iWatchTb[[#This Row],[iWatch '#]],4),tblColoring[#Data],2,FALSE)</f>
        <v>Grey</v>
      </c>
      <c r="L36" s="286" t="str">
        <f ca="1">IFERROR(IF(FIND("EFRAL",iWatchTb[[#This Row],[iWatch Questions]])&gt;0,"EFRAL"),"")</f>
        <v>EFRAL</v>
      </c>
    </row>
    <row r="37" spans="2:12" s="270" customFormat="1" ht="62">
      <c r="B37" s="345">
        <v>31</v>
      </c>
      <c r="C37" s="285" t="str">
        <f ca="1">IFERROR(INDEX(INDIRECT($D$5&amp;"[#All]"),MATCH(iWatchTb[[#This Row],[iWatch Order]],INDIRECT($D$5&amp;"[[#All],[iWatch Order]]"),0),1),INDEX(INDIRECT($D$5&amp;"_"&amp;$F$5&amp;"[#All]"),MATCH(iWatchTb[[#This Row],[iWatch Order]],INDIRECT($D$5&amp;"_"&amp;$F$5&amp;"[[#All],[iWatch Order]]"),0),1))</f>
        <v>GS7.GQ2</v>
      </c>
      <c r="D37" s="287" t="str">
        <f ca="1">VLOOKUP(iWatchTb[[#This Row],[iWatch '#]],CallTb[[#All],[iWatch '#]:[Free Text]],2,FALSE)</f>
        <v>Do FLAs retain a photocopy or scan of the identification documents or biometric information presented by the recipient and retain the photocopies or images, along with the receive forms, for a period of five (5) years?</v>
      </c>
      <c r="E37" s="293" t="str">
        <f ca="1">IF(VLOOKUP(iWatchTb[[#This Row],[iWatch '#]],CallTb[[#All],[iWatch '#]:[Free Text]],3,FALSE)=0,"",VLOOKUP(iWatchTb[[#This Row],[iWatch '#]],CallTb[[#All],[iWatch '#]:[Free Text]],3,FALSE))</f>
        <v/>
      </c>
      <c r="F37" s="286" t="str">
        <f ca="1">IF(VLOOKUP(iWatchTb[[#This Row],[iWatch '#]],CallTb[[#All],[iWatch '#]:[Free Text]],6,FALSE)=0,"",VLOOKUP(iWatchTb[[#This Row],[iWatch '#]],CallTb[[#All],[iWatch '#]:[Free Text]],6,FALSE))</f>
        <v/>
      </c>
      <c r="G37" s="286">
        <f ca="1">VLOOKUP(iWatchTb[[#This Row],[iWatch '#]],CallTb[[#All],[iWatch '#]:[Free Text]],7,FALSE)</f>
        <v>0</v>
      </c>
      <c r="H37" s="286" t="str">
        <f ca="1">VLOOKUP(iWatchTb[[#This Row],[iWatch '#]],CallTb[[#All],[iWatch '#]:[Free Text]],8,FALSE)</f>
        <v/>
      </c>
      <c r="I37" s="292" t="str">
        <f ca="1">VLOOKUP(iWatchTb[[#This Row],[iWatch '#]],CallTb[[#All],[iWatch '#]:[Free Text]],9,FALSE)</f>
        <v/>
      </c>
      <c r="J37" s="286">
        <f ca="1">VLOOKUP(iWatchTb[[#This Row],[iWatch '#]],CallTb[[#All],[iWatch '#]:[Free Text]],10,FALSE)</f>
        <v>0</v>
      </c>
      <c r="K37" s="286" t="str">
        <f ca="1">VLOOKUP(LEFT(iWatchTb[[#This Row],[iWatch '#]],4),tblColoring[#Data],2,FALSE)</f>
        <v>Grey</v>
      </c>
      <c r="L37" s="286" t="str">
        <f ca="1">IFERROR(IF(FIND("EFRAL",iWatchTb[[#This Row],[iWatch Questions]])&gt;0,"EFRAL"),"")</f>
        <v/>
      </c>
    </row>
    <row r="38" spans="2:12" s="270" customFormat="1" ht="62">
      <c r="B38" s="345">
        <v>32</v>
      </c>
      <c r="C38" s="285" t="str">
        <f ca="1">IFERROR(INDEX(INDIRECT($D$5&amp;"[#All]"),MATCH(iWatchTb[[#This Row],[iWatch Order]],INDIRECT($D$5&amp;"[[#All],[iWatch Order]]"),0),1),INDEX(INDIRECT($D$5&amp;"_"&amp;$F$5&amp;"[#All]"),MATCH(iWatchTb[[#This Row],[iWatch Order]],INDIRECT($D$5&amp;"_"&amp;$F$5&amp;"[[#All],[iWatch Order]]"),0),1))</f>
        <v>GS7.GQ3</v>
      </c>
      <c r="D38" s="287" t="str">
        <f ca="1">VLOOKUP(iWatchTb[[#This Row],[iWatch '#]],CallTb[[#All],[iWatch '#]:[Free Text]],2,FALSE)</f>
        <v>Explicit statement that WUCO has verified the retention of identity documents and/or biometric information presented by receivers; attachment the document.  (see RRVA Attachment Requirements)</v>
      </c>
      <c r="E38" s="293" t="str">
        <f ca="1">IF(VLOOKUP(iWatchTb[[#This Row],[iWatch '#]],CallTb[[#All],[iWatch '#]:[Free Text]],3,FALSE)=0,"",VLOOKUP(iWatchTb[[#This Row],[iWatch '#]],CallTb[[#All],[iWatch '#]:[Free Text]],3,FALSE))</f>
        <v/>
      </c>
      <c r="F38" s="286" t="str">
        <f ca="1">IF(VLOOKUP(iWatchTb[[#This Row],[iWatch '#]],CallTb[[#All],[iWatch '#]:[Free Text]],6,FALSE)=0,"",VLOOKUP(iWatchTb[[#This Row],[iWatch '#]],CallTb[[#All],[iWatch '#]:[Free Text]],6,FALSE))</f>
        <v/>
      </c>
      <c r="G38" s="286">
        <f ca="1">VLOOKUP(iWatchTb[[#This Row],[iWatch '#]],CallTb[[#All],[iWatch '#]:[Free Text]],7,FALSE)</f>
        <v>0</v>
      </c>
      <c r="H38" s="286" t="str">
        <f ca="1">VLOOKUP(iWatchTb[[#This Row],[iWatch '#]],CallTb[[#All],[iWatch '#]:[Free Text]],8,FALSE)</f>
        <v/>
      </c>
      <c r="I38" s="292" t="str">
        <f ca="1">VLOOKUP(iWatchTb[[#This Row],[iWatch '#]],CallTb[[#All],[iWatch '#]:[Free Text]],9,FALSE)</f>
        <v/>
      </c>
      <c r="J38" s="286">
        <f ca="1">VLOOKUP(iWatchTb[[#This Row],[iWatch '#]],CallTb[[#All],[iWatch '#]:[Free Text]],10,FALSE)</f>
        <v>0</v>
      </c>
      <c r="K38" s="286" t="str">
        <f ca="1">VLOOKUP(LEFT(iWatchTb[[#This Row],[iWatch '#]],4),tblColoring[#Data],2,FALSE)</f>
        <v>Grey</v>
      </c>
      <c r="L38" s="286" t="str">
        <f ca="1">IFERROR(IF(FIND("EFRAL",iWatchTb[[#This Row],[iWatch Questions]])&gt;0,"EFRAL"),"")</f>
        <v/>
      </c>
    </row>
    <row r="39" spans="2:12" s="270" customFormat="1">
      <c r="B39" s="345">
        <v>33</v>
      </c>
      <c r="C39" s="285" t="str">
        <f ca="1">IFERROR(INDEX(INDIRECT($D$5&amp;"[#All]"),MATCH(iWatchTb[[#This Row],[iWatch Order]],INDIRECT($D$5&amp;"[[#All],[iWatch Order]]"),0),1),INDEX(INDIRECT($D$5&amp;"_"&amp;$F$5&amp;"[#All]"),MATCH(iWatchTb[[#This Row],[iWatch Order]],INDIRECT($D$5&amp;"_"&amp;$F$5&amp;"[[#All],[iWatch Order]]"),0),1))</f>
        <v>GS7.GQ4</v>
      </c>
      <c r="D39" s="287" t="str">
        <f ca="1">VLOOKUP(iWatchTb[[#This Row],[iWatch '#]],CallTb[[#All],[iWatch '#]:[Free Text]],2,FALSE)</f>
        <v>Is this location a Send-Only EFRAL?</v>
      </c>
      <c r="E39" s="293" t="str">
        <f ca="1">IF(VLOOKUP(iWatchTb[[#This Row],[iWatch '#]],CallTb[[#All],[iWatch '#]:[Free Text]],3,FALSE)=0,"",VLOOKUP(iWatchTb[[#This Row],[iWatch '#]],CallTb[[#All],[iWatch '#]:[Free Text]],3,FALSE))</f>
        <v/>
      </c>
      <c r="F39" s="286" t="str">
        <f ca="1">IF(VLOOKUP(iWatchTb[[#This Row],[iWatch '#]],CallTb[[#All],[iWatch '#]:[Free Text]],6,FALSE)=0,"",VLOOKUP(iWatchTb[[#This Row],[iWatch '#]],CallTb[[#All],[iWatch '#]:[Free Text]],6,FALSE))</f>
        <v/>
      </c>
      <c r="G39" s="286">
        <f ca="1">VLOOKUP(iWatchTb[[#This Row],[iWatch '#]],CallTb[[#All],[iWatch '#]:[Free Text]],7,FALSE)</f>
        <v>0</v>
      </c>
      <c r="H39" s="286" t="str">
        <f ca="1">VLOOKUP(iWatchTb[[#This Row],[iWatch '#]],CallTb[[#All],[iWatch '#]:[Free Text]],8,FALSE)</f>
        <v/>
      </c>
      <c r="I39" s="292" t="str">
        <f ca="1">VLOOKUP(iWatchTb[[#This Row],[iWatch '#]],CallTb[[#All],[iWatch '#]:[Free Text]],9,FALSE)</f>
        <v/>
      </c>
      <c r="J39" s="286">
        <f ca="1">VLOOKUP(iWatchTb[[#This Row],[iWatch '#]],CallTb[[#All],[iWatch '#]:[Free Text]],10,FALSE)</f>
        <v>0</v>
      </c>
      <c r="K39" s="286" t="str">
        <f ca="1">VLOOKUP(LEFT(iWatchTb[[#This Row],[iWatch '#]],4),tblColoring[#Data],2,FALSE)</f>
        <v>Grey</v>
      </c>
      <c r="L39" s="286" t="str">
        <f ca="1">IFERROR(IF(FIND("EFRAL",iWatchTb[[#This Row],[iWatch Questions]])&gt;0,"EFRAL"),"")</f>
        <v>EFRAL</v>
      </c>
    </row>
    <row r="40" spans="2:12" s="270" customFormat="1" ht="46.5">
      <c r="B40" s="345">
        <v>34</v>
      </c>
      <c r="C40" s="285" t="str">
        <f ca="1">IFERROR(INDEX(INDIRECT($D$5&amp;"[#All]"),MATCH(iWatchTb[[#This Row],[iWatch Order]],INDIRECT($D$5&amp;"[[#All],[iWatch Order]]"),0),1),INDEX(INDIRECT($D$5&amp;"_"&amp;$F$5&amp;"[#All]"),MATCH(iWatchTb[[#This Row],[iWatch Order]],INDIRECT($D$5&amp;"_"&amp;$F$5&amp;"[[#All],[iWatch Order]]"),0),1))</f>
        <v>GS7.GQ5</v>
      </c>
      <c r="D40" s="287" t="str">
        <f ca="1">VLOOKUP(iWatchTb[[#This Row],[iWatch '#]],CallTb[[#All],[iWatch '#]:[Free Text]],2,FALSE)</f>
        <v>Explicit statement that WUCO has verified the Agent's send-only status; attach the document (see Send-only Attachment Requirements)</v>
      </c>
      <c r="E40" s="293" t="str">
        <f ca="1">IF(VLOOKUP(iWatchTb[[#This Row],[iWatch '#]],CallTb[[#All],[iWatch '#]:[Free Text]],3,FALSE)=0,"",VLOOKUP(iWatchTb[[#This Row],[iWatch '#]],CallTb[[#All],[iWatch '#]:[Free Text]],3,FALSE))</f>
        <v/>
      </c>
      <c r="F40" s="286" t="str">
        <f ca="1">IF(VLOOKUP(iWatchTb[[#This Row],[iWatch '#]],CallTb[[#All],[iWatch '#]:[Free Text]],6,FALSE)=0,"",VLOOKUP(iWatchTb[[#This Row],[iWatch '#]],CallTb[[#All],[iWatch '#]:[Free Text]],6,FALSE))</f>
        <v/>
      </c>
      <c r="G40" s="286">
        <f ca="1">VLOOKUP(iWatchTb[[#This Row],[iWatch '#]],CallTb[[#All],[iWatch '#]:[Free Text]],7,FALSE)</f>
        <v>0</v>
      </c>
      <c r="H40" s="286" t="str">
        <f ca="1">VLOOKUP(iWatchTb[[#This Row],[iWatch '#]],CallTb[[#All],[iWatch '#]:[Free Text]],8,FALSE)</f>
        <v/>
      </c>
      <c r="I40" s="292" t="str">
        <f ca="1">VLOOKUP(iWatchTb[[#This Row],[iWatch '#]],CallTb[[#All],[iWatch '#]:[Free Text]],9,FALSE)</f>
        <v/>
      </c>
      <c r="J40" s="286">
        <f ca="1">VLOOKUP(iWatchTb[[#This Row],[iWatch '#]],CallTb[[#All],[iWatch '#]:[Free Text]],10,FALSE)</f>
        <v>0</v>
      </c>
      <c r="K40" s="286" t="str">
        <f ca="1">VLOOKUP(LEFT(iWatchTb[[#This Row],[iWatch '#]],4),tblColoring[#Data],2,FALSE)</f>
        <v>Grey</v>
      </c>
      <c r="L40" s="286" t="str">
        <f ca="1">IFERROR(IF(FIND("EFRAL",iWatchTb[[#This Row],[iWatch Questions]])&gt;0,"EFRAL"),"")</f>
        <v/>
      </c>
    </row>
    <row r="41" spans="2:12" s="270" customFormat="1">
      <c r="B41" s="345">
        <v>35</v>
      </c>
      <c r="C41" s="285" t="str">
        <f ca="1">IFERROR(INDEX(INDIRECT($D$5&amp;"[#All]"),MATCH(iWatchTb[[#This Row],[iWatch Order]],INDIRECT($D$5&amp;"[[#All],[iWatch Order]]"),0),1),INDEX(INDIRECT($D$5&amp;"_"&amp;$F$5&amp;"[#All]"),MATCH(iWatchTb[[#This Row],[iWatch Order]],INDIRECT($D$5&amp;"_"&amp;$F$5&amp;"[[#All],[iWatch Order]]"),0),1))</f>
        <v>GS7.GQ6</v>
      </c>
      <c r="D41" s="287" t="str">
        <f ca="1">VLOOKUP(iWatchTb[[#This Row],[iWatch '#]],CallTb[[#All],[iWatch '#]:[Free Text]],2,FALSE)</f>
        <v>Is this location a retired EFRAL?</v>
      </c>
      <c r="E41" s="293" t="str">
        <f ca="1">IF(VLOOKUP(iWatchTb[[#This Row],[iWatch '#]],CallTb[[#All],[iWatch '#]:[Free Text]],3,FALSE)=0,"",VLOOKUP(iWatchTb[[#This Row],[iWatch '#]],CallTb[[#All],[iWatch '#]:[Free Text]],3,FALSE))</f>
        <v/>
      </c>
      <c r="F41" s="286" t="str">
        <f ca="1">IF(VLOOKUP(iWatchTb[[#This Row],[iWatch '#]],CallTb[[#All],[iWatch '#]:[Free Text]],6,FALSE)=0,"",VLOOKUP(iWatchTb[[#This Row],[iWatch '#]],CallTb[[#All],[iWatch '#]:[Free Text]],6,FALSE))</f>
        <v/>
      </c>
      <c r="G41" s="286">
        <f ca="1">VLOOKUP(iWatchTb[[#This Row],[iWatch '#]],CallTb[[#All],[iWatch '#]:[Free Text]],7,FALSE)</f>
        <v>0</v>
      </c>
      <c r="H41" s="286" t="str">
        <f ca="1">VLOOKUP(iWatchTb[[#This Row],[iWatch '#]],CallTb[[#All],[iWatch '#]:[Free Text]],8,FALSE)</f>
        <v/>
      </c>
      <c r="I41" s="292" t="str">
        <f ca="1">VLOOKUP(iWatchTb[[#This Row],[iWatch '#]],CallTb[[#All],[iWatch '#]:[Free Text]],9,FALSE)</f>
        <v/>
      </c>
      <c r="J41" s="286">
        <f ca="1">VLOOKUP(iWatchTb[[#This Row],[iWatch '#]],CallTb[[#All],[iWatch '#]:[Free Text]],10,FALSE)</f>
        <v>0</v>
      </c>
      <c r="K41" s="286" t="str">
        <f ca="1">VLOOKUP(LEFT(iWatchTb[[#This Row],[iWatch '#]],4),tblColoring[#Data],2,FALSE)</f>
        <v>Grey</v>
      </c>
      <c r="L41" s="286" t="str">
        <f ca="1">IFERROR(IF(FIND("EFRAL",iWatchTb[[#This Row],[iWatch Questions]])&gt;0,"EFRAL"),"")</f>
        <v>EFRAL</v>
      </c>
    </row>
    <row r="42" spans="2:12" s="270" customFormat="1" ht="46.5">
      <c r="B42" s="345">
        <v>36</v>
      </c>
      <c r="C42" s="285" t="str">
        <f ca="1">IFERROR(INDEX(INDIRECT($D$5&amp;"[#All]"),MATCH(iWatchTb[[#This Row],[iWatch Order]],INDIRECT($D$5&amp;"[[#All],[iWatch Order]]"),0),1),INDEX(INDIRECT($D$5&amp;"_"&amp;$F$5&amp;"[#All]"),MATCH(iWatchTb[[#This Row],[iWatch Order]],INDIRECT($D$5&amp;"_"&amp;$F$5&amp;"[[#All],[iWatch Order]]"),0),1))</f>
        <v>GS7.GQ7</v>
      </c>
      <c r="D42" s="287" t="str">
        <f ca="1">VLOOKUP(iWatchTb[[#This Row],[iWatch '#]],CallTb[[#All],[iWatch '#]:[Free Text]],2,FALSE)</f>
        <v>Explicit statement that WUCO has viewed the agent signed Commitment Letter or WU system status confirming it.</v>
      </c>
      <c r="E42" s="293" t="str">
        <f ca="1">IF(VLOOKUP(iWatchTb[[#This Row],[iWatch '#]],CallTb[[#All],[iWatch '#]:[Free Text]],3,FALSE)=0,"",VLOOKUP(iWatchTb[[#This Row],[iWatch '#]],CallTb[[#All],[iWatch '#]:[Free Text]],3,FALSE))</f>
        <v/>
      </c>
      <c r="F42" s="286" t="str">
        <f ca="1">IF(VLOOKUP(iWatchTb[[#This Row],[iWatch '#]],CallTb[[#All],[iWatch '#]:[Free Text]],6,FALSE)=0,"",VLOOKUP(iWatchTb[[#This Row],[iWatch '#]],CallTb[[#All],[iWatch '#]:[Free Text]],6,FALSE))</f>
        <v/>
      </c>
      <c r="G42" s="286">
        <f ca="1">VLOOKUP(iWatchTb[[#This Row],[iWatch '#]],CallTb[[#All],[iWatch '#]:[Free Text]],7,FALSE)</f>
        <v>0</v>
      </c>
      <c r="H42" s="286" t="str">
        <f ca="1">VLOOKUP(iWatchTb[[#This Row],[iWatch '#]],CallTb[[#All],[iWatch '#]:[Free Text]],8,FALSE)</f>
        <v/>
      </c>
      <c r="I42" s="292" t="str">
        <f ca="1">VLOOKUP(iWatchTb[[#This Row],[iWatch '#]],CallTb[[#All],[iWatch '#]:[Free Text]],9,FALSE)</f>
        <v/>
      </c>
      <c r="J42" s="286">
        <f ca="1">VLOOKUP(iWatchTb[[#This Row],[iWatch '#]],CallTb[[#All],[iWatch '#]:[Free Text]],10,FALSE)</f>
        <v>0</v>
      </c>
      <c r="K42" s="286" t="str">
        <f ca="1">VLOOKUP(LEFT(iWatchTb[[#This Row],[iWatch '#]],4),tblColoring[#Data],2,FALSE)</f>
        <v>Grey</v>
      </c>
      <c r="L42" s="286" t="str">
        <f ca="1">IFERROR(IF(FIND("EFRAL",iWatchTb[[#This Row],[iWatch Questions]])&gt;0,"EFRAL"),"")</f>
        <v/>
      </c>
    </row>
    <row r="43" spans="2:12" s="294" customFormat="1" ht="62">
      <c r="B43" s="345">
        <v>37</v>
      </c>
      <c r="C43" s="285" t="str">
        <f ca="1">IFERROR(INDEX(INDIRECT($D$5&amp;"[#All]"),MATCH(iWatchTb[[#This Row],[iWatch Order]],INDIRECT($D$5&amp;"[[#All],[iWatch Order]]"),0),1),INDEX(INDIRECT($D$5&amp;"_"&amp;$F$5&amp;"[#All]"),MATCH(iWatchTb[[#This Row],[iWatch Order]],INDIRECT($D$5&amp;"_"&amp;$F$5&amp;"[[#All],[iWatch Order]]"),0),1))</f>
        <v>GS8.GQ1</v>
      </c>
      <c r="D43" s="287" t="str">
        <f ca="1">VLOOKUP(iWatchTb[[#This Row],[iWatch '#]],CallTb[[#All],[iWatch '#]:[Free Text]],2,FALSE)</f>
        <v>Does the Agent comply with retention period requirements for paper records (i.e., receipts) under local regulation or according to WU standards, whichever is more stringent?</v>
      </c>
      <c r="E43" s="293" t="str">
        <f ca="1">IF(VLOOKUP(iWatchTb[[#This Row],[iWatch '#]],CallTb[[#All],[iWatch '#]:[Free Text]],3,FALSE)=0,"",VLOOKUP(iWatchTb[[#This Row],[iWatch '#]],CallTb[[#All],[iWatch '#]:[Free Text]],3,FALSE))</f>
        <v>Conservación de Registros</v>
      </c>
      <c r="F43" s="286" t="str">
        <f ca="1">IF(VLOOKUP(iWatchTb[[#This Row],[iWatch '#]],CallTb[[#All],[iWatch '#]:[Free Text]],6,FALSE)=0,"",VLOOKUP(iWatchTb[[#This Row],[iWatch '#]],CallTb[[#All],[iWatch '#]:[Free Text]],6,FALSE))</f>
        <v/>
      </c>
      <c r="G43" s="286">
        <f ca="1">VLOOKUP(iWatchTb[[#This Row],[iWatch '#]],CallTb[[#All],[iWatch '#]:[Free Text]],7,FALSE)</f>
        <v>0</v>
      </c>
      <c r="H43" s="286" t="str">
        <f ca="1">VLOOKUP(iWatchTb[[#This Row],[iWatch '#]],CallTb[[#All],[iWatch '#]:[Free Text]],8,FALSE)</f>
        <v/>
      </c>
      <c r="I43" s="292" t="str">
        <f ca="1">VLOOKUP(iWatchTb[[#This Row],[iWatch '#]],CallTb[[#All],[iWatch '#]:[Free Text]],9,FALSE)</f>
        <v/>
      </c>
      <c r="J43" s="286">
        <f ca="1">VLOOKUP(iWatchTb[[#This Row],[iWatch '#]],CallTb[[#All],[iWatch '#]:[Free Text]],10,FALSE)</f>
        <v>0</v>
      </c>
      <c r="K43" s="286" t="str">
        <f ca="1">VLOOKUP(LEFT(iWatchTb[[#This Row],[iWatch '#]],4),tblColoring[#Data],2,FALSE)</f>
        <v>Blue</v>
      </c>
      <c r="L43" s="286" t="str">
        <f ca="1">IFERROR(IF(FIND("EFRAL",iWatchTb[[#This Row],[iWatch Questions]])&gt;0,"EFRAL"),"")</f>
        <v/>
      </c>
    </row>
    <row r="44" spans="2:12" ht="31">
      <c r="B44" s="345">
        <v>38</v>
      </c>
      <c r="C44" s="285" t="str">
        <f ca="1">IFERROR(INDEX(INDIRECT($D$5&amp;"[#All]"),MATCH(iWatchTb[[#This Row],[iWatch Order]],INDIRECT($D$5&amp;"[[#All],[iWatch Order]]"),0),1),INDEX(INDIRECT($D$5&amp;"_"&amp;$F$5&amp;"[#All]"),MATCH(iWatchTb[[#This Row],[iWatch Order]],INDIRECT($D$5&amp;"_"&amp;$F$5&amp;"[[#All],[iWatch Order]]"),0),1))</f>
        <v>GS8.GQ2</v>
      </c>
      <c r="D44" s="287" t="str">
        <f ca="1">VLOOKUP(iWatchTb[[#This Row],[iWatch '#]],CallTb[[#All],[iWatch '#]:[Free Text]],2,FALSE)</f>
        <v>Does the Agent securely dispose of all paper records after the retention period is reached (i.e., shredding)?</v>
      </c>
      <c r="E44" s="293" t="str">
        <f ca="1">IF(VLOOKUP(iWatchTb[[#This Row],[iWatch '#]],CallTb[[#All],[iWatch '#]:[Free Text]],3,FALSE)=0,"",VLOOKUP(iWatchTb[[#This Row],[iWatch '#]],CallTb[[#All],[iWatch '#]:[Free Text]],3,FALSE))</f>
        <v>Conservación de Registros</v>
      </c>
      <c r="F44" s="286" t="str">
        <f ca="1">IF(VLOOKUP(iWatchTb[[#This Row],[iWatch '#]],CallTb[[#All],[iWatch '#]:[Free Text]],6,FALSE)=0,"",VLOOKUP(iWatchTb[[#This Row],[iWatch '#]],CallTb[[#All],[iWatch '#]:[Free Text]],6,FALSE))</f>
        <v/>
      </c>
      <c r="G44" s="286">
        <f ca="1">VLOOKUP(iWatchTb[[#This Row],[iWatch '#]],CallTb[[#All],[iWatch '#]:[Free Text]],7,FALSE)</f>
        <v>0</v>
      </c>
      <c r="H44" s="286" t="str">
        <f ca="1">VLOOKUP(iWatchTb[[#This Row],[iWatch '#]],CallTb[[#All],[iWatch '#]:[Free Text]],8,FALSE)</f>
        <v/>
      </c>
      <c r="I44" s="292" t="str">
        <f ca="1">VLOOKUP(iWatchTb[[#This Row],[iWatch '#]],CallTb[[#All],[iWatch '#]:[Free Text]],9,FALSE)</f>
        <v/>
      </c>
      <c r="J44" s="286">
        <f ca="1">VLOOKUP(iWatchTb[[#This Row],[iWatch '#]],CallTb[[#All],[iWatch '#]:[Free Text]],10,FALSE)</f>
        <v>0</v>
      </c>
      <c r="K44" s="286" t="str">
        <f ca="1">VLOOKUP(LEFT(iWatchTb[[#This Row],[iWatch '#]],4),tblColoring[#Data],2,FALSE)</f>
        <v>Blue</v>
      </c>
      <c r="L44" s="286" t="str">
        <f ca="1">IFERROR(IF(FIND("EFRAL",iWatchTb[[#This Row],[iWatch Questions]])&gt;0,"EFRAL"),"")</f>
        <v/>
      </c>
    </row>
    <row r="45" spans="2:12" ht="62">
      <c r="B45" s="345">
        <v>39</v>
      </c>
      <c r="C45" s="285" t="str">
        <f ca="1">IFERROR(INDEX(INDIRECT($D$5&amp;"[#All]"),MATCH(iWatchTb[[#This Row],[iWatch Order]],INDIRECT($D$5&amp;"[[#All],[iWatch Order]]"),0),1),INDEX(INDIRECT($D$5&amp;"_"&amp;$F$5&amp;"[#All]"),MATCH(iWatchTb[[#This Row],[iWatch Order]],INDIRECT($D$5&amp;"_"&amp;$F$5&amp;"[[#All],[iWatch Order]]"),0),1))</f>
        <v>GS8.GQ3</v>
      </c>
      <c r="D45" s="287" t="str">
        <f ca="1">VLOOKUP(iWatchTb[[#This Row],[iWatch '#]],CallTb[[#All],[iWatch '#]:[Free Text]],2,FALSE)</f>
        <v>Is the Location able to produce clear copies of transaction documents, either for the required retention period or for the period between the date of the review and the last dispatch to the centralized storage?</v>
      </c>
      <c r="E45" s="293" t="str">
        <f ca="1">IF(VLOOKUP(iWatchTb[[#This Row],[iWatch '#]],CallTb[[#All],[iWatch '#]:[Free Text]],3,FALSE)=0,"",VLOOKUP(iWatchTb[[#This Row],[iWatch '#]],CallTb[[#All],[iWatch '#]:[Free Text]],3,FALSE))</f>
        <v>Conservación de Registros</v>
      </c>
      <c r="F45" s="286" t="str">
        <f ca="1">IF(VLOOKUP(iWatchTb[[#This Row],[iWatch '#]],CallTb[[#All],[iWatch '#]:[Free Text]],6,FALSE)=0,"",VLOOKUP(iWatchTb[[#This Row],[iWatch '#]],CallTb[[#All],[iWatch '#]:[Free Text]],6,FALSE))</f>
        <v/>
      </c>
      <c r="G45" s="286">
        <f ca="1">VLOOKUP(iWatchTb[[#This Row],[iWatch '#]],CallTb[[#All],[iWatch '#]:[Free Text]],7,FALSE)</f>
        <v>0</v>
      </c>
      <c r="H45" s="286" t="str">
        <f ca="1">VLOOKUP(iWatchTb[[#This Row],[iWatch '#]],CallTb[[#All],[iWatch '#]:[Free Text]],8,FALSE)</f>
        <v/>
      </c>
      <c r="I45" s="292" t="str">
        <f ca="1">VLOOKUP(iWatchTb[[#This Row],[iWatch '#]],CallTb[[#All],[iWatch '#]:[Free Text]],9,FALSE)</f>
        <v/>
      </c>
      <c r="J45" s="286">
        <f ca="1">VLOOKUP(iWatchTb[[#This Row],[iWatch '#]],CallTb[[#All],[iWatch '#]:[Free Text]],10,FALSE)</f>
        <v>0</v>
      </c>
      <c r="K45" s="286" t="str">
        <f ca="1">VLOOKUP(LEFT(iWatchTb[[#This Row],[iWatch '#]],4),tblColoring[#Data],2,FALSE)</f>
        <v>Blue</v>
      </c>
      <c r="L45" s="286" t="str">
        <f ca="1">IFERROR(IF(FIND("EFRAL",iWatchTb[[#This Row],[iWatch Questions]])&gt;0,"EFRAL"),"")</f>
        <v/>
      </c>
    </row>
    <row r="46" spans="2:12" ht="46.5">
      <c r="B46" s="345">
        <v>40</v>
      </c>
      <c r="C46" s="285" t="str">
        <f ca="1">IFERROR(INDEX(INDIRECT($D$5&amp;"[#All]"),MATCH(iWatchTb[[#This Row],[iWatch Order]],INDIRECT($D$5&amp;"[[#All],[iWatch Order]]"),0),1),INDEX(INDIRECT($D$5&amp;"_"&amp;$F$5&amp;"[#All]"),MATCH(iWatchTb[[#This Row],[iWatch Order]],INDIRECT($D$5&amp;"_"&amp;$F$5&amp;"[[#All],[iWatch Order]]"),0),1))</f>
        <v>GS8.GQ4</v>
      </c>
      <c r="D46" s="287" t="str">
        <f ca="1">VLOOKUP(iWatchTb[[#This Row],[iWatch '#]],CallTb[[#All],[iWatch '#]:[Free Text]],2,FALSE)</f>
        <v>Does the location store all physical  records (e.g., MT records, Money Order Logs, KYC Forms) in a safe and secured place?</v>
      </c>
      <c r="E46" s="293" t="str">
        <f ca="1">IF(VLOOKUP(iWatchTb[[#This Row],[iWatch '#]],CallTb[[#All],[iWatch '#]:[Free Text]],3,FALSE)=0,"",VLOOKUP(iWatchTb[[#This Row],[iWatch '#]],CallTb[[#All],[iWatch '#]:[Free Text]],3,FALSE))</f>
        <v>Conservación de Registros</v>
      </c>
      <c r="F46" s="286" t="str">
        <f ca="1">IF(VLOOKUP(iWatchTb[[#This Row],[iWatch '#]],CallTb[[#All],[iWatch '#]:[Free Text]],6,FALSE)=0,"",VLOOKUP(iWatchTb[[#This Row],[iWatch '#]],CallTb[[#All],[iWatch '#]:[Free Text]],6,FALSE))</f>
        <v/>
      </c>
      <c r="G46" s="286">
        <f ca="1">VLOOKUP(iWatchTb[[#This Row],[iWatch '#]],CallTb[[#All],[iWatch '#]:[Free Text]],7,FALSE)</f>
        <v>0</v>
      </c>
      <c r="H46" s="286" t="str">
        <f ca="1">VLOOKUP(iWatchTb[[#This Row],[iWatch '#]],CallTb[[#All],[iWatch '#]:[Free Text]],8,FALSE)</f>
        <v/>
      </c>
      <c r="I46" s="292" t="str">
        <f ca="1">VLOOKUP(iWatchTb[[#This Row],[iWatch '#]],CallTb[[#All],[iWatch '#]:[Free Text]],9,FALSE)</f>
        <v/>
      </c>
      <c r="J46" s="286">
        <f ca="1">VLOOKUP(iWatchTb[[#This Row],[iWatch '#]],CallTb[[#All],[iWatch '#]:[Free Text]],10,FALSE)</f>
        <v>0</v>
      </c>
      <c r="K46" s="286" t="str">
        <f ca="1">VLOOKUP(LEFT(iWatchTb[[#This Row],[iWatch '#]],4),tblColoring[#Data],2,FALSE)</f>
        <v>Blue</v>
      </c>
      <c r="L46" s="286" t="str">
        <f ca="1">IFERROR(IF(FIND("EFRAL",iWatchTb[[#This Row],[iWatch Questions]])&gt;0,"EFRAL"),"")</f>
        <v/>
      </c>
    </row>
    <row r="47" spans="2:12" ht="31">
      <c r="B47" s="345">
        <v>41</v>
      </c>
      <c r="C47" s="285" t="str">
        <f ca="1">IFERROR(INDEX(INDIRECT($D$5&amp;"[#All]"),MATCH(iWatchTb[[#This Row],[iWatch Order]],INDIRECT($D$5&amp;"[[#All],[iWatch Order]]"),0),1),INDEX(INDIRECT($D$5&amp;"_"&amp;$F$5&amp;"[#All]"),MATCH(iWatchTb[[#This Row],[iWatch Order]],INDIRECT($D$5&amp;"_"&amp;$F$5&amp;"[[#All],[iWatch Order]]"),0),1))</f>
        <v>GS8.GQ5</v>
      </c>
      <c r="D47" s="287" t="str">
        <f ca="1">VLOOKUP(iWatchTb[[#This Row],[iWatch '#]],CallTb[[#All],[iWatch '#]:[Free Text]],2,FALSE)</f>
        <v>Does the Agent delete electronic records after the retention period is reached?</v>
      </c>
      <c r="E47" s="293" t="str">
        <f ca="1">IF(VLOOKUP(iWatchTb[[#This Row],[iWatch '#]],CallTb[[#All],[iWatch '#]:[Free Text]],3,FALSE)=0,"",VLOOKUP(iWatchTb[[#This Row],[iWatch '#]],CallTb[[#All],[iWatch '#]:[Free Text]],3,FALSE))</f>
        <v>Conservación de Registros</v>
      </c>
      <c r="F47" s="286" t="str">
        <f ca="1">IF(VLOOKUP(iWatchTb[[#This Row],[iWatch '#]],CallTb[[#All],[iWatch '#]:[Free Text]],6,FALSE)=0,"",VLOOKUP(iWatchTb[[#This Row],[iWatch '#]],CallTb[[#All],[iWatch '#]:[Free Text]],6,FALSE))</f>
        <v/>
      </c>
      <c r="G47" s="286">
        <f ca="1">VLOOKUP(iWatchTb[[#This Row],[iWatch '#]],CallTb[[#All],[iWatch '#]:[Free Text]],7,FALSE)</f>
        <v>0</v>
      </c>
      <c r="H47" s="286" t="str">
        <f ca="1">VLOOKUP(iWatchTb[[#This Row],[iWatch '#]],CallTb[[#All],[iWatch '#]:[Free Text]],8,FALSE)</f>
        <v/>
      </c>
      <c r="I47" s="292" t="str">
        <f ca="1">VLOOKUP(iWatchTb[[#This Row],[iWatch '#]],CallTb[[#All],[iWatch '#]:[Free Text]],9,FALSE)</f>
        <v/>
      </c>
      <c r="J47" s="286">
        <f ca="1">VLOOKUP(iWatchTb[[#This Row],[iWatch '#]],CallTb[[#All],[iWatch '#]:[Free Text]],10,FALSE)</f>
        <v>0</v>
      </c>
      <c r="K47" s="286" t="str">
        <f ca="1">VLOOKUP(LEFT(iWatchTb[[#This Row],[iWatch '#]],4),tblColoring[#Data],2,FALSE)</f>
        <v>Blue</v>
      </c>
      <c r="L47" s="286" t="str">
        <f ca="1">IFERROR(IF(FIND("EFRAL",iWatchTb[[#This Row],[iWatch Questions]])&gt;0,"EFRAL"),"")</f>
        <v/>
      </c>
    </row>
    <row r="48" spans="2:12">
      <c r="B48" s="345"/>
      <c r="C48" s="285"/>
      <c r="D48" s="287"/>
      <c r="E48" s="293"/>
      <c r="F48" s="286"/>
      <c r="G48" s="286"/>
      <c r="H48" s="286"/>
      <c r="I48" s="292"/>
      <c r="J48" s="286"/>
      <c r="K48" s="286"/>
      <c r="L48" s="286"/>
    </row>
    <row r="49" spans="2:12">
      <c r="B49" s="345"/>
      <c r="C49" s="285"/>
      <c r="D49" s="287"/>
      <c r="E49" s="293"/>
      <c r="F49" s="286"/>
      <c r="G49" s="286"/>
      <c r="H49" s="286"/>
      <c r="I49" s="292"/>
      <c r="J49" s="286"/>
      <c r="K49" s="286"/>
      <c r="L49" s="286"/>
    </row>
    <row r="50" spans="2:12">
      <c r="B50" s="345"/>
      <c r="C50" s="285"/>
      <c r="D50" s="287"/>
      <c r="E50" s="293"/>
      <c r="F50" s="286"/>
      <c r="G50" s="286"/>
      <c r="H50" s="286"/>
      <c r="I50" s="292"/>
      <c r="J50" s="286"/>
      <c r="K50" s="286"/>
      <c r="L50" s="286"/>
    </row>
    <row r="51" spans="2:12">
      <c r="B51" s="345"/>
      <c r="C51" s="285"/>
      <c r="D51" s="287"/>
      <c r="E51" s="293"/>
      <c r="F51" s="286"/>
      <c r="G51" s="286"/>
      <c r="H51" s="286"/>
      <c r="I51" s="292"/>
      <c r="J51" s="286"/>
      <c r="K51" s="286"/>
      <c r="L51" s="286"/>
    </row>
    <row r="52" spans="2:12">
      <c r="B52" s="345"/>
      <c r="C52" s="285"/>
      <c r="D52" s="287"/>
      <c r="E52" s="293"/>
      <c r="F52" s="286"/>
      <c r="G52" s="286"/>
      <c r="H52" s="286"/>
      <c r="I52" s="292"/>
      <c r="J52" s="286"/>
      <c r="K52" s="286"/>
      <c r="L52" s="286"/>
    </row>
    <row r="53" spans="2:12">
      <c r="B53" s="345"/>
      <c r="C53" s="285"/>
      <c r="D53" s="287"/>
      <c r="E53" s="293"/>
      <c r="F53" s="286"/>
      <c r="G53" s="286"/>
      <c r="H53" s="286"/>
      <c r="I53" s="292"/>
      <c r="J53" s="286"/>
      <c r="K53" s="286"/>
      <c r="L53" s="286"/>
    </row>
    <row r="54" spans="2:12">
      <c r="B54" s="345"/>
      <c r="C54" s="285"/>
      <c r="D54" s="287"/>
      <c r="E54" s="293"/>
      <c r="F54" s="286"/>
      <c r="G54" s="286"/>
      <c r="H54" s="286"/>
      <c r="I54" s="292"/>
      <c r="J54" s="286"/>
      <c r="K54" s="286"/>
      <c r="L54" s="286"/>
    </row>
    <row r="55" spans="2:12">
      <c r="B55" s="345"/>
      <c r="C55" s="285"/>
      <c r="D55" s="287"/>
      <c r="E55" s="293"/>
      <c r="F55" s="286"/>
      <c r="G55" s="286"/>
      <c r="H55" s="286"/>
      <c r="I55" s="292"/>
      <c r="J55" s="286"/>
      <c r="K55" s="286"/>
      <c r="L55" s="286"/>
    </row>
    <row r="56" spans="2:12">
      <c r="B56" s="345"/>
      <c r="C56" s="285"/>
      <c r="D56" s="287"/>
      <c r="E56" s="293"/>
      <c r="F56" s="286"/>
      <c r="G56" s="286"/>
      <c r="H56" s="286"/>
      <c r="I56" s="292"/>
      <c r="J56" s="286"/>
      <c r="K56" s="286"/>
      <c r="L56" s="286"/>
    </row>
    <row r="57" spans="2:12">
      <c r="B57" s="345"/>
      <c r="C57" s="285"/>
      <c r="D57" s="287"/>
      <c r="E57" s="293"/>
      <c r="F57" s="286"/>
      <c r="G57" s="286"/>
      <c r="H57" s="286"/>
      <c r="I57" s="292"/>
      <c r="J57" s="286"/>
      <c r="K57" s="286"/>
      <c r="L57" s="286"/>
    </row>
    <row r="58" spans="2:12">
      <c r="B58" s="345"/>
      <c r="C58" s="285"/>
      <c r="D58" s="287"/>
      <c r="E58" s="293"/>
      <c r="F58" s="286"/>
      <c r="G58" s="286"/>
      <c r="H58" s="286"/>
      <c r="I58" s="292"/>
      <c r="J58" s="286"/>
      <c r="K58" s="286"/>
      <c r="L58" s="286"/>
    </row>
    <row r="59" spans="2:12">
      <c r="B59" s="345"/>
      <c r="C59" s="285"/>
      <c r="D59" s="287"/>
      <c r="E59" s="293"/>
      <c r="F59" s="286"/>
      <c r="G59" s="286"/>
      <c r="H59" s="286"/>
      <c r="I59" s="292"/>
      <c r="J59" s="286"/>
      <c r="K59" s="286"/>
      <c r="L59" s="286"/>
    </row>
    <row r="60" spans="2:12">
      <c r="B60" s="345"/>
      <c r="C60" s="285"/>
      <c r="D60" s="287"/>
      <c r="E60" s="293"/>
      <c r="F60" s="286"/>
      <c r="G60" s="286"/>
      <c r="H60" s="286"/>
      <c r="I60" s="292"/>
      <c r="J60" s="286"/>
      <c r="K60" s="286"/>
      <c r="L60" s="286"/>
    </row>
    <row r="61" spans="2:12">
      <c r="B61" s="345"/>
      <c r="C61" s="285"/>
      <c r="D61" s="287"/>
      <c r="E61" s="293"/>
      <c r="F61" s="286"/>
      <c r="G61" s="286"/>
      <c r="H61" s="286"/>
      <c r="I61" s="292"/>
      <c r="J61" s="286"/>
      <c r="K61" s="286"/>
      <c r="L61" s="286"/>
    </row>
    <row r="62" spans="2:12">
      <c r="B62" s="345"/>
      <c r="C62" s="285"/>
      <c r="D62" s="287"/>
      <c r="E62" s="293"/>
      <c r="F62" s="286"/>
      <c r="G62" s="286"/>
      <c r="H62" s="286"/>
      <c r="I62" s="292"/>
      <c r="J62" s="286"/>
      <c r="K62" s="286"/>
      <c r="L62" s="286"/>
    </row>
    <row r="63" spans="2:12">
      <c r="B63" s="345"/>
      <c r="C63" s="285"/>
      <c r="D63" s="287"/>
      <c r="E63" s="293"/>
      <c r="F63" s="286"/>
      <c r="G63" s="286"/>
      <c r="H63" s="286"/>
      <c r="I63" s="292"/>
      <c r="J63" s="286"/>
      <c r="K63" s="286"/>
      <c r="L63" s="286"/>
    </row>
    <row r="64" spans="2:12">
      <c r="B64" s="345"/>
      <c r="C64" s="285"/>
      <c r="D64" s="287"/>
      <c r="E64" s="293"/>
      <c r="F64" s="286"/>
      <c r="G64" s="286"/>
      <c r="H64" s="286"/>
      <c r="I64" s="292"/>
      <c r="J64" s="286"/>
      <c r="K64" s="286"/>
      <c r="L64" s="286"/>
    </row>
    <row r="65" spans="2:12">
      <c r="B65" s="345"/>
      <c r="C65" s="285"/>
      <c r="D65" s="287"/>
      <c r="E65" s="293"/>
      <c r="F65" s="286"/>
      <c r="G65" s="286"/>
      <c r="H65" s="286"/>
      <c r="I65" s="292"/>
      <c r="J65" s="286"/>
      <c r="K65" s="286"/>
      <c r="L65" s="286"/>
    </row>
    <row r="66" spans="2:12">
      <c r="B66" s="345"/>
      <c r="C66" s="285"/>
      <c r="D66" s="287"/>
      <c r="E66" s="293"/>
      <c r="F66" s="286"/>
      <c r="G66" s="286"/>
      <c r="H66" s="286"/>
      <c r="I66" s="292"/>
      <c r="J66" s="286"/>
      <c r="K66" s="286"/>
      <c r="L66" s="286"/>
    </row>
    <row r="67" spans="2:12">
      <c r="B67" s="345"/>
      <c r="C67" s="285"/>
      <c r="D67" s="287"/>
      <c r="E67" s="293"/>
      <c r="F67" s="286"/>
      <c r="G67" s="286"/>
      <c r="H67" s="286"/>
      <c r="I67" s="292"/>
      <c r="J67" s="286"/>
      <c r="K67" s="286"/>
      <c r="L67" s="286"/>
    </row>
    <row r="68" spans="2:12">
      <c r="B68" s="345"/>
      <c r="C68" s="285"/>
      <c r="D68" s="287"/>
      <c r="E68" s="293"/>
      <c r="F68" s="286"/>
      <c r="G68" s="286"/>
      <c r="H68" s="286"/>
      <c r="I68" s="292"/>
      <c r="J68" s="286"/>
      <c r="K68" s="286"/>
      <c r="L68" s="286"/>
    </row>
    <row r="69" spans="2:12">
      <c r="B69" s="345"/>
      <c r="C69" s="285"/>
      <c r="D69" s="287"/>
      <c r="E69" s="293"/>
      <c r="F69" s="286"/>
      <c r="G69" s="286"/>
      <c r="H69" s="286"/>
      <c r="I69" s="292"/>
      <c r="J69" s="286"/>
      <c r="K69" s="286"/>
      <c r="L69" s="286"/>
    </row>
    <row r="70" spans="2:12">
      <c r="B70" s="345"/>
      <c r="C70" s="285"/>
      <c r="D70" s="287"/>
      <c r="E70" s="293"/>
      <c r="F70" s="286"/>
      <c r="G70" s="286"/>
      <c r="H70" s="286"/>
      <c r="I70" s="292"/>
      <c r="J70" s="286"/>
      <c r="K70" s="286"/>
      <c r="L70" s="286"/>
    </row>
    <row r="71" spans="2:12">
      <c r="B71" s="345"/>
      <c r="C71" s="285"/>
      <c r="D71" s="287"/>
      <c r="E71" s="293"/>
      <c r="F71" s="286"/>
      <c r="G71" s="286"/>
      <c r="H71" s="286"/>
      <c r="I71" s="292"/>
      <c r="J71" s="286"/>
      <c r="K71" s="286"/>
      <c r="L71" s="286"/>
    </row>
    <row r="72" spans="2:12">
      <c r="B72" s="345"/>
      <c r="C72" s="285"/>
      <c r="D72" s="287"/>
      <c r="E72" s="293"/>
      <c r="F72" s="286"/>
      <c r="G72" s="286"/>
      <c r="H72" s="286"/>
      <c r="I72" s="292"/>
      <c r="J72" s="286"/>
      <c r="K72" s="286"/>
      <c r="L72" s="286"/>
    </row>
    <row r="73" spans="2:12">
      <c r="B73" s="345"/>
      <c r="C73" s="285"/>
      <c r="D73" s="287"/>
      <c r="E73" s="293"/>
      <c r="F73" s="286"/>
      <c r="G73" s="286"/>
      <c r="H73" s="286"/>
      <c r="I73" s="292"/>
      <c r="J73" s="286"/>
      <c r="K73" s="286"/>
      <c r="L73" s="286"/>
    </row>
    <row r="74" spans="2:12">
      <c r="B74" s="345"/>
      <c r="C74" s="285"/>
      <c r="D74" s="287"/>
      <c r="E74" s="293"/>
      <c r="F74" s="286"/>
      <c r="G74" s="286"/>
      <c r="H74" s="286"/>
      <c r="I74" s="292"/>
      <c r="J74" s="286"/>
      <c r="K74" s="286"/>
      <c r="L74" s="286"/>
    </row>
    <row r="75" spans="2:12">
      <c r="B75" s="345"/>
      <c r="C75" s="285"/>
      <c r="D75" s="287"/>
      <c r="E75" s="293"/>
      <c r="F75" s="286"/>
      <c r="G75" s="286"/>
      <c r="H75" s="286"/>
      <c r="I75" s="292"/>
      <c r="J75" s="286"/>
      <c r="K75" s="286"/>
      <c r="L75" s="286"/>
    </row>
    <row r="76" spans="2:12">
      <c r="B76" s="345"/>
      <c r="C76" s="285"/>
      <c r="D76" s="287"/>
      <c r="E76" s="293"/>
      <c r="F76" s="286"/>
      <c r="G76" s="286"/>
      <c r="H76" s="286"/>
      <c r="I76" s="292"/>
      <c r="J76" s="286"/>
      <c r="K76" s="286"/>
      <c r="L76" s="286"/>
    </row>
    <row r="77" spans="2:12">
      <c r="B77" s="345"/>
      <c r="C77" s="285"/>
      <c r="D77" s="287"/>
      <c r="E77" s="293"/>
      <c r="F77" s="286"/>
      <c r="G77" s="286"/>
      <c r="H77" s="286"/>
      <c r="I77" s="292"/>
      <c r="J77" s="286"/>
      <c r="K77" s="286"/>
      <c r="L77" s="286"/>
    </row>
    <row r="78" spans="2:12">
      <c r="B78" s="345"/>
      <c r="C78" s="285"/>
      <c r="D78" s="287"/>
      <c r="E78" s="293"/>
      <c r="F78" s="286"/>
      <c r="G78" s="286"/>
      <c r="H78" s="286"/>
      <c r="I78" s="292"/>
      <c r="J78" s="286"/>
      <c r="K78" s="286"/>
      <c r="L78" s="286"/>
    </row>
    <row r="79" spans="2:12">
      <c r="B79" s="345"/>
      <c r="C79" s="285"/>
      <c r="D79" s="287"/>
      <c r="E79" s="293"/>
      <c r="F79" s="286"/>
      <c r="G79" s="286"/>
      <c r="H79" s="286"/>
      <c r="I79" s="292"/>
      <c r="J79" s="286"/>
      <c r="K79" s="286"/>
      <c r="L79" s="286"/>
    </row>
    <row r="80" spans="2:12">
      <c r="B80" s="345"/>
      <c r="C80" s="285"/>
      <c r="D80" s="287"/>
      <c r="E80" s="293"/>
      <c r="F80" s="286"/>
      <c r="G80" s="286"/>
      <c r="H80" s="286"/>
      <c r="I80" s="292"/>
      <c r="J80" s="286"/>
      <c r="K80" s="286"/>
      <c r="L80" s="286"/>
    </row>
    <row r="81" spans="2:12">
      <c r="B81" s="345"/>
      <c r="C81" s="285"/>
      <c r="D81" s="287"/>
      <c r="E81" s="293"/>
      <c r="F81" s="286"/>
      <c r="G81" s="286"/>
      <c r="H81" s="286"/>
      <c r="I81" s="292"/>
      <c r="J81" s="286"/>
      <c r="K81" s="286"/>
      <c r="L81" s="286"/>
    </row>
    <row r="82" spans="2:12">
      <c r="B82" s="345"/>
      <c r="C82" s="285"/>
      <c r="D82" s="287"/>
      <c r="E82" s="293"/>
      <c r="F82" s="286"/>
      <c r="G82" s="286"/>
      <c r="H82" s="286"/>
      <c r="I82" s="292"/>
      <c r="J82" s="286"/>
      <c r="K82" s="286"/>
      <c r="L82" s="286"/>
    </row>
    <row r="83" spans="2:12">
      <c r="B83" s="345"/>
      <c r="C83" s="285"/>
      <c r="D83" s="287"/>
      <c r="E83" s="293"/>
      <c r="F83" s="286"/>
      <c r="G83" s="286"/>
      <c r="H83" s="286"/>
      <c r="I83" s="292"/>
      <c r="J83" s="286"/>
      <c r="K83" s="286"/>
      <c r="L83" s="286"/>
    </row>
    <row r="84" spans="2:12">
      <c r="B84" s="345"/>
      <c r="C84" s="285"/>
      <c r="D84" s="287"/>
      <c r="E84" s="293"/>
      <c r="F84" s="286"/>
      <c r="G84" s="286"/>
      <c r="H84" s="286"/>
      <c r="I84" s="292"/>
      <c r="J84" s="286"/>
      <c r="K84" s="286"/>
      <c r="L84" s="286"/>
    </row>
    <row r="85" spans="2:12">
      <c r="B85" s="345"/>
      <c r="C85" s="285"/>
      <c r="D85" s="287"/>
      <c r="E85" s="293"/>
      <c r="F85" s="286"/>
      <c r="G85" s="286"/>
      <c r="H85" s="286"/>
      <c r="I85" s="292"/>
      <c r="J85" s="286"/>
      <c r="K85" s="286"/>
      <c r="L85" s="286"/>
    </row>
    <row r="86" spans="2:12">
      <c r="B86" s="345"/>
      <c r="C86" s="285"/>
      <c r="D86" s="287"/>
      <c r="E86" s="293"/>
      <c r="F86" s="286"/>
      <c r="G86" s="286"/>
      <c r="H86" s="286"/>
      <c r="I86" s="292"/>
      <c r="J86" s="286"/>
      <c r="K86" s="286"/>
      <c r="L86" s="286"/>
    </row>
    <row r="87" spans="2:12">
      <c r="B87" s="345"/>
      <c r="C87" s="285"/>
      <c r="D87" s="287"/>
      <c r="E87" s="293"/>
      <c r="F87" s="286"/>
      <c r="G87" s="286"/>
      <c r="H87" s="286"/>
      <c r="I87" s="292"/>
      <c r="J87" s="286"/>
      <c r="K87" s="286"/>
      <c r="L87" s="286"/>
    </row>
    <row r="88" spans="2:12">
      <c r="B88" s="345"/>
      <c r="C88" s="285"/>
      <c r="D88" s="287"/>
      <c r="E88" s="293"/>
      <c r="F88" s="286"/>
      <c r="G88" s="286"/>
      <c r="H88" s="286"/>
      <c r="I88" s="292"/>
      <c r="J88" s="286"/>
      <c r="K88" s="286"/>
      <c r="L88" s="286"/>
    </row>
    <row r="89" spans="2:12">
      <c r="B89" s="345"/>
      <c r="C89" s="285" t="e">
        <f ca="1">IFERROR(INDEX(INDIRECT($D$5&amp;"[#All]"),MATCH(iWatchTb[[#This Row],[iWatch Order]],INDIRECT($D$5&amp;"[[#All],[iWatch Order]]"),0),1),INDEX(INDIRECT($D$5&amp;"_"&amp;$F$5&amp;"[#All]"),MATCH(iWatchTb[[#This Row],[iWatch Order]],INDIRECT($D$5&amp;"_"&amp;$F$5&amp;"[[#All],[iWatch Order]]"),0),1))</f>
        <v>#REF!</v>
      </c>
      <c r="D89" s="287" t="e">
        <f>VLOOKUP(iWatchTb[[#This Row],[iWatch '#]],CallTb[[#All],[iWatch '#]:[Free Text]],2,FALSE)</f>
        <v>#VALUE!</v>
      </c>
      <c r="E89" s="293" t="e">
        <f>IF(VLOOKUP(iWatchTb[[#This Row],[iWatch '#]],CallTb[[#All],[iWatch '#]:[Free Text]],3,FALSE)=0,"",VLOOKUP(iWatchTb[[#This Row],[iWatch '#]],CallTb[[#All],[iWatch '#]:[Free Text]],3,FALSE))</f>
        <v>#VALUE!</v>
      </c>
      <c r="F89" s="286" t="e">
        <f>IF(VLOOKUP(iWatchTb[[#This Row],[iWatch '#]],CallTb[[#All],[iWatch '#]:[Free Text]],6,FALSE)=0,"",VLOOKUP(iWatchTb[[#This Row],[iWatch '#]],CallTb[[#All],[iWatch '#]:[Free Text]],6,FALSE))</f>
        <v>#VALUE!</v>
      </c>
      <c r="G89" s="286" t="e">
        <f>VLOOKUP(iWatchTb[[#This Row],[iWatch '#]],CallTb[[#All],[iWatch '#]:[Free Text]],7,FALSE)</f>
        <v>#VALUE!</v>
      </c>
      <c r="H89" s="286" t="e">
        <f>VLOOKUP(iWatchTb[[#This Row],[iWatch '#]],CallTb[[#All],[iWatch '#]:[Free Text]],8,FALSE)</f>
        <v>#VALUE!</v>
      </c>
      <c r="I89" s="292" t="e">
        <f>VLOOKUP(iWatchTb[[#This Row],[iWatch '#]],CallTb[[#All],[iWatch '#]:[Free Text]],9,FALSE)</f>
        <v>#VALUE!</v>
      </c>
      <c r="J89" s="286" t="e">
        <f>VLOOKUP(iWatchTb[[#This Row],[iWatch '#]],CallTb[[#All],[iWatch '#]:[Free Text]],10,FALSE)</f>
        <v>#VALUE!</v>
      </c>
      <c r="K89" s="286" t="e">
        <f>VLOOKUP(LEFT(iWatchTb[[#This Row],[iWatch '#]],4),tblColoring[#Data],2,FALSE)</f>
        <v>#VALUE!</v>
      </c>
      <c r="L89" s="286" t="str">
        <f>IFERROR(IF(FIND("EFRAL",iWatchTb[[#This Row],[iWatch Questions]])&gt;0,"EFRAL"),"")</f>
        <v/>
      </c>
    </row>
    <row r="90" spans="2:12">
      <c r="B90" s="345"/>
      <c r="C90" s="285" t="e">
        <f ca="1">IFERROR(INDEX(INDIRECT($D$5&amp;"[#All]"),MATCH(iWatchTb[[#This Row],[iWatch Order]],INDIRECT($D$5&amp;"[[#All],[iWatch Order]]"),0),1),INDEX(INDIRECT($D$5&amp;"_"&amp;$F$5&amp;"[#All]"),MATCH(iWatchTb[[#This Row],[iWatch Order]],INDIRECT($D$5&amp;"_"&amp;$F$5&amp;"[[#All],[iWatch Order]]"),0),1))</f>
        <v>#REF!</v>
      </c>
      <c r="D90" s="287" t="e">
        <f>VLOOKUP(iWatchTb[[#This Row],[iWatch '#]],CallTb[[#All],[iWatch '#]:[Free Text]],2,FALSE)</f>
        <v>#VALUE!</v>
      </c>
      <c r="E90" s="293" t="e">
        <f>IF(VLOOKUP(iWatchTb[[#This Row],[iWatch '#]],CallTb[[#All],[iWatch '#]:[Free Text]],3,FALSE)=0,"",VLOOKUP(iWatchTb[[#This Row],[iWatch '#]],CallTb[[#All],[iWatch '#]:[Free Text]],3,FALSE))</f>
        <v>#VALUE!</v>
      </c>
      <c r="F90" s="286" t="e">
        <f>IF(VLOOKUP(iWatchTb[[#This Row],[iWatch '#]],CallTb[[#All],[iWatch '#]:[Free Text]],6,FALSE)=0,"",VLOOKUP(iWatchTb[[#This Row],[iWatch '#]],CallTb[[#All],[iWatch '#]:[Free Text]],6,FALSE))</f>
        <v>#VALUE!</v>
      </c>
      <c r="G90" s="286" t="e">
        <f>VLOOKUP(iWatchTb[[#This Row],[iWatch '#]],CallTb[[#All],[iWatch '#]:[Free Text]],7,FALSE)</f>
        <v>#VALUE!</v>
      </c>
      <c r="H90" s="286" t="e">
        <f>VLOOKUP(iWatchTb[[#This Row],[iWatch '#]],CallTb[[#All],[iWatch '#]:[Free Text]],8,FALSE)</f>
        <v>#VALUE!</v>
      </c>
      <c r="I90" s="292" t="e">
        <f>VLOOKUP(iWatchTb[[#This Row],[iWatch '#]],CallTb[[#All],[iWatch '#]:[Free Text]],9,FALSE)</f>
        <v>#VALUE!</v>
      </c>
      <c r="J90" s="286" t="e">
        <f>VLOOKUP(iWatchTb[[#This Row],[iWatch '#]],CallTb[[#All],[iWatch '#]:[Free Text]],10,FALSE)</f>
        <v>#VALUE!</v>
      </c>
      <c r="K90" s="286" t="e">
        <f>VLOOKUP(LEFT(iWatchTb[[#This Row],[iWatch '#]],4),tblColoring[#Data],2,FALSE)</f>
        <v>#VALUE!</v>
      </c>
      <c r="L90" s="286" t="str">
        <f>IFERROR(IF(FIND("EFRAL",iWatchTb[[#This Row],[iWatch Questions]])&gt;0,"EFRAL"),"")</f>
        <v/>
      </c>
    </row>
    <row r="91" spans="2:12">
      <c r="B91" s="345"/>
      <c r="C91" s="285" t="e">
        <f ca="1">IFERROR(INDEX(INDIRECT($D$5&amp;"[#All]"),MATCH(iWatchTb[[#This Row],[iWatch Order]],INDIRECT($D$5&amp;"[[#All],[iWatch Order]]"),0),1),INDEX(INDIRECT($D$5&amp;"_"&amp;$F$5&amp;"[#All]"),MATCH(iWatchTb[[#This Row],[iWatch Order]],INDIRECT($D$5&amp;"_"&amp;$F$5&amp;"[[#All],[iWatch Order]]"),0),1))</f>
        <v>#REF!</v>
      </c>
      <c r="D91" s="287" t="e">
        <f>VLOOKUP(iWatchTb[[#This Row],[iWatch '#]],CallTb[[#All],[iWatch '#]:[Free Text]],2,FALSE)</f>
        <v>#VALUE!</v>
      </c>
      <c r="E91" s="293" t="e">
        <f>IF(VLOOKUP(iWatchTb[[#This Row],[iWatch '#]],CallTb[[#All],[iWatch '#]:[Free Text]],3,FALSE)=0,"",VLOOKUP(iWatchTb[[#This Row],[iWatch '#]],CallTb[[#All],[iWatch '#]:[Free Text]],3,FALSE))</f>
        <v>#VALUE!</v>
      </c>
      <c r="F91" s="286" t="e">
        <f>IF(VLOOKUP(iWatchTb[[#This Row],[iWatch '#]],CallTb[[#All],[iWatch '#]:[Free Text]],6,FALSE)=0,"",VLOOKUP(iWatchTb[[#This Row],[iWatch '#]],CallTb[[#All],[iWatch '#]:[Free Text]],6,FALSE))</f>
        <v>#VALUE!</v>
      </c>
      <c r="G91" s="286" t="e">
        <f>VLOOKUP(iWatchTb[[#This Row],[iWatch '#]],CallTb[[#All],[iWatch '#]:[Free Text]],7,FALSE)</f>
        <v>#VALUE!</v>
      </c>
      <c r="H91" s="286" t="e">
        <f>VLOOKUP(iWatchTb[[#This Row],[iWatch '#]],CallTb[[#All],[iWatch '#]:[Free Text]],8,FALSE)</f>
        <v>#VALUE!</v>
      </c>
      <c r="I91" s="292" t="e">
        <f>VLOOKUP(iWatchTb[[#This Row],[iWatch '#]],CallTb[[#All],[iWatch '#]:[Free Text]],9,FALSE)</f>
        <v>#VALUE!</v>
      </c>
      <c r="J91" s="286" t="e">
        <f>VLOOKUP(iWatchTb[[#This Row],[iWatch '#]],CallTb[[#All],[iWatch '#]:[Free Text]],10,FALSE)</f>
        <v>#VALUE!</v>
      </c>
      <c r="K91" s="286" t="e">
        <f>VLOOKUP(LEFT(iWatchTb[[#This Row],[iWatch '#]],4),tblColoring[#Data],2,FALSE)</f>
        <v>#VALUE!</v>
      </c>
      <c r="L91" s="286" t="str">
        <f>IFERROR(IF(FIND("EFRAL",iWatchTb[[#This Row],[iWatch Questions]])&gt;0,"EFRAL"),"")</f>
        <v/>
      </c>
    </row>
    <row r="92" spans="2:12">
      <c r="B92" s="345"/>
      <c r="C92" s="285" t="e">
        <f ca="1">IFERROR(INDEX(INDIRECT($D$5&amp;"[#All]"),MATCH(iWatchTb[[#This Row],[iWatch Order]],INDIRECT($D$5&amp;"[[#All],[iWatch Order]]"),0),1),INDEX(INDIRECT($D$5&amp;"_"&amp;$F$5&amp;"[#All]"),MATCH(iWatchTb[[#This Row],[iWatch Order]],INDIRECT($D$5&amp;"_"&amp;$F$5&amp;"[[#All],[iWatch Order]]"),0),1))</f>
        <v>#REF!</v>
      </c>
      <c r="D92" s="287" t="e">
        <f>VLOOKUP(iWatchTb[[#This Row],[iWatch '#]],CallTb[[#All],[iWatch '#]:[Free Text]],2,FALSE)</f>
        <v>#VALUE!</v>
      </c>
      <c r="E92" s="293" t="e">
        <f>IF(VLOOKUP(iWatchTb[[#This Row],[iWatch '#]],CallTb[[#All],[iWatch '#]:[Free Text]],3,FALSE)=0,"",VLOOKUP(iWatchTb[[#This Row],[iWatch '#]],CallTb[[#All],[iWatch '#]:[Free Text]],3,FALSE))</f>
        <v>#VALUE!</v>
      </c>
      <c r="F92" s="286" t="e">
        <f>IF(VLOOKUP(iWatchTb[[#This Row],[iWatch '#]],CallTb[[#All],[iWatch '#]:[Free Text]],6,FALSE)=0,"",VLOOKUP(iWatchTb[[#This Row],[iWatch '#]],CallTb[[#All],[iWatch '#]:[Free Text]],6,FALSE))</f>
        <v>#VALUE!</v>
      </c>
      <c r="G92" s="286" t="e">
        <f>VLOOKUP(iWatchTb[[#This Row],[iWatch '#]],CallTb[[#All],[iWatch '#]:[Free Text]],7,FALSE)</f>
        <v>#VALUE!</v>
      </c>
      <c r="H92" s="286" t="e">
        <f>VLOOKUP(iWatchTb[[#This Row],[iWatch '#]],CallTb[[#All],[iWatch '#]:[Free Text]],8,FALSE)</f>
        <v>#VALUE!</v>
      </c>
      <c r="I92" s="292" t="e">
        <f>VLOOKUP(iWatchTb[[#This Row],[iWatch '#]],CallTb[[#All],[iWatch '#]:[Free Text]],9,FALSE)</f>
        <v>#VALUE!</v>
      </c>
      <c r="J92" s="286" t="e">
        <f>VLOOKUP(iWatchTb[[#This Row],[iWatch '#]],CallTb[[#All],[iWatch '#]:[Free Text]],10,FALSE)</f>
        <v>#VALUE!</v>
      </c>
      <c r="K92" s="286" t="e">
        <f>VLOOKUP(LEFT(iWatchTb[[#This Row],[iWatch '#]],4),tblColoring[#Data],2,FALSE)</f>
        <v>#VALUE!</v>
      </c>
      <c r="L92" s="286" t="str">
        <f>IFERROR(IF(FIND("EFRAL",iWatchTb[[#This Row],[iWatch Questions]])&gt;0,"EFRAL"),"")</f>
        <v/>
      </c>
    </row>
    <row r="93" spans="2:12">
      <c r="B93" s="345"/>
      <c r="C93" s="285" t="e">
        <f ca="1">IFERROR(INDEX(INDIRECT($D$5&amp;"[#All]"),MATCH(iWatchTb[[#This Row],[iWatch Order]],INDIRECT($D$5&amp;"[[#All],[iWatch Order]]"),0),1),INDEX(INDIRECT($D$5&amp;"_"&amp;$F$5&amp;"[#All]"),MATCH(iWatchTb[[#This Row],[iWatch Order]],INDIRECT($D$5&amp;"_"&amp;$F$5&amp;"[[#All],[iWatch Order]]"),0),1))</f>
        <v>#REF!</v>
      </c>
      <c r="D93" s="287" t="e">
        <f>VLOOKUP(iWatchTb[[#This Row],[iWatch '#]],CallTb[[#All],[iWatch '#]:[Free Text]],2,FALSE)</f>
        <v>#VALUE!</v>
      </c>
      <c r="E93" s="293" t="e">
        <f>IF(VLOOKUP(iWatchTb[[#This Row],[iWatch '#]],CallTb[[#All],[iWatch '#]:[Free Text]],3,FALSE)=0,"",VLOOKUP(iWatchTb[[#This Row],[iWatch '#]],CallTb[[#All],[iWatch '#]:[Free Text]],3,FALSE))</f>
        <v>#VALUE!</v>
      </c>
      <c r="F93" s="286" t="e">
        <f>IF(VLOOKUP(iWatchTb[[#This Row],[iWatch '#]],CallTb[[#All],[iWatch '#]:[Free Text]],6,FALSE)=0,"",VLOOKUP(iWatchTb[[#This Row],[iWatch '#]],CallTb[[#All],[iWatch '#]:[Free Text]],6,FALSE))</f>
        <v>#VALUE!</v>
      </c>
      <c r="G93" s="286" t="e">
        <f>VLOOKUP(iWatchTb[[#This Row],[iWatch '#]],CallTb[[#All],[iWatch '#]:[Free Text]],7,FALSE)</f>
        <v>#VALUE!</v>
      </c>
      <c r="H93" s="286" t="e">
        <f>VLOOKUP(iWatchTb[[#This Row],[iWatch '#]],CallTb[[#All],[iWatch '#]:[Free Text]],8,FALSE)</f>
        <v>#VALUE!</v>
      </c>
      <c r="I93" s="292" t="e">
        <f>VLOOKUP(iWatchTb[[#This Row],[iWatch '#]],CallTb[[#All],[iWatch '#]:[Free Text]],9,FALSE)</f>
        <v>#VALUE!</v>
      </c>
      <c r="J93" s="286" t="e">
        <f>VLOOKUP(iWatchTb[[#This Row],[iWatch '#]],CallTb[[#All],[iWatch '#]:[Free Text]],10,FALSE)</f>
        <v>#VALUE!</v>
      </c>
      <c r="K93" s="286" t="e">
        <f>VLOOKUP(LEFT(iWatchTb[[#This Row],[iWatch '#]],4),tblColoring[#Data],2,FALSE)</f>
        <v>#VALUE!</v>
      </c>
      <c r="L93" s="286" t="str">
        <f>IFERROR(IF(FIND("EFRAL",iWatchTb[[#This Row],[iWatch Questions]])&gt;0,"EFRAL"),"")</f>
        <v/>
      </c>
    </row>
    <row r="94" spans="2:12">
      <c r="B94" s="345"/>
      <c r="C94" s="285" t="e">
        <f ca="1">IFERROR(INDEX(INDIRECT($D$5&amp;"[#All]"),MATCH(iWatchTb[[#This Row],[iWatch Order]],INDIRECT($D$5&amp;"[[#All],[iWatch Order]]"),0),1),INDEX(INDIRECT($D$5&amp;"_"&amp;$F$5&amp;"[#All]"),MATCH(iWatchTb[[#This Row],[iWatch Order]],INDIRECT($D$5&amp;"_"&amp;$F$5&amp;"[[#All],[iWatch Order]]"),0),1))</f>
        <v>#REF!</v>
      </c>
      <c r="D94" s="287" t="e">
        <f>VLOOKUP(iWatchTb[[#This Row],[iWatch '#]],CallTb[[#All],[iWatch '#]:[Free Text]],2,FALSE)</f>
        <v>#VALUE!</v>
      </c>
      <c r="E94" s="293" t="e">
        <f>IF(VLOOKUP(iWatchTb[[#This Row],[iWatch '#]],CallTb[[#All],[iWatch '#]:[Free Text]],3,FALSE)=0,"",VLOOKUP(iWatchTb[[#This Row],[iWatch '#]],CallTb[[#All],[iWatch '#]:[Free Text]],3,FALSE))</f>
        <v>#VALUE!</v>
      </c>
      <c r="F94" s="286" t="e">
        <f>IF(VLOOKUP(iWatchTb[[#This Row],[iWatch '#]],CallTb[[#All],[iWatch '#]:[Free Text]],6,FALSE)=0,"",VLOOKUP(iWatchTb[[#This Row],[iWatch '#]],CallTb[[#All],[iWatch '#]:[Free Text]],6,FALSE))</f>
        <v>#VALUE!</v>
      </c>
      <c r="G94" s="286" t="e">
        <f>VLOOKUP(iWatchTb[[#This Row],[iWatch '#]],CallTb[[#All],[iWatch '#]:[Free Text]],7,FALSE)</f>
        <v>#VALUE!</v>
      </c>
      <c r="H94" s="286" t="e">
        <f>VLOOKUP(iWatchTb[[#This Row],[iWatch '#]],CallTb[[#All],[iWatch '#]:[Free Text]],8,FALSE)</f>
        <v>#VALUE!</v>
      </c>
      <c r="I94" s="292" t="e">
        <f>VLOOKUP(iWatchTb[[#This Row],[iWatch '#]],CallTb[[#All],[iWatch '#]:[Free Text]],9,FALSE)</f>
        <v>#VALUE!</v>
      </c>
      <c r="J94" s="286" t="e">
        <f>VLOOKUP(iWatchTb[[#This Row],[iWatch '#]],CallTb[[#All],[iWatch '#]:[Free Text]],10,FALSE)</f>
        <v>#VALUE!</v>
      </c>
      <c r="K94" s="286" t="e">
        <f>VLOOKUP(LEFT(iWatchTb[[#This Row],[iWatch '#]],4),tblColoring[#Data],2,FALSE)</f>
        <v>#VALUE!</v>
      </c>
      <c r="L94" s="286" t="str">
        <f>IFERROR(IF(FIND("EFRAL",iWatchTb[[#This Row],[iWatch Questions]])&gt;0,"EFRAL"),"")</f>
        <v/>
      </c>
    </row>
    <row r="95" spans="2:12">
      <c r="B95" s="345"/>
      <c r="C95" s="285" t="e">
        <f ca="1">IFERROR(INDEX(INDIRECT($D$5&amp;"[#All]"),MATCH(iWatchTb[[#This Row],[iWatch Order]],INDIRECT($D$5&amp;"[[#All],[iWatch Order]]"),0),1),INDEX(INDIRECT($D$5&amp;"_"&amp;$F$5&amp;"[#All]"),MATCH(iWatchTb[[#This Row],[iWatch Order]],INDIRECT($D$5&amp;"_"&amp;$F$5&amp;"[[#All],[iWatch Order]]"),0),1))</f>
        <v>#REF!</v>
      </c>
      <c r="D95" s="287" t="e">
        <f>VLOOKUP(iWatchTb[[#This Row],[iWatch '#]],CallTb[[#All],[iWatch '#]:[Free Text]],2,FALSE)</f>
        <v>#VALUE!</v>
      </c>
      <c r="E95" s="293" t="e">
        <f>IF(VLOOKUP(iWatchTb[[#This Row],[iWatch '#]],CallTb[[#All],[iWatch '#]:[Free Text]],3,FALSE)=0,"",VLOOKUP(iWatchTb[[#This Row],[iWatch '#]],CallTb[[#All],[iWatch '#]:[Free Text]],3,FALSE))</f>
        <v>#VALUE!</v>
      </c>
      <c r="F95" s="286" t="e">
        <f>IF(VLOOKUP(iWatchTb[[#This Row],[iWatch '#]],CallTb[[#All],[iWatch '#]:[Free Text]],6,FALSE)=0,"",VLOOKUP(iWatchTb[[#This Row],[iWatch '#]],CallTb[[#All],[iWatch '#]:[Free Text]],6,FALSE))</f>
        <v>#VALUE!</v>
      </c>
      <c r="G95" s="286" t="e">
        <f>VLOOKUP(iWatchTb[[#This Row],[iWatch '#]],CallTb[[#All],[iWatch '#]:[Free Text]],7,FALSE)</f>
        <v>#VALUE!</v>
      </c>
      <c r="H95" s="286" t="e">
        <f>VLOOKUP(iWatchTb[[#This Row],[iWatch '#]],CallTb[[#All],[iWatch '#]:[Free Text]],8,FALSE)</f>
        <v>#VALUE!</v>
      </c>
      <c r="I95" s="292" t="e">
        <f>VLOOKUP(iWatchTb[[#This Row],[iWatch '#]],CallTb[[#All],[iWatch '#]:[Free Text]],9,FALSE)</f>
        <v>#VALUE!</v>
      </c>
      <c r="J95" s="286" t="e">
        <f>VLOOKUP(iWatchTb[[#This Row],[iWatch '#]],CallTb[[#All],[iWatch '#]:[Free Text]],10,FALSE)</f>
        <v>#VALUE!</v>
      </c>
      <c r="K95" s="286" t="e">
        <f>VLOOKUP(LEFT(iWatchTb[[#This Row],[iWatch '#]],4),tblColoring[#Data],2,FALSE)</f>
        <v>#VALUE!</v>
      </c>
      <c r="L95" s="286" t="str">
        <f>IFERROR(IF(FIND("EFRAL",iWatchTb[[#This Row],[iWatch Questions]])&gt;0,"EFRAL"),"")</f>
        <v/>
      </c>
    </row>
    <row r="96" spans="2:12">
      <c r="B96" s="345"/>
      <c r="C96" s="285" t="e">
        <f ca="1">IFERROR(INDEX(INDIRECT($D$5&amp;"[#All]"),MATCH(iWatchTb[[#This Row],[iWatch Order]],INDIRECT($D$5&amp;"[[#All],[iWatch Order]]"),0),1),INDEX(INDIRECT($D$5&amp;"_"&amp;$F$5&amp;"[#All]"),MATCH(iWatchTb[[#This Row],[iWatch Order]],INDIRECT($D$5&amp;"_"&amp;$F$5&amp;"[[#All],[iWatch Order]]"),0),1))</f>
        <v>#REF!</v>
      </c>
      <c r="D96" s="287" t="e">
        <f>VLOOKUP(iWatchTb[[#This Row],[iWatch '#]],CallTb[[#All],[iWatch '#]:[Free Text]],2,FALSE)</f>
        <v>#VALUE!</v>
      </c>
      <c r="E96" s="293" t="e">
        <f>IF(VLOOKUP(iWatchTb[[#This Row],[iWatch '#]],CallTb[[#All],[iWatch '#]:[Free Text]],3,FALSE)=0,"",VLOOKUP(iWatchTb[[#This Row],[iWatch '#]],CallTb[[#All],[iWatch '#]:[Free Text]],3,FALSE))</f>
        <v>#VALUE!</v>
      </c>
      <c r="F96" s="286" t="e">
        <f>IF(VLOOKUP(iWatchTb[[#This Row],[iWatch '#]],CallTb[[#All],[iWatch '#]:[Free Text]],6,FALSE)=0,"",VLOOKUP(iWatchTb[[#This Row],[iWatch '#]],CallTb[[#All],[iWatch '#]:[Free Text]],6,FALSE))</f>
        <v>#VALUE!</v>
      </c>
      <c r="G96" s="286" t="e">
        <f>VLOOKUP(iWatchTb[[#This Row],[iWatch '#]],CallTb[[#All],[iWatch '#]:[Free Text]],7,FALSE)</f>
        <v>#VALUE!</v>
      </c>
      <c r="H96" s="286" t="e">
        <f>VLOOKUP(iWatchTb[[#This Row],[iWatch '#]],CallTb[[#All],[iWatch '#]:[Free Text]],8,FALSE)</f>
        <v>#VALUE!</v>
      </c>
      <c r="I96" s="292" t="e">
        <f>VLOOKUP(iWatchTb[[#This Row],[iWatch '#]],CallTb[[#All],[iWatch '#]:[Free Text]],9,FALSE)</f>
        <v>#VALUE!</v>
      </c>
      <c r="J96" s="286" t="e">
        <f>VLOOKUP(iWatchTb[[#This Row],[iWatch '#]],CallTb[[#All],[iWatch '#]:[Free Text]],10,FALSE)</f>
        <v>#VALUE!</v>
      </c>
      <c r="K96" s="286" t="e">
        <f>VLOOKUP(LEFT(iWatchTb[[#This Row],[iWatch '#]],4),tblColoring[#Data],2,FALSE)</f>
        <v>#VALUE!</v>
      </c>
      <c r="L96" s="286" t="str">
        <f>IFERROR(IF(FIND("EFRAL",iWatchTb[[#This Row],[iWatch Questions]])&gt;0,"EFRAL"),"")</f>
        <v/>
      </c>
    </row>
    <row r="97" spans="2:12">
      <c r="B97" s="345"/>
      <c r="C97" s="285" t="e">
        <f ca="1">IFERROR(INDEX(INDIRECT($D$5&amp;"[#All]"),MATCH(iWatchTb[[#This Row],[iWatch Order]],INDIRECT($D$5&amp;"[[#All],[iWatch Order]]"),0),1),INDEX(INDIRECT($D$5&amp;"_"&amp;$F$5&amp;"[#All]"),MATCH(iWatchTb[[#This Row],[iWatch Order]],INDIRECT($D$5&amp;"_"&amp;$F$5&amp;"[[#All],[iWatch Order]]"),0),1))</f>
        <v>#REF!</v>
      </c>
      <c r="D97" s="287" t="e">
        <f>VLOOKUP(iWatchTb[[#This Row],[iWatch '#]],CallTb[[#All],[iWatch '#]:[Free Text]],2,FALSE)</f>
        <v>#VALUE!</v>
      </c>
      <c r="E97" s="293" t="e">
        <f>IF(VLOOKUP(iWatchTb[[#This Row],[iWatch '#]],CallTb[[#All],[iWatch '#]:[Free Text]],3,FALSE)=0,"",VLOOKUP(iWatchTb[[#This Row],[iWatch '#]],CallTb[[#All],[iWatch '#]:[Free Text]],3,FALSE))</f>
        <v>#VALUE!</v>
      </c>
      <c r="F97" s="286" t="e">
        <f>IF(VLOOKUP(iWatchTb[[#This Row],[iWatch '#]],CallTb[[#All],[iWatch '#]:[Free Text]],6,FALSE)=0,"",VLOOKUP(iWatchTb[[#This Row],[iWatch '#]],CallTb[[#All],[iWatch '#]:[Free Text]],6,FALSE))</f>
        <v>#VALUE!</v>
      </c>
      <c r="G97" s="286" t="e">
        <f>VLOOKUP(iWatchTb[[#This Row],[iWatch '#]],CallTb[[#All],[iWatch '#]:[Free Text]],7,FALSE)</f>
        <v>#VALUE!</v>
      </c>
      <c r="H97" s="286" t="e">
        <f>VLOOKUP(iWatchTb[[#This Row],[iWatch '#]],CallTb[[#All],[iWatch '#]:[Free Text]],8,FALSE)</f>
        <v>#VALUE!</v>
      </c>
      <c r="I97" s="292" t="e">
        <f>VLOOKUP(iWatchTb[[#This Row],[iWatch '#]],CallTb[[#All],[iWatch '#]:[Free Text]],9,FALSE)</f>
        <v>#VALUE!</v>
      </c>
      <c r="J97" s="286" t="e">
        <f>VLOOKUP(iWatchTb[[#This Row],[iWatch '#]],CallTb[[#All],[iWatch '#]:[Free Text]],10,FALSE)</f>
        <v>#VALUE!</v>
      </c>
      <c r="K97" s="286" t="e">
        <f>VLOOKUP(LEFT(iWatchTb[[#This Row],[iWatch '#]],4),tblColoring[#Data],2,FALSE)</f>
        <v>#VALUE!</v>
      </c>
      <c r="L97" s="286" t="str">
        <f>IFERROR(IF(FIND("EFRAL",iWatchTb[[#This Row],[iWatch Questions]])&gt;0,"EFRAL"),"")</f>
        <v/>
      </c>
    </row>
    <row r="98" spans="2:12">
      <c r="B98" s="345"/>
      <c r="C98" s="285" t="e">
        <f ca="1">IFERROR(INDEX(INDIRECT($D$5&amp;"[#All]"),MATCH(iWatchTb[[#This Row],[iWatch Order]],INDIRECT($D$5&amp;"[[#All],[iWatch Order]]"),0),1),INDEX(INDIRECT($D$5&amp;"_"&amp;$F$5&amp;"[#All]"),MATCH(iWatchTb[[#This Row],[iWatch Order]],INDIRECT($D$5&amp;"_"&amp;$F$5&amp;"[[#All],[iWatch Order]]"),0),1))</f>
        <v>#REF!</v>
      </c>
      <c r="D98" s="287" t="e">
        <f>VLOOKUP(iWatchTb[[#This Row],[iWatch '#]],CallTb[[#All],[iWatch '#]:[Free Text]],2,FALSE)</f>
        <v>#VALUE!</v>
      </c>
      <c r="E98" s="293" t="e">
        <f>IF(VLOOKUP(iWatchTb[[#This Row],[iWatch '#]],CallTb[[#All],[iWatch '#]:[Free Text]],3,FALSE)=0,"",VLOOKUP(iWatchTb[[#This Row],[iWatch '#]],CallTb[[#All],[iWatch '#]:[Free Text]],3,FALSE))</f>
        <v>#VALUE!</v>
      </c>
      <c r="F98" s="286" t="e">
        <f>IF(VLOOKUP(iWatchTb[[#This Row],[iWatch '#]],CallTb[[#All],[iWatch '#]:[Free Text]],6,FALSE)=0,"",VLOOKUP(iWatchTb[[#This Row],[iWatch '#]],CallTb[[#All],[iWatch '#]:[Free Text]],6,FALSE))</f>
        <v>#VALUE!</v>
      </c>
      <c r="G98" s="286" t="e">
        <f>VLOOKUP(iWatchTb[[#This Row],[iWatch '#]],CallTb[[#All],[iWatch '#]:[Free Text]],7,FALSE)</f>
        <v>#VALUE!</v>
      </c>
      <c r="H98" s="286" t="e">
        <f>VLOOKUP(iWatchTb[[#This Row],[iWatch '#]],CallTb[[#All],[iWatch '#]:[Free Text]],8,FALSE)</f>
        <v>#VALUE!</v>
      </c>
      <c r="I98" s="292" t="e">
        <f>VLOOKUP(iWatchTb[[#This Row],[iWatch '#]],CallTb[[#All],[iWatch '#]:[Free Text]],9,FALSE)</f>
        <v>#VALUE!</v>
      </c>
      <c r="J98" s="286" t="e">
        <f>VLOOKUP(iWatchTb[[#This Row],[iWatch '#]],CallTb[[#All],[iWatch '#]:[Free Text]],10,FALSE)</f>
        <v>#VALUE!</v>
      </c>
      <c r="K98" s="286" t="e">
        <f>VLOOKUP(LEFT(iWatchTb[[#This Row],[iWatch '#]],4),tblColoring[#Data],2,FALSE)</f>
        <v>#VALUE!</v>
      </c>
      <c r="L98" s="286" t="str">
        <f>IFERROR(IF(FIND("EFRAL",iWatchTb[[#This Row],[iWatch Questions]])&gt;0,"EFRAL"),"")</f>
        <v/>
      </c>
    </row>
    <row r="99" spans="2:12">
      <c r="B99" s="345"/>
      <c r="C99" s="285" t="e">
        <f ca="1">IFERROR(INDEX(INDIRECT($D$5&amp;"[#All]"),MATCH(iWatchTb[[#This Row],[iWatch Order]],INDIRECT($D$5&amp;"[[#All],[iWatch Order]]"),0),1),INDEX(INDIRECT($D$5&amp;"_"&amp;$F$5&amp;"[#All]"),MATCH(iWatchTb[[#This Row],[iWatch Order]],INDIRECT($D$5&amp;"_"&amp;$F$5&amp;"[[#All],[iWatch Order]]"),0),1))</f>
        <v>#REF!</v>
      </c>
      <c r="D99" s="287" t="e">
        <f>VLOOKUP(iWatchTb[[#This Row],[iWatch '#]],CallTb[[#All],[iWatch '#]:[Free Text]],2,FALSE)</f>
        <v>#VALUE!</v>
      </c>
      <c r="E99" s="293" t="e">
        <f>IF(VLOOKUP(iWatchTb[[#This Row],[iWatch '#]],CallTb[[#All],[iWatch '#]:[Free Text]],3,FALSE)=0,"",VLOOKUP(iWatchTb[[#This Row],[iWatch '#]],CallTb[[#All],[iWatch '#]:[Free Text]],3,FALSE))</f>
        <v>#VALUE!</v>
      </c>
      <c r="F99" s="286" t="e">
        <f>IF(VLOOKUP(iWatchTb[[#This Row],[iWatch '#]],CallTb[[#All],[iWatch '#]:[Free Text]],6,FALSE)=0,"",VLOOKUP(iWatchTb[[#This Row],[iWatch '#]],CallTb[[#All],[iWatch '#]:[Free Text]],6,FALSE))</f>
        <v>#VALUE!</v>
      </c>
      <c r="G99" s="286" t="e">
        <f>VLOOKUP(iWatchTb[[#This Row],[iWatch '#]],CallTb[[#All],[iWatch '#]:[Free Text]],7,FALSE)</f>
        <v>#VALUE!</v>
      </c>
      <c r="H99" s="286" t="e">
        <f>VLOOKUP(iWatchTb[[#This Row],[iWatch '#]],CallTb[[#All],[iWatch '#]:[Free Text]],8,FALSE)</f>
        <v>#VALUE!</v>
      </c>
      <c r="I99" s="292" t="e">
        <f>VLOOKUP(iWatchTb[[#This Row],[iWatch '#]],CallTb[[#All],[iWatch '#]:[Free Text]],9,FALSE)</f>
        <v>#VALUE!</v>
      </c>
      <c r="J99" s="286" t="e">
        <f>VLOOKUP(iWatchTb[[#This Row],[iWatch '#]],CallTb[[#All],[iWatch '#]:[Free Text]],10,FALSE)</f>
        <v>#VALUE!</v>
      </c>
      <c r="K99" s="286" t="e">
        <f>VLOOKUP(LEFT(iWatchTb[[#This Row],[iWatch '#]],4),tblColoring[#Data],2,FALSE)</f>
        <v>#VALUE!</v>
      </c>
      <c r="L99" s="286" t="str">
        <f>IFERROR(IF(FIND("EFRAL",iWatchTb[[#This Row],[iWatch Questions]])&gt;0,"EFRAL"),"")</f>
        <v/>
      </c>
    </row>
    <row r="100" spans="2:12">
      <c r="B100" s="345"/>
      <c r="C100" s="285"/>
      <c r="D100" s="287"/>
      <c r="E100" s="293"/>
      <c r="F100" s="286"/>
      <c r="G100" s="286"/>
      <c r="H100" s="286"/>
      <c r="I100" s="292"/>
      <c r="J100" s="286"/>
      <c r="K100" s="286"/>
      <c r="L100" s="286"/>
    </row>
    <row r="101" spans="2:12">
      <c r="B101" s="286"/>
      <c r="C101" s="285"/>
      <c r="D101" s="287"/>
      <c r="E101" s="293"/>
      <c r="F101" s="286"/>
      <c r="G101" s="286"/>
      <c r="H101" s="286"/>
      <c r="I101" s="292"/>
      <c r="J101" s="286"/>
      <c r="K101" s="286"/>
      <c r="L101" s="286"/>
    </row>
    <row r="102" spans="2:12">
      <c r="B102" s="286"/>
      <c r="C102" s="285"/>
      <c r="D102" s="287"/>
      <c r="E102" s="293"/>
      <c r="F102" s="286"/>
      <c r="G102" s="286"/>
      <c r="H102" s="286"/>
      <c r="I102" s="292"/>
      <c r="J102" s="286"/>
      <c r="K102" s="286"/>
      <c r="L102" s="286"/>
    </row>
    <row r="103" spans="2:12">
      <c r="B103" s="286"/>
      <c r="C103" s="285"/>
      <c r="D103" s="287"/>
      <c r="E103" s="293"/>
      <c r="F103" s="286"/>
      <c r="G103" s="286"/>
      <c r="H103" s="286"/>
      <c r="I103" s="292"/>
      <c r="J103" s="286"/>
      <c r="K103" s="286"/>
      <c r="L103" s="286"/>
    </row>
    <row r="104" spans="2:12">
      <c r="B104" s="286"/>
      <c r="C104" s="285"/>
      <c r="D104" s="287"/>
      <c r="E104" s="293"/>
      <c r="F104" s="286"/>
      <c r="G104" s="286"/>
      <c r="H104" s="286"/>
      <c r="I104" s="292"/>
      <c r="J104" s="286"/>
      <c r="K104" s="286"/>
      <c r="L104" s="286"/>
    </row>
  </sheetData>
  <sheetProtection algorithmName="SHA-512" hashValue="IavSN3QBPQjKngT7yjm0P3Cf1t2O2Da9uLKZNFGnBU9NEGYf4Vtw+QQZwiPfPi27tAYMuJT5clbwsWp0hOgS9A==" saltValue="s+xb1aBkRiufZA2YSM4duA==" spinCount="100000" sheet="1" objects="1" scenarios="1" autoFilter="0"/>
  <protectedRanges>
    <protectedRange sqref="F8:H10 E7:E52" name="Range1_13_2_1"/>
    <protectedRange sqref="C2" name="Range1_1_2_1"/>
    <protectedRange sqref="F3" name="Range1_1_3"/>
    <protectedRange sqref="E4" name="Range1_1_5_2"/>
    <protectedRange sqref="G4:H4" name="Range1_1_4"/>
    <protectedRange sqref="I2" name="Range1_1_7"/>
    <protectedRange sqref="I3:I4" name="Range1_1_2_2"/>
    <protectedRange sqref="J3" name="Range1_1_2_3"/>
  </protectedRanges>
  <conditionalFormatting sqref="D2">
    <cfRule type="expression" dxfId="931" priority="27">
      <formula>#REF!="YES"</formula>
    </cfRule>
  </conditionalFormatting>
  <conditionalFormatting sqref="F2">
    <cfRule type="expression" dxfId="930" priority="26">
      <formula>#REF!="YES"</formula>
    </cfRule>
  </conditionalFormatting>
  <conditionalFormatting sqref="F4">
    <cfRule type="expression" dxfId="929" priority="25">
      <formula>#REF!="YES"</formula>
    </cfRule>
  </conditionalFormatting>
  <conditionalFormatting sqref="F3">
    <cfRule type="expression" dxfId="928" priority="24">
      <formula>(#REF!="Yes")</formula>
    </cfRule>
  </conditionalFormatting>
  <conditionalFormatting sqref="H4">
    <cfRule type="expression" dxfId="927" priority="23">
      <formula>(#REF!="Yes")</formula>
    </cfRule>
  </conditionalFormatting>
  <conditionalFormatting sqref="D3">
    <cfRule type="expression" dxfId="926" priority="22">
      <formula>#REF!="YES"</formula>
    </cfRule>
  </conditionalFormatting>
  <conditionalFormatting sqref="D2:D4">
    <cfRule type="cellIs" dxfId="925" priority="21" operator="equal">
      <formula>0</formula>
    </cfRule>
  </conditionalFormatting>
  <conditionalFormatting sqref="F2:F4">
    <cfRule type="cellIs" dxfId="924" priority="20" operator="equal">
      <formula>0</formula>
    </cfRule>
  </conditionalFormatting>
  <conditionalFormatting sqref="H2">
    <cfRule type="cellIs" dxfId="923" priority="19" operator="equal">
      <formula>0</formula>
    </cfRule>
  </conditionalFormatting>
  <conditionalFormatting sqref="F7:F47">
    <cfRule type="expression" dxfId="922" priority="15">
      <formula>AND($F7=0,$K7="Blue",$F7="No")</formula>
    </cfRule>
    <cfRule type="expression" dxfId="921" priority="16">
      <formula>AND($F7=0,$K7="Grey",$F7="No")</formula>
    </cfRule>
    <cfRule type="cellIs" dxfId="920" priority="28" operator="equal">
      <formula>"YES"</formula>
    </cfRule>
  </conditionalFormatting>
  <conditionalFormatting sqref="B7:K47">
    <cfRule type="expression" dxfId="919" priority="17">
      <formula>$K7="Blue"</formula>
    </cfRule>
    <cfRule type="expression" dxfId="918" priority="18">
      <formula>$K7="Grey"</formula>
    </cfRule>
  </conditionalFormatting>
  <conditionalFormatting sqref="G7:G47">
    <cfRule type="expression" dxfId="917" priority="5">
      <formula>AND(G7=0,K7="Blue")</formula>
    </cfRule>
    <cfRule type="expression" dxfId="916" priority="6">
      <formula>AND(G7=0,K7="Grey")</formula>
    </cfRule>
    <cfRule type="expression" dxfId="915" priority="13">
      <formula>AND($G7=0,$K7="Blue",$F7="No")</formula>
    </cfRule>
    <cfRule type="expression" dxfId="914" priority="14">
      <formula>AND($G7=0,$K7="Grey",$F7="No")</formula>
    </cfRule>
  </conditionalFormatting>
  <conditionalFormatting sqref="F5">
    <cfRule type="expression" dxfId="913" priority="12">
      <formula>#REF!="YES"</formula>
    </cfRule>
  </conditionalFormatting>
  <conditionalFormatting sqref="H5">
    <cfRule type="expression" dxfId="912" priority="11">
      <formula>(#REF!="Yes")</formula>
    </cfRule>
  </conditionalFormatting>
  <conditionalFormatting sqref="D5">
    <cfRule type="cellIs" dxfId="911" priority="10" operator="equal">
      <formula>0</formula>
    </cfRule>
  </conditionalFormatting>
  <conditionalFormatting sqref="F5">
    <cfRule type="cellIs" dxfId="910" priority="9" operator="equal">
      <formula>0</formula>
    </cfRule>
  </conditionalFormatting>
  <conditionalFormatting sqref="C7:I47">
    <cfRule type="expression" dxfId="909" priority="8">
      <formula>AND($F7="No",$L7="",LEN($E7)&gt;2)</formula>
    </cfRule>
  </conditionalFormatting>
  <conditionalFormatting sqref="E7:E47">
    <cfRule type="expression" dxfId="908" priority="7">
      <formula>AND(E7=0,K7="Grey")</formula>
    </cfRule>
  </conditionalFormatting>
  <conditionalFormatting sqref="J7:J47">
    <cfRule type="expression" dxfId="907" priority="3">
      <formula>AND(J7=0,K7="Blue")</formula>
    </cfRule>
    <cfRule type="expression" dxfId="906" priority="4">
      <formula>AND(J7=0,K7="Grey")</formula>
    </cfRule>
  </conditionalFormatting>
  <conditionalFormatting sqref="J3">
    <cfRule type="expression" dxfId="905" priority="2">
      <formula>J3&gt;0</formula>
    </cfRule>
  </conditionalFormatting>
  <conditionalFormatting sqref="J4">
    <cfRule type="expression" dxfId="904" priority="1">
      <formula>$J$4&gt;0</formula>
    </cfRule>
  </conditionalFormatting>
  <dataValidations disablePrompts="1" count="1">
    <dataValidation showInputMessage="1" showErrorMessage="1" sqref="F5" xr:uid="{709F5795-523A-4AFB-B723-75E50EC28580}"/>
  </dataValidations>
  <pageMargins left="0.7" right="0.7" top="0.75" bottom="0.75" header="0.3" footer="0.3"/>
  <pageSetup orientation="portrait" r:id="rId1"/>
  <headerFooter>
    <oddFooter>&amp;L&amp;1#&amp;"Calibri"&amp;10&amp;K000000Classification: Western Union Unrestricted Internal</oddFooter>
  </headerFooter>
  <customProperties>
    <customPr name="workbookAdvencedSettings" r:id="rId2"/>
    <customPr name="workbookExecutionSettings" r:id="rId3"/>
    <customPr name="workbookGatewaySettings" r:id="rId4"/>
  </customProperties>
  <drawing r:id="rId5"/>
  <tableParts count="1">
    <tablePart r:id="rId6"/>
  </tableParts>
  <extLst>
    <ext xmlns:x15="http://schemas.microsoft.com/office/spreadsheetml/2010/11/main" uri="{3A4CF648-6AED-40f4-86FF-DC5316D8AED3}">
      <x14:slicerList xmlns:x14="http://schemas.microsoft.com/office/spreadsheetml/2009/9/main">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C4C7E-B145-4EEC-9056-F8F0CABD9D85}">
  <sheetPr codeName="Sheet4"/>
  <dimension ref="B1:AF96"/>
  <sheetViews>
    <sheetView showGridLines="0" zoomScaleNormal="100" workbookViewId="0">
      <pane xSplit="1" ySplit="1" topLeftCell="B2" activePane="bottomRight" state="frozen"/>
      <selection pane="topRight" activeCell="B1" sqref="B1"/>
      <selection pane="bottomLeft" activeCell="A2" sqref="A2"/>
      <selection pane="bottomRight" activeCell="B2" sqref="B2:Q94"/>
    </sheetView>
  </sheetViews>
  <sheetFormatPr defaultRowHeight="14.5"/>
  <cols>
    <col min="1" max="1" width="2" customWidth="1"/>
    <col min="2" max="2" width="10.54296875" customWidth="1"/>
    <col min="3" max="3" width="9.453125" customWidth="1"/>
    <col min="4" max="4" width="17.453125" bestFit="1" customWidth="1"/>
    <col min="5" max="5" width="42.54296875" bestFit="1" customWidth="1"/>
    <col min="6" max="6" width="9.453125" customWidth="1"/>
    <col min="7" max="7" width="16.54296875" customWidth="1"/>
    <col min="8" max="8" width="19.54296875" customWidth="1"/>
    <col min="9" max="9" width="11" customWidth="1"/>
    <col min="10" max="10" width="9.453125" customWidth="1"/>
    <col min="11" max="11" width="23.54296875" customWidth="1"/>
    <col min="12" max="12" width="13.54296875" customWidth="1"/>
    <col min="13" max="13" width="10.453125" customWidth="1"/>
    <col min="14" max="14" width="19.453125" customWidth="1"/>
    <col min="15" max="15" width="18.453125" customWidth="1"/>
    <col min="16" max="16" width="12.54296875" customWidth="1"/>
    <col min="21" max="21" width="31" style="176" customWidth="1"/>
    <col min="22" max="22" width="16.453125" style="7" customWidth="1"/>
    <col min="26" max="26" width="51.54296875" customWidth="1"/>
    <col min="27" max="27" width="15.54296875" customWidth="1"/>
    <col min="29" max="29" width="58.81640625" bestFit="1" customWidth="1"/>
    <col min="30" max="33" width="24" customWidth="1"/>
  </cols>
  <sheetData>
    <row r="1" spans="2:32" ht="15" thickBot="1">
      <c r="B1" s="172" t="s">
        <v>120</v>
      </c>
      <c r="C1" s="172" t="s">
        <v>74</v>
      </c>
      <c r="D1" s="172" t="s">
        <v>121</v>
      </c>
      <c r="E1" s="173" t="s">
        <v>71</v>
      </c>
      <c r="F1" s="172" t="s">
        <v>76</v>
      </c>
      <c r="G1" s="172" t="s">
        <v>122</v>
      </c>
      <c r="H1" s="174" t="s">
        <v>123</v>
      </c>
      <c r="I1" s="173" t="s">
        <v>32</v>
      </c>
      <c r="J1" s="173" t="s">
        <v>124</v>
      </c>
      <c r="K1" s="174" t="s">
        <v>125</v>
      </c>
      <c r="L1" s="173" t="s">
        <v>126</v>
      </c>
      <c r="M1" s="174" t="s">
        <v>127</v>
      </c>
      <c r="N1" s="175" t="s">
        <v>128</v>
      </c>
      <c r="O1" s="175" t="s">
        <v>129</v>
      </c>
      <c r="P1" s="175" t="s">
        <v>130</v>
      </c>
      <c r="Q1" s="172" t="s">
        <v>131</v>
      </c>
    </row>
    <row r="2" spans="2:32" ht="15" customHeight="1">
      <c r="H2" t="str" cm="1">
        <f t="array" ref="H2">Requirement('Call Flow'!$D$4,tblFLPrep[[#This Row],[Answer]],tblFLPrep[[#This Row],[Fynding Type]])&amp;IF(tblFLPrep[[#This Row],[Add Missing]]="Yes","No","")</f>
        <v/>
      </c>
      <c r="I2" t="str">
        <f>_xlfn.IFS(tblFLPrep[[#This Row],[Add Missing]]="Yes","N/A",OR(tblFLPrep[[#This Row],[Follow Up Required]]="YES",tblFLPrep[[#This Row],[Follow Up Required]]="SI"),LocationInfo[Due Date],tblFLPrep[[#This Row],[Follow Up Required]]="NO*","N/A",tblFLPrep[[#This Row],[Follow Up Required]]="NO","N/A",tblFLPrep[[#This Row],[Follow Up Required]]="","")</f>
        <v/>
      </c>
      <c r="J2" t="str">
        <f>IF(((tblFLPrep[[#This Row],[Section]]&lt;&gt;"")*((tblFLPrep[[#This Row],[Follow Up Required]]="Yes")+(tblFLPrep[[#This Row],[Follow Up Required]]="No"))),"A","")</f>
        <v/>
      </c>
      <c r="L2" t="str">
        <f>IFERROR(IF(AND(COUNTIF($E$1:E2,tblFLPrep[[#This Row],[Section]])=1,E2&lt;&gt;0,D2=""),"Yes",""),"")</f>
        <v/>
      </c>
      <c r="N2" t="str">
        <f>IF(tblFLPrep[[#This Row],[Sorting]]="","",SUM($M$1:M58))</f>
        <v/>
      </c>
      <c r="O2">
        <f>_xlfn.IFS(P1="Numbering",1,AND(tblFLPrep[[#This Row],[Counting findings2]]&gt;=1,tblFLPrep[[#This Row],[Counting findings2]]&lt;=600),O1+P1,AND(tblFLPrep[[#This Row],[Counting findings2]]&gt;=601,tblFLPrep[[#This Row],[Counting findings2]]&lt;=1200),IF(AND(N1&lt;=600,N2&gt;=600),(12-O1),0)+O1+P1,AND(tblFLPrep[[#This Row],[Counting findings2]]&gt;=1201,tblFLPrep[[#This Row],[Counting findings2]]&lt;=1800),IF(AND(N1&lt;=1200,N2&gt;=1200),(24-O1),0)+O1+P1,AND(tblFLPrep[[#This Row],[Counting findings2]]&gt;=1801,tblFLPrep[[#This Row],[Counting findings2]]&lt;=2400),IF(AND(N1&lt;=1800,N2&gt;=1800),(36-O1),0)+O1+P1,AND(tblFLPrep[[#This Row],[Counting findings2]]&gt;=2401,tblFLPrep[[#This Row],[Counting findings2]]&lt;=3000),IF(AND(N1&lt;=2400,N2&gt;=2400),(48-O1),0)+O1+P1,AND(tblFLPrep[[#This Row],[Counting findings2]]&gt;=3001,tblFLPrep[[#This Row],[Counting findings2]]&lt;=3600),IF(AND(N1&lt;=3000,N2&gt;=3000),(60-O1),0)+O1+P1)</f>
        <v>1</v>
      </c>
      <c r="P2" t="str">
        <f>IF(AND(tblFLPrep[[#This Row],[Sorting]]="A",tblFLPrep[[#This Row],[Row size]]&gt;0),1,"")</f>
        <v/>
      </c>
      <c r="U2" s="179" t="s">
        <v>132</v>
      </c>
      <c r="V2" s="7" cm="1">
        <f t="array" ref="V2">_xlfn.IFS(V4=0,1,(SUM(tblFLPrep[Row size])&lt;=500)*(V4&lt;=15),2,(SUM(tblFLPrep[Row size])&lt;=1000)*(V4&lt;=30),3,(SUM(tblFLPrep[Row size])&lt;=1500)*(V4&lt;=45),4,(SUM(tblFLPrep[Row size])&lt;=2000)*(V4&lt;=60),5,(SUM(tblFLPrep[Row size])&lt;=2500)*(V4&lt;=75),6,(SUM(tblFLPrep[Row size])&lt;=3000)*(V4&lt;=90),7)</f>
        <v>1</v>
      </c>
      <c r="W2">
        <f>COUNTIFS(tblFLPrep[[#All],[Follow Up Required]],"Yes",tblFLPrep[[#All],[Sorting]],"A")+COUNTIFS(tblFLPrep[[#All],[Follow Up Required]],"No",tblFLPrep[[#All],[Sorting]],"A")</f>
        <v>0</v>
      </c>
      <c r="Z2" s="181">
        <f>COUNTIF(tblAllSections[Findings Count],0)</f>
        <v>20</v>
      </c>
      <c r="AA2" s="182" t="s">
        <v>133</v>
      </c>
      <c r="AC2" s="471"/>
      <c r="AD2" s="471"/>
      <c r="AE2" s="471"/>
      <c r="AF2" s="471"/>
    </row>
    <row r="3" spans="2:32" ht="15" customHeight="1">
      <c r="H3" t="str" cm="1">
        <f t="array" ref="H3">Requirement('Call Flow'!$D$4,tblFLPrep[[#This Row],[Answer]],tblFLPrep[[#This Row],[Fynding Type]])&amp;IF(tblFLPrep[[#This Row],[Add Missing]]="Yes","No","")</f>
        <v/>
      </c>
      <c r="I3" t="str">
        <f>_xlfn.IFS(tblFLPrep[[#This Row],[Add Missing]]="Yes","N/A",OR(tblFLPrep[[#This Row],[Follow Up Required]]="YES",tblFLPrep[[#This Row],[Follow Up Required]]="SI"),LocationInfo[Due Date],tblFLPrep[[#This Row],[Follow Up Required]]="NO*","N/A",tblFLPrep[[#This Row],[Follow Up Required]]="NO","N/A",tblFLPrep[[#This Row],[Follow Up Required]]="","")</f>
        <v/>
      </c>
      <c r="J3" t="str">
        <f>IF(((tblFLPrep[[#This Row],[Section]]&lt;&gt;"")*((tblFLPrep[[#This Row],[Follow Up Required]]="Yes")+(tblFLPrep[[#This Row],[Follow Up Required]]="No"))),"A","")</f>
        <v/>
      </c>
      <c r="L3" t="str">
        <f>IFERROR(IF(AND(COUNTIF($E$1:E3,tblFLPrep[[#This Row],[Section]])=1,E3&lt;&gt;0,D3=""),"Yes",""),"")</f>
        <v/>
      </c>
      <c r="N3" t="str">
        <f>IF(tblFLPrep[[#This Row],[Sorting]]="","",SUM($M$1:M3))</f>
        <v/>
      </c>
      <c r="O3" t="e">
        <f>_xlfn.IFS(P2="Numbering",1,AND(tblFLPrep[[#This Row],[Counting findings2]]&gt;=1,tblFLPrep[[#This Row],[Counting findings2]]&lt;=600),O2+P2,AND(tblFLPrep[[#This Row],[Counting findings2]]&gt;=601,tblFLPrep[[#This Row],[Counting findings2]]&lt;=1200),IF(AND(N2&lt;=600,N3&gt;=600),(12-O2),0)+O2+P2,AND(tblFLPrep[[#This Row],[Counting findings2]]&gt;=1201,tblFLPrep[[#This Row],[Counting findings2]]&lt;=1800),IF(AND(N2&lt;=1200,N3&gt;=1200),(24-O2),0)+O2+P2,AND(tblFLPrep[[#This Row],[Counting findings2]]&gt;=1801,tblFLPrep[[#This Row],[Counting findings2]]&lt;=2400),IF(AND(N2&lt;=1800,N3&gt;=1800),(36-O2),0)+O2+P2,AND(tblFLPrep[[#This Row],[Counting findings2]]&gt;=2401,tblFLPrep[[#This Row],[Counting findings2]]&lt;=3000),IF(AND(N2&lt;=2400,N3&gt;=2400),(48-O2),0)+O2+P2,AND(tblFLPrep[[#This Row],[Counting findings2]]&gt;=3001,tblFLPrep[[#This Row],[Counting findings2]]&lt;=3600),IF(AND(N2&lt;=3000,N3&gt;=3000),(60-O2),0)+O2+P2)</f>
        <v>#N/A</v>
      </c>
      <c r="P3" t="str">
        <f>IF(AND(tblFLPrep[[#This Row],[Sorting]]="A",tblFLPrep[[#This Row],[Row size]]&gt;0),1,"")</f>
        <v/>
      </c>
      <c r="U3" s="179" t="s">
        <v>134</v>
      </c>
      <c r="V3" s="7" t="str" cm="1">
        <f t="array" ref="V3">_xlfn.IFS(V2=1,"$A$1:$F$37",V2=2,"$A$1:$F$62",V2=3,"$A$1:$F$87",V2=4,"$A$1:$F$112",V2=5,"$A$1:$F$137",V2=6,"$A$1:$F$162",V2=7,"$A$1:$F$187")</f>
        <v>$A$1:$F$37</v>
      </c>
      <c r="Z3" s="159" t="s">
        <v>135</v>
      </c>
      <c r="AA3" s="159" t="s">
        <v>136</v>
      </c>
      <c r="AC3" s="183" t="s">
        <v>2</v>
      </c>
      <c r="AD3" s="183" t="s">
        <v>137</v>
      </c>
      <c r="AE3" s="183" t="s">
        <v>138</v>
      </c>
      <c r="AF3" s="183" t="s">
        <v>139</v>
      </c>
    </row>
    <row r="4" spans="2:32" ht="15" customHeight="1">
      <c r="H4" t="str" cm="1">
        <f t="array" ref="H4">Requirement('Call Flow'!$D$4,tblFLPrep[[#This Row],[Answer]],tblFLPrep[[#This Row],[Fynding Type]])&amp;IF(tblFLPrep[[#This Row],[Add Missing]]="Yes","No","")</f>
        <v/>
      </c>
      <c r="I4" t="str">
        <f>_xlfn.IFS(tblFLPrep[[#This Row],[Add Missing]]="Yes","N/A",OR(tblFLPrep[[#This Row],[Follow Up Required]]="YES",tblFLPrep[[#This Row],[Follow Up Required]]="SI"),LocationInfo[Due Date],tblFLPrep[[#This Row],[Follow Up Required]]="NO*","N/A",tblFLPrep[[#This Row],[Follow Up Required]]="NO","N/A",tblFLPrep[[#This Row],[Follow Up Required]]="","")</f>
        <v/>
      </c>
      <c r="J4" t="str">
        <f>IF(((tblFLPrep[[#This Row],[Section]]&lt;&gt;"")*((tblFLPrep[[#This Row],[Follow Up Required]]="Yes")+(tblFLPrep[[#This Row],[Follow Up Required]]="No"))),"A","")</f>
        <v/>
      </c>
      <c r="L4" t="str">
        <f>IFERROR(IF(AND(COUNTIF($E$1:E4,tblFLPrep[[#This Row],[Section]])=1,E4&lt;&gt;0,D4=""),"Yes",""),"")</f>
        <v/>
      </c>
      <c r="N4" t="str">
        <f>IF(tblFLPrep[[#This Row],[Sorting]]="","",SUM($M$1:M4))</f>
        <v/>
      </c>
      <c r="O4" t="e">
        <f>_xlfn.IFS(P3="Numbering",1,AND(tblFLPrep[[#This Row],[Counting findings2]]&gt;=1,tblFLPrep[[#This Row],[Counting findings2]]&lt;=600),O3+P3,AND(tblFLPrep[[#This Row],[Counting findings2]]&gt;=601,tblFLPrep[[#This Row],[Counting findings2]]&lt;=1200),IF(AND(N3&lt;=600,N4&gt;=600),(12-O3),0)+O3+P3,AND(tblFLPrep[[#This Row],[Counting findings2]]&gt;=1201,tblFLPrep[[#This Row],[Counting findings2]]&lt;=1800),IF(AND(N3&lt;=1200,N4&gt;=1200),(24-O3),0)+O3+P3,AND(tblFLPrep[[#This Row],[Counting findings2]]&gt;=1801,tblFLPrep[[#This Row],[Counting findings2]]&lt;=2400),IF(AND(N3&lt;=1800,N4&gt;=1800),(36-O3),0)+O3+P3,AND(tblFLPrep[[#This Row],[Counting findings2]]&gt;=2401,tblFLPrep[[#This Row],[Counting findings2]]&lt;=3000),IF(AND(N3&lt;=2400,N4&gt;=2400),(48-O3),0)+O3+P3,AND(tblFLPrep[[#This Row],[Counting findings2]]&gt;=3001,tblFLPrep[[#This Row],[Counting findings2]]&lt;=3600),IF(AND(N3&lt;=3000,N4&gt;=3000),(60-O3),0)+O3+P3)</f>
        <v>#N/A</v>
      </c>
      <c r="P4" t="str">
        <f>IF(AND(tblFLPrep[[#This Row],[Sorting]]="A",tblFLPrep[[#This Row],[Row size]]&gt;0),1,"")</f>
        <v/>
      </c>
      <c r="U4" s="179" t="s">
        <v>140</v>
      </c>
      <c r="V4" s="7">
        <f>W2</f>
        <v>0</v>
      </c>
      <c r="Z4" t="str">
        <f>_xlfn.IFS(LocationInfo[Select Letter Language]="English",'FL Prep'!AC4,LocationInfo[Select Letter Language]="Spanish",'FL Prep'!AD4,LocationInfo[Select Letter Language]="French",'FL Prep'!AE4,LocationInfo[Select Letter Language]="Portuguese",'FL Prep'!AF4)</f>
        <v>Preparación del Agente</v>
      </c>
      <c r="AA4">
        <f>IF(tblAllSections[[#This Row],[SECCION]]=0,"",COUNTIFS(CallTb[Answer],"No*",CallTb[Section],tblAllSections[[#This Row],[SECCION]]))</f>
        <v>0</v>
      </c>
      <c r="AC4" s="103" t="s">
        <v>141</v>
      </c>
      <c r="AD4" s="103" t="s">
        <v>142</v>
      </c>
      <c r="AE4" s="103" t="s">
        <v>143</v>
      </c>
      <c r="AF4" s="103" t="s">
        <v>144</v>
      </c>
    </row>
    <row r="5" spans="2:32" ht="15" customHeight="1">
      <c r="H5" t="str" cm="1">
        <f t="array" ref="H5">Requirement('Call Flow'!$D$4,tblFLPrep[[#This Row],[Answer]],tblFLPrep[[#This Row],[Fynding Type]])&amp;IF(tblFLPrep[[#This Row],[Add Missing]]="Yes","No","")</f>
        <v/>
      </c>
      <c r="I5" t="str">
        <f>_xlfn.IFS(tblFLPrep[[#This Row],[Add Missing]]="Yes","N/A",OR(tblFLPrep[[#This Row],[Follow Up Required]]="YES",tblFLPrep[[#This Row],[Follow Up Required]]="SI"),LocationInfo[Due Date],tblFLPrep[[#This Row],[Follow Up Required]]="NO*","N/A",tblFLPrep[[#This Row],[Follow Up Required]]="NO","N/A",tblFLPrep[[#This Row],[Follow Up Required]]="","")</f>
        <v/>
      </c>
      <c r="J5" t="str">
        <f>IF(((tblFLPrep[[#This Row],[Section]]&lt;&gt;"")*((tblFLPrep[[#This Row],[Follow Up Required]]="Yes")+(tblFLPrep[[#This Row],[Follow Up Required]]="No"))),"A","")</f>
        <v/>
      </c>
      <c r="L5" t="str">
        <f>IFERROR(IF(AND(COUNTIF($E$1:E5,tblFLPrep[[#This Row],[Section]])=1,E5&lt;&gt;0,D5=""),"Yes",""),"")</f>
        <v/>
      </c>
      <c r="N5" t="str">
        <f>IF(tblFLPrep[[#This Row],[Sorting]]="","",SUM($M$1:M5))</f>
        <v/>
      </c>
      <c r="O5" t="e">
        <f>_xlfn.IFS(P4="Numbering",1,AND(tblFLPrep[[#This Row],[Counting findings2]]&gt;=1,tblFLPrep[[#This Row],[Counting findings2]]&lt;=600),O4+P4,AND(tblFLPrep[[#This Row],[Counting findings2]]&gt;=601,tblFLPrep[[#This Row],[Counting findings2]]&lt;=1200),IF(AND(N4&lt;=600,N5&gt;=600),(12-O4),0)+O4+P4,AND(tblFLPrep[[#This Row],[Counting findings2]]&gt;=1201,tblFLPrep[[#This Row],[Counting findings2]]&lt;=1800),IF(AND(N4&lt;=1200,N5&gt;=1200),(24-O4),0)+O4+P4,AND(tblFLPrep[[#This Row],[Counting findings2]]&gt;=1801,tblFLPrep[[#This Row],[Counting findings2]]&lt;=2400),IF(AND(N4&lt;=1800,N5&gt;=1800),(36-O4),0)+O4+P4,AND(tblFLPrep[[#This Row],[Counting findings2]]&gt;=2401,tblFLPrep[[#This Row],[Counting findings2]]&lt;=3000),IF(AND(N4&lt;=2400,N5&gt;=2400),(48-O4),0)+O4+P4,AND(tblFLPrep[[#This Row],[Counting findings2]]&gt;=3001,tblFLPrep[[#This Row],[Counting findings2]]&lt;=3600),IF(AND(N4&lt;=3000,N5&gt;=3000),(60-O4),0)+O4+P4)</f>
        <v>#N/A</v>
      </c>
      <c r="P5" t="str">
        <f>IF(AND(tblFLPrep[[#This Row],[Sorting]]="A",tblFLPrep[[#This Row],[Row size]]&gt;0),1,"")</f>
        <v/>
      </c>
      <c r="U5" s="179" t="s">
        <v>145</v>
      </c>
      <c r="V5" s="7" t="str" cm="1">
        <f t="array" ref="V5">LocationInfo[Select Letter Language]</f>
        <v>Spanish</v>
      </c>
      <c r="Z5" t="str">
        <f>_xlfn.IFS(LocationInfo[Select Letter Language]="English",'FL Prep'!AC5,LocationInfo[Select Letter Language]="Spanish",'FL Prep'!AD5,LocationInfo[Select Letter Language]="French",'FL Prep'!AE5,LocationInfo[Select Letter Language]="Portuguese",'FL Prep'!AF5)</f>
        <v>Historial de Cumplimiento</v>
      </c>
      <c r="AA5">
        <f>IF(tblAllSections[[#This Row],[SECCION]]=0,"",COUNTIFS(CallTb[Answer],"No*",CallTb[Section],tblAllSections[[#This Row],[SECCION]]))</f>
        <v>0</v>
      </c>
      <c r="AC5" s="103" t="s">
        <v>146</v>
      </c>
      <c r="AD5" s="103" t="s">
        <v>147</v>
      </c>
      <c r="AE5" s="103" t="s">
        <v>148</v>
      </c>
      <c r="AF5" s="103" t="s">
        <v>149</v>
      </c>
    </row>
    <row r="6" spans="2:32" ht="15" customHeight="1">
      <c r="H6" t="str" cm="1">
        <f t="array" ref="H6">Requirement('Call Flow'!$D$4,tblFLPrep[[#This Row],[Answer]],tblFLPrep[[#This Row],[Fynding Type]])&amp;IF(tblFLPrep[[#This Row],[Add Missing]]="Yes","No","")</f>
        <v/>
      </c>
      <c r="I6" t="str">
        <f>_xlfn.IFS(tblFLPrep[[#This Row],[Add Missing]]="Yes","N/A",OR(tblFLPrep[[#This Row],[Follow Up Required]]="YES",tblFLPrep[[#This Row],[Follow Up Required]]="SI"),LocationInfo[Due Date],tblFLPrep[[#This Row],[Follow Up Required]]="NO*","N/A",tblFLPrep[[#This Row],[Follow Up Required]]="NO","N/A",tblFLPrep[[#This Row],[Follow Up Required]]="","")</f>
        <v/>
      </c>
      <c r="J6" t="str">
        <f>IF(((tblFLPrep[[#This Row],[Section]]&lt;&gt;"")*((tblFLPrep[[#This Row],[Follow Up Required]]="Yes")+(tblFLPrep[[#This Row],[Follow Up Required]]="No"))),"A","")</f>
        <v/>
      </c>
      <c r="L6" t="str">
        <f>IFERROR(IF(AND(COUNTIF($E$1:E6,tblFLPrep[[#This Row],[Section]])=1,E6&lt;&gt;0,D6=""),"Yes",""),"")</f>
        <v/>
      </c>
      <c r="N6" t="str">
        <f>IF(tblFLPrep[[#This Row],[Sorting]]="","",SUM($M$1:M6))</f>
        <v/>
      </c>
      <c r="O6" t="e">
        <f>_xlfn.IFS(P5="Numbering",1,AND(tblFLPrep[[#This Row],[Counting findings2]]&gt;=1,tblFLPrep[[#This Row],[Counting findings2]]&lt;=600),O5+P5,AND(tblFLPrep[[#This Row],[Counting findings2]]&gt;=601,tblFLPrep[[#This Row],[Counting findings2]]&lt;=1200),IF(AND(N5&lt;=600,N6&gt;=600),(12-O5),0)+O5+P5,AND(tblFLPrep[[#This Row],[Counting findings2]]&gt;=1201,tblFLPrep[[#This Row],[Counting findings2]]&lt;=1800),IF(AND(N5&lt;=1200,N6&gt;=1200),(24-O5),0)+O5+P5,AND(tblFLPrep[[#This Row],[Counting findings2]]&gt;=1801,tblFLPrep[[#This Row],[Counting findings2]]&lt;=2400),IF(AND(N5&lt;=1800,N6&gt;=1800),(36-O5),0)+O5+P5,AND(tblFLPrep[[#This Row],[Counting findings2]]&gt;=2401,tblFLPrep[[#This Row],[Counting findings2]]&lt;=3000),IF(AND(N5&lt;=2400,N6&gt;=2400),(48-O5),0)+O5+P5,AND(tblFLPrep[[#This Row],[Counting findings2]]&gt;=3001,tblFLPrep[[#This Row],[Counting findings2]]&lt;=3600),IF(AND(N5&lt;=3000,N6&gt;=3000),(60-O5),0)+O5+P5)</f>
        <v>#N/A</v>
      </c>
      <c r="P6" t="str">
        <f>IF(AND(tblFLPrep[[#This Row],[Sorting]]="A",tblFLPrep[[#This Row],[Row size]]&gt;0),1,"")</f>
        <v/>
      </c>
      <c r="U6" s="179" t="s">
        <v>150</v>
      </c>
      <c r="V6" s="180" t="str">
        <f>'Call Flow'!$D$5</f>
        <v>Network_Agent</v>
      </c>
      <c r="Z6" t="str">
        <f>_xlfn.IFS(LocationInfo[Select Letter Language]="English",'FL Prep'!AC6,LocationInfo[Select Letter Language]="Spanish",'FL Prep'!AD6,LocationInfo[Select Letter Language]="French",'FL Prep'!AE6,LocationInfo[Select Letter Language]="Portuguese",'FL Prep'!AF6)</f>
        <v>Delegado/Representante de Cumplimiento</v>
      </c>
      <c r="AA6" s="143">
        <f>IF(tblAllSections[[#This Row],[SECCION]]=0,"",COUNTIFS(CallTb[Answer],"No*",CallTb[Section],tblAllSections[[#This Row],[SECCION]]))</f>
        <v>0</v>
      </c>
      <c r="AC6" s="103" t="s">
        <v>151</v>
      </c>
      <c r="AD6" s="103" t="s">
        <v>152</v>
      </c>
      <c r="AE6" s="103" t="s">
        <v>153</v>
      </c>
      <c r="AF6" s="103" t="s">
        <v>154</v>
      </c>
    </row>
    <row r="7" spans="2:32" ht="15" customHeight="1">
      <c r="H7" t="str" cm="1">
        <f t="array" ref="H7">Requirement('Call Flow'!$D$4,tblFLPrep[[#This Row],[Answer]],tblFLPrep[[#This Row],[Fynding Type]])&amp;IF(tblFLPrep[[#This Row],[Add Missing]]="Yes","No","")</f>
        <v/>
      </c>
      <c r="I7" t="str">
        <f>_xlfn.IFS(tblFLPrep[[#This Row],[Add Missing]]="Yes","N/A",OR(tblFLPrep[[#This Row],[Follow Up Required]]="YES",tblFLPrep[[#This Row],[Follow Up Required]]="SI"),LocationInfo[Due Date],tblFLPrep[[#This Row],[Follow Up Required]]="NO*","N/A",tblFLPrep[[#This Row],[Follow Up Required]]="NO","N/A",tblFLPrep[[#This Row],[Follow Up Required]]="","")</f>
        <v/>
      </c>
      <c r="J7" t="str">
        <f>IF(((tblFLPrep[[#This Row],[Section]]&lt;&gt;"")*((tblFLPrep[[#This Row],[Follow Up Required]]="Yes")+(tblFLPrep[[#This Row],[Follow Up Required]]="No"))),"A","")</f>
        <v/>
      </c>
      <c r="L7" t="str">
        <f>IFERROR(IF(AND(COUNTIF($E$1:E7,tblFLPrep[[#This Row],[Section]])=1,E7&lt;&gt;0,D7=""),"Yes",""),"")</f>
        <v/>
      </c>
      <c r="N7" t="str">
        <f>IF(tblFLPrep[[#This Row],[Sorting]]="","",SUM($M$1:M7))</f>
        <v/>
      </c>
      <c r="O7" t="e">
        <f>_xlfn.IFS(P6="Numbering",1,AND(tblFLPrep[[#This Row],[Counting findings2]]&gt;=1,tblFLPrep[[#This Row],[Counting findings2]]&lt;=600),O6+P6,AND(tblFLPrep[[#This Row],[Counting findings2]]&gt;=601,tblFLPrep[[#This Row],[Counting findings2]]&lt;=1200),IF(AND(N6&lt;=600,N7&gt;=600),(12-O6),0)+O6+P6,AND(tblFLPrep[[#This Row],[Counting findings2]]&gt;=1201,tblFLPrep[[#This Row],[Counting findings2]]&lt;=1800),IF(AND(N6&lt;=1200,N7&gt;=1200),(24-O6),0)+O6+P6,AND(tblFLPrep[[#This Row],[Counting findings2]]&gt;=1801,tblFLPrep[[#This Row],[Counting findings2]]&lt;=2400),IF(AND(N6&lt;=1800,N7&gt;=1800),(36-O6),0)+O6+P6,AND(tblFLPrep[[#This Row],[Counting findings2]]&gt;=2401,tblFLPrep[[#This Row],[Counting findings2]]&lt;=3000),IF(AND(N6&lt;=2400,N7&gt;=2400),(48-O6),0)+O6+P6,AND(tblFLPrep[[#This Row],[Counting findings2]]&gt;=3001,tblFLPrep[[#This Row],[Counting findings2]]&lt;=3600),IF(AND(N6&lt;=3000,N7&gt;=3000),(60-O6),0)+O6+P6)</f>
        <v>#N/A</v>
      </c>
      <c r="P7" t="str">
        <f>IF(AND(tblFLPrep[[#This Row],[Sorting]]="A",tblFLPrep[[#This Row],[Row size]]&gt;0),1,"")</f>
        <v/>
      </c>
      <c r="U7" s="179" t="s">
        <v>155</v>
      </c>
      <c r="V7" s="7">
        <f>SUM(tblFLPrep[Row size])</f>
        <v>0</v>
      </c>
      <c r="Z7" t="str">
        <f>_xlfn.IFS(LocationInfo[Select Letter Language]="English",'FL Prep'!AC7,LocationInfo[Select Letter Language]="Spanish",'FL Prep'!AD7,LocationInfo[Select Letter Language]="French",'FL Prep'!AE7,LocationInfo[Select Letter Language]="Portuguese",'FL Prep'!AF7)</f>
        <v>Delegado/Representante de Cumplimiento</v>
      </c>
      <c r="AA7" s="143">
        <f>IF(tblAllSections[[#This Row],[SECCION]]=0,"",COUNTIFS(CallTb[Answer],"No*",CallTb[Section],tblAllSections[[#This Row],[SECCION]]))</f>
        <v>0</v>
      </c>
      <c r="AC7" s="103" t="s">
        <v>151</v>
      </c>
      <c r="AD7" s="103" t="s">
        <v>152</v>
      </c>
      <c r="AE7" s="103" t="s">
        <v>156</v>
      </c>
      <c r="AF7" s="103" t="s">
        <v>157</v>
      </c>
    </row>
    <row r="8" spans="2:32" ht="15" customHeight="1">
      <c r="H8" t="str" cm="1">
        <f t="array" ref="H8">Requirement('Call Flow'!$D$4,tblFLPrep[[#This Row],[Answer]],tblFLPrep[[#This Row],[Fynding Type]])&amp;IF(tblFLPrep[[#This Row],[Add Missing]]="Yes","No","")</f>
        <v/>
      </c>
      <c r="I8" t="str">
        <f>_xlfn.IFS(tblFLPrep[[#This Row],[Add Missing]]="Yes","N/A",OR(tblFLPrep[[#This Row],[Follow Up Required]]="YES",tblFLPrep[[#This Row],[Follow Up Required]]="SI"),LocationInfo[Due Date],tblFLPrep[[#This Row],[Follow Up Required]]="NO*","N/A",tblFLPrep[[#This Row],[Follow Up Required]]="NO","N/A",tblFLPrep[[#This Row],[Follow Up Required]]="","")</f>
        <v/>
      </c>
      <c r="J8" t="str">
        <f>IF(((tblFLPrep[[#This Row],[Section]]&lt;&gt;"")*((tblFLPrep[[#This Row],[Follow Up Required]]="Yes")+(tblFLPrep[[#This Row],[Follow Up Required]]="No"))),"A","")</f>
        <v/>
      </c>
      <c r="L8" t="str">
        <f>IFERROR(IF(AND(COUNTIF($E$1:E8,tblFLPrep[[#This Row],[Section]])=1,E8&lt;&gt;0,D8=""),"Yes",""),"")</f>
        <v/>
      </c>
      <c r="N8" t="str">
        <f>IF(tblFLPrep[[#This Row],[Sorting]]="","",SUM($M$1:M8))</f>
        <v/>
      </c>
      <c r="O8" t="e">
        <f>_xlfn.IFS(P7="Numbering",1,AND(tblFLPrep[[#This Row],[Counting findings2]]&gt;=1,tblFLPrep[[#This Row],[Counting findings2]]&lt;=600),O7+P7,AND(tblFLPrep[[#This Row],[Counting findings2]]&gt;=601,tblFLPrep[[#This Row],[Counting findings2]]&lt;=1200),IF(AND(N7&lt;=600,N8&gt;=600),(12-O7),0)+O7+P7,AND(tblFLPrep[[#This Row],[Counting findings2]]&gt;=1201,tblFLPrep[[#This Row],[Counting findings2]]&lt;=1800),IF(AND(N7&lt;=1200,N8&gt;=1200),(24-O7),0)+O7+P7,AND(tblFLPrep[[#This Row],[Counting findings2]]&gt;=1801,tblFLPrep[[#This Row],[Counting findings2]]&lt;=2400),IF(AND(N7&lt;=1800,N8&gt;=1800),(36-O7),0)+O7+P7,AND(tblFLPrep[[#This Row],[Counting findings2]]&gt;=2401,tblFLPrep[[#This Row],[Counting findings2]]&lt;=3000),IF(AND(N7&lt;=2400,N8&gt;=2400),(48-O7),0)+O7+P7,AND(tblFLPrep[[#This Row],[Counting findings2]]&gt;=3001,tblFLPrep[[#This Row],[Counting findings2]]&lt;=3600),IF(AND(N7&lt;=3000,N8&gt;=3000),(60-O7),0)+O7+P7)</f>
        <v>#N/A</v>
      </c>
      <c r="P8" t="str">
        <f>IF(AND(tblFLPrep[[#This Row],[Sorting]]="A",tblFLPrep[[#This Row],[Row size]]&gt;0),1,"")</f>
        <v/>
      </c>
      <c r="U8" s="179" t="s">
        <v>158</v>
      </c>
      <c r="V8" s="157">
        <v>12</v>
      </c>
      <c r="Z8" t="str">
        <f>_xlfn.IFS(LocationInfo[Select Letter Language]="English",'FL Prep'!AC8,LocationInfo[Select Letter Language]="Spanish",'FL Prep'!AD8,LocationInfo[Select Letter Language]="French",'FL Prep'!AE8,LocationInfo[Select Letter Language]="Portuguese",'FL Prep'!AF8)</f>
        <v>Protección del Consumidor</v>
      </c>
      <c r="AA8" s="143">
        <f>IF(tblAllSections[[#This Row],[SECCION]]=0,"",COUNTIFS(CallTb[Answer],"No*",CallTb[Section],tblAllSections[[#This Row],[SECCION]]))</f>
        <v>0</v>
      </c>
      <c r="AC8" s="103" t="s">
        <v>159</v>
      </c>
      <c r="AD8" s="103" t="s">
        <v>160</v>
      </c>
      <c r="AE8" s="103" t="s">
        <v>161</v>
      </c>
      <c r="AF8" s="103" t="s">
        <v>162</v>
      </c>
    </row>
    <row r="9" spans="2:32" ht="15" customHeight="1">
      <c r="H9" t="str" cm="1">
        <f t="array" ref="H9">Requirement('Call Flow'!$D$4,tblFLPrep[[#This Row],[Answer]],tblFLPrep[[#This Row],[Fynding Type]])&amp;IF(tblFLPrep[[#This Row],[Add Missing]]="Yes","No","")</f>
        <v/>
      </c>
      <c r="I9" t="str">
        <f>_xlfn.IFS(tblFLPrep[[#This Row],[Add Missing]]="Yes","N/A",OR(tblFLPrep[[#This Row],[Follow Up Required]]="YES",tblFLPrep[[#This Row],[Follow Up Required]]="SI"),LocationInfo[Due Date],tblFLPrep[[#This Row],[Follow Up Required]]="NO*","N/A",tblFLPrep[[#This Row],[Follow Up Required]]="NO","N/A",tblFLPrep[[#This Row],[Follow Up Required]]="","")</f>
        <v/>
      </c>
      <c r="J9" t="str">
        <f>IF(((tblFLPrep[[#This Row],[Section]]&lt;&gt;"")*((tblFLPrep[[#This Row],[Follow Up Required]]="Yes")+(tblFLPrep[[#This Row],[Follow Up Required]]="No"))),"A","")</f>
        <v/>
      </c>
      <c r="L9" t="str">
        <f>IFERROR(IF(AND(COUNTIF($E$1:E9,tblFLPrep[[#This Row],[Section]])=1,E9&lt;&gt;0,D9=""),"Yes",""),"")</f>
        <v/>
      </c>
      <c r="N9" t="str">
        <f>IF(tblFLPrep[[#This Row],[Sorting]]="","",SUM($M$1:M9))</f>
        <v/>
      </c>
      <c r="O9" t="e">
        <f>_xlfn.IFS(P8="Numbering",1,AND(tblFLPrep[[#This Row],[Counting findings2]]&gt;=1,tblFLPrep[[#This Row],[Counting findings2]]&lt;=600),O8+P8,AND(tblFLPrep[[#This Row],[Counting findings2]]&gt;=601,tblFLPrep[[#This Row],[Counting findings2]]&lt;=1200),IF(AND(N8&lt;=600,N9&gt;=600),(12-O8),0)+O8+P8,AND(tblFLPrep[[#This Row],[Counting findings2]]&gt;=1201,tblFLPrep[[#This Row],[Counting findings2]]&lt;=1800),IF(AND(N8&lt;=1200,N9&gt;=1200),(24-O8),0)+O8+P8,AND(tblFLPrep[[#This Row],[Counting findings2]]&gt;=1801,tblFLPrep[[#This Row],[Counting findings2]]&lt;=2400),IF(AND(N8&lt;=1800,N9&gt;=1800),(36-O8),0)+O8+P8,AND(tblFLPrep[[#This Row],[Counting findings2]]&gt;=2401,tblFLPrep[[#This Row],[Counting findings2]]&lt;=3000),IF(AND(N8&lt;=2400,N9&gt;=2400),(48-O8),0)+O8+P8,AND(tblFLPrep[[#This Row],[Counting findings2]]&gt;=3001,tblFLPrep[[#This Row],[Counting findings2]]&lt;=3600),IF(AND(N8&lt;=3000,N9&gt;=3000),(60-O8),0)+O8+P8)</f>
        <v>#N/A</v>
      </c>
      <c r="P9" t="str">
        <f>IF(AND(tblFLPrep[[#This Row],[Sorting]]="A",tblFLPrep[[#This Row],[Row size]]&gt;0),1,"")</f>
        <v/>
      </c>
      <c r="U9" s="179"/>
      <c r="V9"/>
      <c r="Z9" t="str">
        <f>_xlfn.IFS(LocationInfo[Select Letter Language]="English",'FL Prep'!AC9,LocationInfo[Select Letter Language]="Spanish",'FL Prep'!AD9,LocationInfo[Select Letter Language]="French",'FL Prep'!AE9,LocationInfo[Select Letter Language]="Portuguese",'FL Prep'!AF9)</f>
        <v>Conocimiento de Operador (FLA) - Actvidad Sospechosa y Fraude</v>
      </c>
      <c r="AA9" s="143">
        <f>IF(tblAllSections[[#This Row],[SECCION]]=0,"",COUNTIFS(CallTb[Answer],"No*",CallTb[Section],tblAllSections[[#This Row],[SECCION]]))</f>
        <v>0</v>
      </c>
      <c r="AC9" s="103" t="s">
        <v>163</v>
      </c>
      <c r="AD9" s="103" t="s">
        <v>164</v>
      </c>
      <c r="AE9" s="103" t="s">
        <v>165</v>
      </c>
      <c r="AF9" s="29" t="s">
        <v>166</v>
      </c>
    </row>
    <row r="10" spans="2:32" ht="15" customHeight="1">
      <c r="H10" t="str" cm="1">
        <f t="array" ref="H10">Requirement('Call Flow'!$D$4,tblFLPrep[[#This Row],[Answer]],tblFLPrep[[#This Row],[Fynding Type]])&amp;IF(tblFLPrep[[#This Row],[Add Missing]]="Yes","No","")</f>
        <v/>
      </c>
      <c r="I10" t="str">
        <f>_xlfn.IFS(tblFLPrep[[#This Row],[Add Missing]]="Yes","N/A",OR(tblFLPrep[[#This Row],[Follow Up Required]]="YES",tblFLPrep[[#This Row],[Follow Up Required]]="SI"),LocationInfo[Due Date],tblFLPrep[[#This Row],[Follow Up Required]]="NO*","N/A",tblFLPrep[[#This Row],[Follow Up Required]]="NO","N/A",tblFLPrep[[#This Row],[Follow Up Required]]="","")</f>
        <v/>
      </c>
      <c r="J10" t="str">
        <f>IF(((tblFLPrep[[#This Row],[Section]]&lt;&gt;"")*((tblFLPrep[[#This Row],[Follow Up Required]]="Yes")+(tblFLPrep[[#This Row],[Follow Up Required]]="No"))),"A","")</f>
        <v/>
      </c>
      <c r="L10" t="str">
        <f>IFERROR(IF(AND(COUNTIF($E$1:E10,tblFLPrep[[#This Row],[Section]])=1,E10&lt;&gt;0,D10=""),"Yes",""),"")</f>
        <v/>
      </c>
      <c r="N10" t="str">
        <f>IF(tblFLPrep[[#This Row],[Sorting]]="","",SUM($M$1:M10))</f>
        <v/>
      </c>
      <c r="O10" t="e">
        <f>_xlfn.IFS(P9="Numbering",1,AND(tblFLPrep[[#This Row],[Counting findings2]]&gt;=1,tblFLPrep[[#This Row],[Counting findings2]]&lt;=600),O9+P9,AND(tblFLPrep[[#This Row],[Counting findings2]]&gt;=601,tblFLPrep[[#This Row],[Counting findings2]]&lt;=1200),IF(AND(N9&lt;=600,N10&gt;=600),(12-O9),0)+O9+P9,AND(tblFLPrep[[#This Row],[Counting findings2]]&gt;=1201,tblFLPrep[[#This Row],[Counting findings2]]&lt;=1800),IF(AND(N9&lt;=1200,N10&gt;=1200),(24-O9),0)+O9+P9,AND(tblFLPrep[[#This Row],[Counting findings2]]&gt;=1801,tblFLPrep[[#This Row],[Counting findings2]]&lt;=2400),IF(AND(N9&lt;=1800,N10&gt;=1800),(36-O9),0)+O9+P9,AND(tblFLPrep[[#This Row],[Counting findings2]]&gt;=2401,tblFLPrep[[#This Row],[Counting findings2]]&lt;=3000),IF(AND(N9&lt;=2400,N10&gt;=2400),(48-O9),0)+O9+P9,AND(tblFLPrep[[#This Row],[Counting findings2]]&gt;=3001,tblFLPrep[[#This Row],[Counting findings2]]&lt;=3600),IF(AND(N9&lt;=3000,N10&gt;=3000),(60-O9),0)+O9+P9)</f>
        <v>#N/A</v>
      </c>
      <c r="P10" t="str">
        <f>IF(AND(tblFLPrep[[#This Row],[Sorting]]="A",tblFLPrep[[#This Row],[Row size]]&gt;0),1,"")</f>
        <v/>
      </c>
      <c r="U10" s="179" t="s">
        <v>167</v>
      </c>
      <c r="V10" s="9">
        <v>550</v>
      </c>
      <c r="Z10" t="str">
        <f>_xlfn.IFS(LocationInfo[Select Letter Language]="English",'FL Prep'!AC10,LocationInfo[Select Letter Language]="Spanish",'FL Prep'!AD10,LocationInfo[Select Letter Language]="French",'FL Prep'!AE10,LocationInfo[Select Letter Language]="Portuguese",'FL Prep'!AF10)</f>
        <v>Revisión Independiente</v>
      </c>
      <c r="AA10" s="143">
        <f>IF(tblAllSections[[#This Row],[SECCION]]=0,"",COUNTIFS(CallTb[Answer],"No*",CallTb[Section],tblAllSections[[#This Row],[SECCION]]))</f>
        <v>0</v>
      </c>
      <c r="AC10" s="103" t="s">
        <v>168</v>
      </c>
      <c r="AD10" s="103" t="s">
        <v>169</v>
      </c>
      <c r="AE10" s="103" t="s">
        <v>170</v>
      </c>
      <c r="AF10" s="103" t="s">
        <v>171</v>
      </c>
    </row>
    <row r="11" spans="2:32" ht="15" customHeight="1">
      <c r="H11" t="str" cm="1">
        <f t="array" ref="H11">Requirement('Call Flow'!$D$4,tblFLPrep[[#This Row],[Answer]],tblFLPrep[[#This Row],[Fynding Type]])&amp;IF(tblFLPrep[[#This Row],[Add Missing]]="Yes","No","")</f>
        <v/>
      </c>
      <c r="I11" t="str">
        <f>_xlfn.IFS(tblFLPrep[[#This Row],[Add Missing]]="Yes","N/A",OR(tblFLPrep[[#This Row],[Follow Up Required]]="YES",tblFLPrep[[#This Row],[Follow Up Required]]="SI"),LocationInfo[Due Date],tblFLPrep[[#This Row],[Follow Up Required]]="NO*","N/A",tblFLPrep[[#This Row],[Follow Up Required]]="NO","N/A",tblFLPrep[[#This Row],[Follow Up Required]]="","")</f>
        <v/>
      </c>
      <c r="J11" t="str">
        <f>IF(((tblFLPrep[[#This Row],[Section]]&lt;&gt;"")*((tblFLPrep[[#This Row],[Follow Up Required]]="Yes")+(tblFLPrep[[#This Row],[Follow Up Required]]="No"))),"A","")</f>
        <v/>
      </c>
      <c r="L11" t="str">
        <f>IFERROR(IF(AND(COUNTIF($E$1:E11,tblFLPrep[[#This Row],[Section]])=1,E11&lt;&gt;0,D11=""),"Yes",""),"")</f>
        <v/>
      </c>
      <c r="N11" t="str">
        <f>IF(tblFLPrep[[#This Row],[Sorting]]="","",SUM($M$1:M11))</f>
        <v/>
      </c>
      <c r="O11" t="e">
        <f>_xlfn.IFS(P10="Numbering",1,AND(tblFLPrep[[#This Row],[Counting findings2]]&gt;=1,tblFLPrep[[#This Row],[Counting findings2]]&lt;=600),O10+P10,AND(tblFLPrep[[#This Row],[Counting findings2]]&gt;=601,tblFLPrep[[#This Row],[Counting findings2]]&lt;=1200),IF(AND(N10&lt;=600,N11&gt;=600),(12-O10),0)+O10+P10,AND(tblFLPrep[[#This Row],[Counting findings2]]&gt;=1201,tblFLPrep[[#This Row],[Counting findings2]]&lt;=1800),IF(AND(N10&lt;=1200,N11&gt;=1200),(24-O10),0)+O10+P10,AND(tblFLPrep[[#This Row],[Counting findings2]]&gt;=1801,tblFLPrep[[#This Row],[Counting findings2]]&lt;=2400),IF(AND(N10&lt;=1800,N11&gt;=1800),(36-O10),0)+O10+P10,AND(tblFLPrep[[#This Row],[Counting findings2]]&gt;=2401,tblFLPrep[[#This Row],[Counting findings2]]&lt;=3000),IF(AND(N10&lt;=2400,N11&gt;=2400),(48-O10),0)+O10+P10,AND(tblFLPrep[[#This Row],[Counting findings2]]&gt;=3001,tblFLPrep[[#This Row],[Counting findings2]]&lt;=3600),IF(AND(N10&lt;=3000,N11&gt;=3000),(60-O10),0)+O10+P10)</f>
        <v>#N/A</v>
      </c>
      <c r="P11" t="str">
        <f>IF(AND(tblFLPrep[[#This Row],[Sorting]]="A",tblFLPrep[[#This Row],[Row size]]&gt;0),1,"")</f>
        <v/>
      </c>
      <c r="U11" s="179"/>
      <c r="Z11" t="str">
        <f>_xlfn.IFS(LocationInfo[Select Letter Language]="English",'FL Prep'!AC11,LocationInfo[Select Letter Language]="Spanish",'FL Prep'!AD11,LocationInfo[Select Letter Language]="French",'FL Prep'!AE11,LocationInfo[Select Letter Language]="Portuguese",'FL Prep'!AF11)</f>
        <v>Revisión Independiente</v>
      </c>
      <c r="AA11" s="143">
        <f>IF(tblAllSections[[#This Row],[SECCION]]=0,"",COUNTIFS(CallTb[Answer],"No*",CallTb[Section],tblAllSections[[#This Row],[SECCION]]))</f>
        <v>0</v>
      </c>
      <c r="AC11" s="103" t="s">
        <v>168</v>
      </c>
      <c r="AD11" s="103" t="s">
        <v>169</v>
      </c>
      <c r="AE11" s="103" t="s">
        <v>172</v>
      </c>
      <c r="AF11" s="103" t="s">
        <v>173</v>
      </c>
    </row>
    <row r="12" spans="2:32" ht="15" customHeight="1">
      <c r="H12" t="str" cm="1">
        <f t="array" ref="H12">Requirement('Call Flow'!$D$4,tblFLPrep[[#This Row],[Answer]],tblFLPrep[[#This Row],[Fynding Type]])&amp;IF(tblFLPrep[[#This Row],[Add Missing]]="Yes","No","")</f>
        <v/>
      </c>
      <c r="I12" t="str">
        <f>_xlfn.IFS(tblFLPrep[[#This Row],[Add Missing]]="Yes","N/A",OR(tblFLPrep[[#This Row],[Follow Up Required]]="YES",tblFLPrep[[#This Row],[Follow Up Required]]="SI"),LocationInfo[Due Date],tblFLPrep[[#This Row],[Follow Up Required]]="NO*","N/A",tblFLPrep[[#This Row],[Follow Up Required]]="NO","N/A",tblFLPrep[[#This Row],[Follow Up Required]]="","")</f>
        <v/>
      </c>
      <c r="J12" t="str">
        <f>IF(((tblFLPrep[[#This Row],[Section]]&lt;&gt;"")*((tblFLPrep[[#This Row],[Follow Up Required]]="Yes")+(tblFLPrep[[#This Row],[Follow Up Required]]="No"))),"A","")</f>
        <v/>
      </c>
      <c r="L12" t="str">
        <f>IFERROR(IF(AND(COUNTIF($E$1:E12,tblFLPrep[[#This Row],[Section]])=1,E12&lt;&gt;0,D12=""),"Yes",""),"")</f>
        <v/>
      </c>
      <c r="N12" t="str">
        <f>IF(tblFLPrep[[#This Row],[Sorting]]="","",SUM($M$1:M12))</f>
        <v/>
      </c>
      <c r="O12" t="e">
        <f>_xlfn.IFS(P11="Numbering",1,AND(tblFLPrep[[#This Row],[Counting findings2]]&gt;=1,tblFLPrep[[#This Row],[Counting findings2]]&lt;=600),O11+P11,AND(tblFLPrep[[#This Row],[Counting findings2]]&gt;=601,tblFLPrep[[#This Row],[Counting findings2]]&lt;=1200),IF(AND(N11&lt;=600,N12&gt;=600),(12-O11),0)+O11+P11,AND(tblFLPrep[[#This Row],[Counting findings2]]&gt;=1201,tblFLPrep[[#This Row],[Counting findings2]]&lt;=1800),IF(AND(N11&lt;=1200,N12&gt;=1200),(24-O11),0)+O11+P11,AND(tblFLPrep[[#This Row],[Counting findings2]]&gt;=1801,tblFLPrep[[#This Row],[Counting findings2]]&lt;=2400),IF(AND(N11&lt;=1800,N12&gt;=1800),(36-O11),0)+O11+P11,AND(tblFLPrep[[#This Row],[Counting findings2]]&gt;=2401,tblFLPrep[[#This Row],[Counting findings2]]&lt;=3000),IF(AND(N11&lt;=2400,N12&gt;=2400),(48-O11),0)+O11+P11,AND(tblFLPrep[[#This Row],[Counting findings2]]&gt;=3001,tblFLPrep[[#This Row],[Counting findings2]]&lt;=3600),IF(AND(N11&lt;=3000,N12&gt;=3000),(60-O11),0)+O11+P11)</f>
        <v>#N/A</v>
      </c>
      <c r="P12" t="str">
        <f>IF(AND(tblFLPrep[[#This Row],[Sorting]]="A",tblFLPrep[[#This Row],[Row size]]&gt;0),1,"")</f>
        <v/>
      </c>
      <c r="U12" s="179" t="s">
        <v>174</v>
      </c>
      <c r="Z12" t="str">
        <f>_xlfn.IFS(LocationInfo[Select Letter Language]="English",'FL Prep'!AC12,LocationInfo[Select Letter Language]="Spanish",'FL Prep'!AD12,LocationInfo[Select Letter Language]="French",'FL Prep'!AE12,LocationInfo[Select Letter Language]="Portuguese",'FL Prep'!AF12)</f>
        <v>Requerimientos de KYC</v>
      </c>
      <c r="AA12" s="143">
        <f>IF(tblAllSections[[#This Row],[SECCION]]=0,"",COUNTIFS(CallTb[Answer],"No*",CallTb[Section],tblAllSections[[#This Row],[SECCION]]))</f>
        <v>0</v>
      </c>
      <c r="AC12" s="103" t="s">
        <v>175</v>
      </c>
      <c r="AD12" s="103" t="s">
        <v>176</v>
      </c>
      <c r="AE12" s="103" t="s">
        <v>177</v>
      </c>
      <c r="AF12" s="103" t="s">
        <v>178</v>
      </c>
    </row>
    <row r="13" spans="2:32" ht="15" customHeight="1">
      <c r="H13" t="str" cm="1">
        <f t="array" ref="H13">Requirement('Call Flow'!$D$4,tblFLPrep[[#This Row],[Answer]],tblFLPrep[[#This Row],[Fynding Type]])&amp;IF(tblFLPrep[[#This Row],[Add Missing]]="Yes","No","")</f>
        <v/>
      </c>
      <c r="I13" t="str">
        <f>_xlfn.IFS(tblFLPrep[[#This Row],[Add Missing]]="Yes","N/A",OR(tblFLPrep[[#This Row],[Follow Up Required]]="YES",tblFLPrep[[#This Row],[Follow Up Required]]="SI"),LocationInfo[Due Date],tblFLPrep[[#This Row],[Follow Up Required]]="NO*","N/A",tblFLPrep[[#This Row],[Follow Up Required]]="NO","N/A",tblFLPrep[[#This Row],[Follow Up Required]]="","")</f>
        <v/>
      </c>
      <c r="J13" t="str">
        <f>IF(((tblFLPrep[[#This Row],[Section]]&lt;&gt;"")*((tblFLPrep[[#This Row],[Follow Up Required]]="Yes")+(tblFLPrep[[#This Row],[Follow Up Required]]="No"))),"A","")</f>
        <v/>
      </c>
      <c r="L13" t="str">
        <f>IFERROR(IF(AND(COUNTIF($E$1:E13,tblFLPrep[[#This Row],[Section]])=1,E13&lt;&gt;0,D13=""),"Yes",""),"")</f>
        <v/>
      </c>
      <c r="N13" t="str">
        <f>IF(tblFLPrep[[#This Row],[Sorting]]="","",SUM($M$1:M13))</f>
        <v/>
      </c>
      <c r="O13" t="e">
        <f>_xlfn.IFS(P12="Numbering",1,AND(tblFLPrep[[#This Row],[Counting findings2]]&gt;=1,tblFLPrep[[#This Row],[Counting findings2]]&lt;=600),O12+P12,AND(tblFLPrep[[#This Row],[Counting findings2]]&gt;=601,tblFLPrep[[#This Row],[Counting findings2]]&lt;=1200),IF(AND(N12&lt;=600,N13&gt;=600),(12-O12),0)+O12+P12,AND(tblFLPrep[[#This Row],[Counting findings2]]&gt;=1201,tblFLPrep[[#This Row],[Counting findings2]]&lt;=1800),IF(AND(N12&lt;=1200,N13&gt;=1200),(24-O12),0)+O12+P12,AND(tblFLPrep[[#This Row],[Counting findings2]]&gt;=1801,tblFLPrep[[#This Row],[Counting findings2]]&lt;=2400),IF(AND(N12&lt;=1800,N13&gt;=1800),(36-O12),0)+O12+P12,AND(tblFLPrep[[#This Row],[Counting findings2]]&gt;=2401,tblFLPrep[[#This Row],[Counting findings2]]&lt;=3000),IF(AND(N12&lt;=2400,N13&gt;=2400),(48-O12),0)+O12+P12,AND(tblFLPrep[[#This Row],[Counting findings2]]&gt;=3001,tblFLPrep[[#This Row],[Counting findings2]]&lt;=3600),IF(AND(N12&lt;=3000,N13&gt;=3000),(60-O12),0)+O12+P12)</f>
        <v>#N/A</v>
      </c>
      <c r="P13" t="str">
        <f>IF(AND(tblFLPrep[[#This Row],[Sorting]]="A",tblFLPrep[[#This Row],[Row size]]&gt;0),1,"")</f>
        <v/>
      </c>
      <c r="U13" s="179"/>
      <c r="Z13" t="str">
        <f>_xlfn.IFS(LocationInfo[Select Letter Language]="English",'FL Prep'!AC13,LocationInfo[Select Letter Language]="Spanish",'FL Prep'!AD13,LocationInfo[Select Letter Language]="French",'FL Prep'!AE13,LocationInfo[Select Letter Language]="Portuguese",'FL Prep'!AF13)</f>
        <v>Requerimientos de KYC</v>
      </c>
      <c r="AA13" s="143">
        <f>IF(tblAllSections[[#This Row],[SECCION]]=0,"",COUNTIFS(CallTb[Answer],"No*",CallTb[Section],tblAllSections[[#This Row],[SECCION]]))</f>
        <v>0</v>
      </c>
      <c r="AC13" s="103" t="s">
        <v>179</v>
      </c>
      <c r="AD13" s="103" t="s">
        <v>176</v>
      </c>
      <c r="AE13" s="103" t="s">
        <v>177</v>
      </c>
      <c r="AF13" s="103" t="s">
        <v>178</v>
      </c>
    </row>
    <row r="14" spans="2:32" ht="15" customHeight="1">
      <c r="H14" t="str" cm="1">
        <f t="array" ref="H14">Requirement('Call Flow'!$D$4,tblFLPrep[[#This Row],[Answer]],tblFLPrep[[#This Row],[Fynding Type]])&amp;IF(tblFLPrep[[#This Row],[Add Missing]]="Yes","No","")</f>
        <v/>
      </c>
      <c r="I14" t="str">
        <f>_xlfn.IFS(tblFLPrep[[#This Row],[Add Missing]]="Yes","N/A",OR(tblFLPrep[[#This Row],[Follow Up Required]]="YES",tblFLPrep[[#This Row],[Follow Up Required]]="SI"),LocationInfo[Due Date],tblFLPrep[[#This Row],[Follow Up Required]]="NO*","N/A",tblFLPrep[[#This Row],[Follow Up Required]]="NO","N/A",tblFLPrep[[#This Row],[Follow Up Required]]="","")</f>
        <v/>
      </c>
      <c r="J14" t="str">
        <f>IF(((tblFLPrep[[#This Row],[Section]]&lt;&gt;"")*((tblFLPrep[[#This Row],[Follow Up Required]]="Yes")+(tblFLPrep[[#This Row],[Follow Up Required]]="No"))),"A","")</f>
        <v/>
      </c>
      <c r="L14" t="str">
        <f>IFERROR(IF(AND(COUNTIF($E$1:E14,tblFLPrep[[#This Row],[Section]])=1,E14&lt;&gt;0,D14=""),"Yes",""),"")</f>
        <v/>
      </c>
      <c r="N14" t="str">
        <f>IF(tblFLPrep[[#This Row],[Sorting]]="","",SUM($M$1:M14))</f>
        <v/>
      </c>
      <c r="O14" t="e">
        <f>_xlfn.IFS(P13="Numbering",1,AND(tblFLPrep[[#This Row],[Counting findings2]]&gt;=1,tblFLPrep[[#This Row],[Counting findings2]]&lt;=600),O13+P13,AND(tblFLPrep[[#This Row],[Counting findings2]]&gt;=601,tblFLPrep[[#This Row],[Counting findings2]]&lt;=1200),IF(AND(N13&lt;=600,N14&gt;=600),(12-O13),0)+O13+P13,AND(tblFLPrep[[#This Row],[Counting findings2]]&gt;=1201,tblFLPrep[[#This Row],[Counting findings2]]&lt;=1800),IF(AND(N13&lt;=1200,N14&gt;=1200),(24-O13),0)+O13+P13,AND(tblFLPrep[[#This Row],[Counting findings2]]&gt;=1801,tblFLPrep[[#This Row],[Counting findings2]]&lt;=2400),IF(AND(N13&lt;=1800,N14&gt;=1800),(36-O13),0)+O13+P13,AND(tblFLPrep[[#This Row],[Counting findings2]]&gt;=2401,tblFLPrep[[#This Row],[Counting findings2]]&lt;=3000),IF(AND(N13&lt;=2400,N14&gt;=2400),(48-O13),0)+O13+P13,AND(tblFLPrep[[#This Row],[Counting findings2]]&gt;=3001,tblFLPrep[[#This Row],[Counting findings2]]&lt;=3600),IF(AND(N13&lt;=3000,N14&gt;=3000),(60-O13),0)+O13+P13)</f>
        <v>#N/A</v>
      </c>
      <c r="P14" t="str">
        <f>IF(AND(tblFLPrep[[#This Row],[Sorting]]="A",tblFLPrep[[#This Row],[Row size]]&gt;0),1,"")</f>
        <v/>
      </c>
      <c r="U14" s="177" t="s">
        <v>180</v>
      </c>
      <c r="V14" s="7">
        <f>COUNTIF(CallTb[Finding Type],"Resolved_Onsite")</f>
        <v>0</v>
      </c>
      <c r="Z14" t="str">
        <f>_xlfn.IFS(LocationInfo[Select Letter Language]="English",'FL Prep'!AC14,LocationInfo[Select Letter Language]="Spanish",'FL Prep'!AD14,LocationInfo[Select Letter Language]="French",'FL Prep'!AE14,LocationInfo[Select Letter Language]="Portuguese",'FL Prep'!AF14)</f>
        <v>Seguimiento</v>
      </c>
      <c r="AA14" s="143">
        <f>IF(tblAllSections[[#This Row],[SECCION]]=0,"",COUNTIFS(CallTb[Answer],"No*",CallTb[Section],tblAllSections[[#This Row],[SECCION]]))</f>
        <v>0</v>
      </c>
      <c r="AC14" s="103" t="s">
        <v>181</v>
      </c>
      <c r="AD14" s="103" t="s">
        <v>182</v>
      </c>
      <c r="AE14" s="103" t="s">
        <v>183</v>
      </c>
      <c r="AF14" s="103" t="s">
        <v>184</v>
      </c>
    </row>
    <row r="15" spans="2:32" ht="15" customHeight="1">
      <c r="H15" t="str" cm="1">
        <f t="array" ref="H15">Requirement('Call Flow'!$D$4,tblFLPrep[[#This Row],[Answer]],tblFLPrep[[#This Row],[Fynding Type]])&amp;IF(tblFLPrep[[#This Row],[Add Missing]]="Yes","No","")</f>
        <v/>
      </c>
      <c r="I15" t="str">
        <f>_xlfn.IFS(tblFLPrep[[#This Row],[Add Missing]]="Yes","N/A",OR(tblFLPrep[[#This Row],[Follow Up Required]]="YES",tblFLPrep[[#This Row],[Follow Up Required]]="SI"),LocationInfo[Due Date],tblFLPrep[[#This Row],[Follow Up Required]]="NO*","N/A",tblFLPrep[[#This Row],[Follow Up Required]]="NO","N/A",tblFLPrep[[#This Row],[Follow Up Required]]="","")</f>
        <v/>
      </c>
      <c r="J15" t="str">
        <f>IF(((tblFLPrep[[#This Row],[Section]]&lt;&gt;"")*((tblFLPrep[[#This Row],[Follow Up Required]]="Yes")+(tblFLPrep[[#This Row],[Follow Up Required]]="No"))),"A","")</f>
        <v/>
      </c>
      <c r="L15" t="str">
        <f>IFERROR(IF(AND(COUNTIF($E$1:E15,tblFLPrep[[#This Row],[Section]])=1,E15&lt;&gt;0,D15=""),"Yes",""),"")</f>
        <v/>
      </c>
      <c r="N15" t="str">
        <f>IF(tblFLPrep[[#This Row],[Sorting]]="","",SUM($M$1:M15))</f>
        <v/>
      </c>
      <c r="O15" t="e">
        <f>_xlfn.IFS(P14="Numbering",1,AND(tblFLPrep[[#This Row],[Counting findings2]]&gt;=1,tblFLPrep[[#This Row],[Counting findings2]]&lt;=600),O14+P14,AND(tblFLPrep[[#This Row],[Counting findings2]]&gt;=601,tblFLPrep[[#This Row],[Counting findings2]]&lt;=1200),IF(AND(N14&lt;=600,N15&gt;=600),(12-O14),0)+O14+P14,AND(tblFLPrep[[#This Row],[Counting findings2]]&gt;=1201,tblFLPrep[[#This Row],[Counting findings2]]&lt;=1800),IF(AND(N14&lt;=1200,N15&gt;=1200),(24-O14),0)+O14+P14,AND(tblFLPrep[[#This Row],[Counting findings2]]&gt;=1801,tblFLPrep[[#This Row],[Counting findings2]]&lt;=2400),IF(AND(N14&lt;=1800,N15&gt;=1800),(36-O14),0)+O14+P14,AND(tblFLPrep[[#This Row],[Counting findings2]]&gt;=2401,tblFLPrep[[#This Row],[Counting findings2]]&lt;=3000),IF(AND(N14&lt;=2400,N15&gt;=2400),(48-O14),0)+O14+P14,AND(tblFLPrep[[#This Row],[Counting findings2]]&gt;=3001,tblFLPrep[[#This Row],[Counting findings2]]&lt;=3600),IF(AND(N14&lt;=3000,N15&gt;=3000),(60-O14),0)+O14+P14)</f>
        <v>#N/A</v>
      </c>
      <c r="P15" t="str">
        <f>IF(AND(tblFLPrep[[#This Row],[Sorting]]="A",tblFLPrep[[#This Row],[Row size]]&gt;0),1,"")</f>
        <v/>
      </c>
      <c r="U15" s="177" t="s">
        <v>185</v>
      </c>
      <c r="V15" s="7">
        <f>COUNTIF(CallTb[Finding Type],IF('Gen Info'!$E$4="India_FTF"," ","Suspension"))+COUNTIF(CallTb[Finding Type],"Response_Required")</f>
        <v>0</v>
      </c>
      <c r="Z15" t="str">
        <f>_xlfn.IFS(LocationInfo[Select Letter Language]="English",'FL Prep'!AC15,LocationInfo[Select Letter Language]="Spanish",'FL Prep'!AD15,LocationInfo[Select Letter Language]="French",'FL Prep'!AE15,LocationInfo[Select Letter Language]="Portuguese",'FL Prep'!AF15)</f>
        <v>Políticas y Procedimientos</v>
      </c>
      <c r="AA15" s="143">
        <f>IF(tblAllSections[[#This Row],[SECCION]]=0,"",COUNTIFS(CallTb[Answer],"No*",CallTb[Section],tblAllSections[[#This Row],[SECCION]]))</f>
        <v>0</v>
      </c>
      <c r="AC15" s="103" t="s">
        <v>186</v>
      </c>
      <c r="AD15" s="184" t="s">
        <v>187</v>
      </c>
      <c r="AE15" s="184" t="s">
        <v>188</v>
      </c>
      <c r="AF15" s="184" t="s">
        <v>189</v>
      </c>
    </row>
    <row r="16" spans="2:32" ht="15" customHeight="1">
      <c r="H16" t="str" cm="1">
        <f t="array" ref="H16">Requirement('Call Flow'!$D$4,tblFLPrep[[#This Row],[Answer]],tblFLPrep[[#This Row],[Fynding Type]])&amp;IF(tblFLPrep[[#This Row],[Add Missing]]="Yes","No","")</f>
        <v/>
      </c>
      <c r="I16" t="str">
        <f>_xlfn.IFS(tblFLPrep[[#This Row],[Add Missing]]="Yes","N/A",OR(tblFLPrep[[#This Row],[Follow Up Required]]="YES",tblFLPrep[[#This Row],[Follow Up Required]]="SI"),LocationInfo[Due Date],tblFLPrep[[#This Row],[Follow Up Required]]="NO*","N/A",tblFLPrep[[#This Row],[Follow Up Required]]="NO","N/A",tblFLPrep[[#This Row],[Follow Up Required]]="","")</f>
        <v/>
      </c>
      <c r="J16" t="str">
        <f>IF(((tblFLPrep[[#This Row],[Section]]&lt;&gt;"")*((tblFLPrep[[#This Row],[Follow Up Required]]="Yes")+(tblFLPrep[[#This Row],[Follow Up Required]]="No"))),"A","")</f>
        <v/>
      </c>
      <c r="L16" t="str">
        <f>IFERROR(IF(AND(COUNTIF($E$1:E16,tblFLPrep[[#This Row],[Section]])=1,E16&lt;&gt;0,D16=""),"Yes",""),"")</f>
        <v/>
      </c>
      <c r="N16" t="str">
        <f>IF(tblFLPrep[[#This Row],[Sorting]]="","",SUM($M$1:M16))</f>
        <v/>
      </c>
      <c r="O16" t="e">
        <f>_xlfn.IFS(P15="Numbering",1,AND(tblFLPrep[[#This Row],[Counting findings2]]&gt;=1,tblFLPrep[[#This Row],[Counting findings2]]&lt;=600),O15+P15,AND(tblFLPrep[[#This Row],[Counting findings2]]&gt;=601,tblFLPrep[[#This Row],[Counting findings2]]&lt;=1200),IF(AND(N15&lt;=600,N16&gt;=600),(12-O15),0)+O15+P15,AND(tblFLPrep[[#This Row],[Counting findings2]]&gt;=1201,tblFLPrep[[#This Row],[Counting findings2]]&lt;=1800),IF(AND(N15&lt;=1200,N16&gt;=1200),(24-O15),0)+O15+P15,AND(tblFLPrep[[#This Row],[Counting findings2]]&gt;=1801,tblFLPrep[[#This Row],[Counting findings2]]&lt;=2400),IF(AND(N15&lt;=1800,N16&gt;=1800),(36-O15),0)+O15+P15,AND(tblFLPrep[[#This Row],[Counting findings2]]&gt;=2401,tblFLPrep[[#This Row],[Counting findings2]]&lt;=3000),IF(AND(N15&lt;=2400,N16&gt;=2400),(48-O15),0)+O15+P15,AND(tblFLPrep[[#This Row],[Counting findings2]]&gt;=3001,tblFLPrep[[#This Row],[Counting findings2]]&lt;=3600),IF(AND(N15&lt;=3000,N16&gt;=3000),(60-O15),0)+O15+P15)</f>
        <v>#N/A</v>
      </c>
      <c r="P16" t="str">
        <f>IF(AND(tblFLPrep[[#This Row],[Sorting]]="A",tblFLPrep[[#This Row],[Row size]]&gt;0),1,"")</f>
        <v/>
      </c>
      <c r="U16" s="178"/>
      <c r="Z16" t="str">
        <f>_xlfn.IFS(LocationInfo[Select Letter Language]="English",'FL Prep'!AC16,LocationInfo[Select Letter Language]="Spanish",'FL Prep'!AD16,LocationInfo[Select Letter Language]="French",'FL Prep'!AE16,LocationInfo[Select Letter Language]="Portuguese",'FL Prep'!AF16)</f>
        <v>Políticas y Procedimientos</v>
      </c>
      <c r="AA16" s="143">
        <f>IF(tblAllSections[[#This Row],[SECCION]]=0,"",COUNTIFS(CallTb[Answer],"No*",CallTb[Section],tblAllSections[[#This Row],[SECCION]]))</f>
        <v>0</v>
      </c>
      <c r="AC16" s="70" t="s">
        <v>186</v>
      </c>
      <c r="AD16" s="103" t="s">
        <v>187</v>
      </c>
      <c r="AE16" s="103" t="s">
        <v>190</v>
      </c>
      <c r="AF16" s="103" t="s">
        <v>191</v>
      </c>
    </row>
    <row r="17" spans="8:32" ht="15" customHeight="1">
      <c r="H17" t="str" cm="1">
        <f t="array" ref="H17">Requirement('Call Flow'!$D$4,tblFLPrep[[#This Row],[Answer]],tblFLPrep[[#This Row],[Fynding Type]])&amp;IF(tblFLPrep[[#This Row],[Add Missing]]="Yes","No","")</f>
        <v/>
      </c>
      <c r="I17" t="str">
        <f>_xlfn.IFS(tblFLPrep[[#This Row],[Add Missing]]="Yes","N/A",OR(tblFLPrep[[#This Row],[Follow Up Required]]="YES",tblFLPrep[[#This Row],[Follow Up Required]]="SI"),LocationInfo[Due Date],tblFLPrep[[#This Row],[Follow Up Required]]="NO*","N/A",tblFLPrep[[#This Row],[Follow Up Required]]="NO","N/A",tblFLPrep[[#This Row],[Follow Up Required]]="","")</f>
        <v/>
      </c>
      <c r="J17" t="str">
        <f>IF(((tblFLPrep[[#This Row],[Section]]&lt;&gt;"")*((tblFLPrep[[#This Row],[Follow Up Required]]="Yes")+(tblFLPrep[[#This Row],[Follow Up Required]]="No"))),"A","")</f>
        <v/>
      </c>
      <c r="L17" t="str">
        <f>IFERROR(IF(AND(COUNTIF($E$1:E17,tblFLPrep[[#This Row],[Section]])=1,E17&lt;&gt;0,D17=""),"Yes",""),"")</f>
        <v/>
      </c>
      <c r="N17" t="str">
        <f>IF(tblFLPrep[[#This Row],[Sorting]]="","",SUM($M$1:M17))</f>
        <v/>
      </c>
      <c r="O17" t="e">
        <f>_xlfn.IFS(P16="Numbering",1,AND(tblFLPrep[[#This Row],[Counting findings2]]&gt;=1,tblFLPrep[[#This Row],[Counting findings2]]&lt;=600),O16+P16,AND(tblFLPrep[[#This Row],[Counting findings2]]&gt;=601,tblFLPrep[[#This Row],[Counting findings2]]&lt;=1200),IF(AND(N16&lt;=600,N17&gt;=600),(12-O16),0)+O16+P16,AND(tblFLPrep[[#This Row],[Counting findings2]]&gt;=1201,tblFLPrep[[#This Row],[Counting findings2]]&lt;=1800),IF(AND(N16&lt;=1200,N17&gt;=1200),(24-O16),0)+O16+P16,AND(tblFLPrep[[#This Row],[Counting findings2]]&gt;=1801,tblFLPrep[[#This Row],[Counting findings2]]&lt;=2400),IF(AND(N16&lt;=1800,N17&gt;=1800),(36-O16),0)+O16+P16,AND(tblFLPrep[[#This Row],[Counting findings2]]&gt;=2401,tblFLPrep[[#This Row],[Counting findings2]]&lt;=3000),IF(AND(N16&lt;=2400,N17&gt;=2400),(48-O16),0)+O16+P16,AND(tblFLPrep[[#This Row],[Counting findings2]]&gt;=3001,tblFLPrep[[#This Row],[Counting findings2]]&lt;=3600),IF(AND(N16&lt;=3000,N17&gt;=3000),(60-O16),0)+O16+P16)</f>
        <v>#N/A</v>
      </c>
      <c r="P17" t="str">
        <f>IF(AND(tblFLPrep[[#This Row],[Sorting]]="A",tblFLPrep[[#This Row],[Row size]]&gt;0),1,"")</f>
        <v/>
      </c>
      <c r="U17" s="132" t="s">
        <v>192</v>
      </c>
      <c r="Z17" t="str">
        <f>_xlfn.IFS(LocationInfo[Select Letter Language]="English",'FL Prep'!AC17,LocationInfo[Select Letter Language]="Spanish",'FL Prep'!AD17,LocationInfo[Select Letter Language]="French",'FL Prep'!AE17,LocationInfo[Select Letter Language]="Portuguese",'FL Prep'!AF17)</f>
        <v>Mantenimiento de Registros</v>
      </c>
      <c r="AA17" s="143">
        <f>IF(tblAllSections[[#This Row],[SECCION]]=0,"",COUNTIFS(CallTb[Answer],"No*",CallTb[Section],tblAllSections[[#This Row],[SECCION]]))</f>
        <v>0</v>
      </c>
      <c r="AC17" s="103" t="s">
        <v>193</v>
      </c>
      <c r="AD17" s="103" t="s">
        <v>194</v>
      </c>
      <c r="AE17" s="103" t="s">
        <v>195</v>
      </c>
      <c r="AF17" s="103" t="s">
        <v>196</v>
      </c>
    </row>
    <row r="18" spans="8:32" ht="15" customHeight="1">
      <c r="H18" t="str" cm="1">
        <f t="array" ref="H18">Requirement('Call Flow'!$D$4,tblFLPrep[[#This Row],[Answer]],tblFLPrep[[#This Row],[Fynding Type]])&amp;IF(tblFLPrep[[#This Row],[Add Missing]]="Yes","No","")</f>
        <v/>
      </c>
      <c r="I18" t="str">
        <f>_xlfn.IFS(tblFLPrep[[#This Row],[Add Missing]]="Yes","N/A",OR(tblFLPrep[[#This Row],[Follow Up Required]]="YES",tblFLPrep[[#This Row],[Follow Up Required]]="SI"),LocationInfo[Due Date],tblFLPrep[[#This Row],[Follow Up Required]]="NO*","N/A",tblFLPrep[[#This Row],[Follow Up Required]]="NO","N/A",tblFLPrep[[#This Row],[Follow Up Required]]="","")</f>
        <v/>
      </c>
      <c r="J18" t="str">
        <f>IF(((tblFLPrep[[#This Row],[Section]]&lt;&gt;"")*((tblFLPrep[[#This Row],[Follow Up Required]]="Yes")+(tblFLPrep[[#This Row],[Follow Up Required]]="No"))),"A","")</f>
        <v/>
      </c>
      <c r="L18" t="str">
        <f>IFERROR(IF(AND(COUNTIF($E$1:E18,tblFLPrep[[#This Row],[Section]])=1,E18&lt;&gt;0,D18=""),"Yes",""),"")</f>
        <v/>
      </c>
      <c r="N18" t="str">
        <f>IF(tblFLPrep[[#This Row],[Sorting]]="","",SUM($M$1:M18))</f>
        <v/>
      </c>
      <c r="O18" t="e">
        <f>_xlfn.IFS(P17="Numbering",1,AND(tblFLPrep[[#This Row],[Counting findings2]]&gt;=1,tblFLPrep[[#This Row],[Counting findings2]]&lt;=600),O17+P17,AND(tblFLPrep[[#This Row],[Counting findings2]]&gt;=601,tblFLPrep[[#This Row],[Counting findings2]]&lt;=1200),IF(AND(N17&lt;=600,N18&gt;=600),(12-O17),0)+O17+P17,AND(tblFLPrep[[#This Row],[Counting findings2]]&gt;=1201,tblFLPrep[[#This Row],[Counting findings2]]&lt;=1800),IF(AND(N17&lt;=1200,N18&gt;=1200),(24-O17),0)+O17+P17,AND(tblFLPrep[[#This Row],[Counting findings2]]&gt;=1801,tblFLPrep[[#This Row],[Counting findings2]]&lt;=2400),IF(AND(N17&lt;=1800,N18&gt;=1800),(36-O17),0)+O17+P17,AND(tblFLPrep[[#This Row],[Counting findings2]]&gt;=2401,tblFLPrep[[#This Row],[Counting findings2]]&lt;=3000),IF(AND(N17&lt;=2400,N18&gt;=2400),(48-O17),0)+O17+P17,AND(tblFLPrep[[#This Row],[Counting findings2]]&gt;=3001,tblFLPrep[[#This Row],[Counting findings2]]&lt;=3600),IF(AND(N17&lt;=3000,N18&gt;=3000),(60-O17),0)+O17+P17)</f>
        <v>#N/A</v>
      </c>
      <c r="P18" t="str">
        <f>IF(AND(tblFLPrep[[#This Row],[Sorting]]="A",tblFLPrep[[#This Row],[Row size]]&gt;0),1,"")</f>
        <v/>
      </c>
      <c r="U18" s="132"/>
      <c r="Z18" t="str">
        <f>_xlfn.IFS(LocationInfo[Select Letter Language]="English",'FL Prep'!AC18,LocationInfo[Select Letter Language]="Spanish",'FL Prep'!AD18,LocationInfo[Select Letter Language]="French",'FL Prep'!AE18,LocationInfo[Select Letter Language]="Portuguese",'FL Prep'!AF18)</f>
        <v>Mantenimiento de Registros</v>
      </c>
      <c r="AA18" s="143">
        <f>IF(tblAllSections[[#This Row],[SECCION]]=0,"",COUNTIFS(CallTb[Answer],"No*",CallTb[Section],tblAllSections[[#This Row],[SECCION]]))</f>
        <v>0</v>
      </c>
      <c r="AC18" s="29" t="s">
        <v>197</v>
      </c>
      <c r="AD18" s="184" t="s">
        <v>194</v>
      </c>
      <c r="AE18" s="184" t="s">
        <v>198</v>
      </c>
      <c r="AF18" s="184" t="s">
        <v>196</v>
      </c>
    </row>
    <row r="19" spans="8:32" ht="15" customHeight="1">
      <c r="H19" t="str" cm="1">
        <f t="array" ref="H19">Requirement('Call Flow'!$D$4,tblFLPrep[[#This Row],[Answer]],tblFLPrep[[#This Row],[Fynding Type]])&amp;IF(tblFLPrep[[#This Row],[Add Missing]]="Yes","No","")</f>
        <v/>
      </c>
      <c r="I19" t="str">
        <f>_xlfn.IFS(tblFLPrep[[#This Row],[Add Missing]]="Yes","N/A",OR(tblFLPrep[[#This Row],[Follow Up Required]]="YES",tblFLPrep[[#This Row],[Follow Up Required]]="SI"),LocationInfo[Due Date],tblFLPrep[[#This Row],[Follow Up Required]]="NO*","N/A",tblFLPrep[[#This Row],[Follow Up Required]]="NO","N/A",tblFLPrep[[#This Row],[Follow Up Required]]="","")</f>
        <v/>
      </c>
      <c r="J19" t="str">
        <f>IF(((tblFLPrep[[#This Row],[Section]]&lt;&gt;"")*((tblFLPrep[[#This Row],[Follow Up Required]]="Yes")+(tblFLPrep[[#This Row],[Follow Up Required]]="No"))),"A","")</f>
        <v/>
      </c>
      <c r="L19" t="str">
        <f>IFERROR(IF(AND(COUNTIF($E$1:E19,tblFLPrep[[#This Row],[Section]])=1,E19&lt;&gt;0,D19=""),"Yes",""),"")</f>
        <v/>
      </c>
      <c r="N19" t="str">
        <f>IF(tblFLPrep[[#This Row],[Sorting]]="","",SUM($M$1:M19))</f>
        <v/>
      </c>
      <c r="O19" t="e">
        <f>_xlfn.IFS(P18="Numbering",1,AND(tblFLPrep[[#This Row],[Counting findings2]]&gt;=1,tblFLPrep[[#This Row],[Counting findings2]]&lt;=600),O18+P18,AND(tblFLPrep[[#This Row],[Counting findings2]]&gt;=601,tblFLPrep[[#This Row],[Counting findings2]]&lt;=1200),IF(AND(N18&lt;=600,N19&gt;=600),(12-O18),0)+O18+P18,AND(tblFLPrep[[#This Row],[Counting findings2]]&gt;=1201,tblFLPrep[[#This Row],[Counting findings2]]&lt;=1800),IF(AND(N18&lt;=1200,N19&gt;=1200),(24-O18),0)+O18+P18,AND(tblFLPrep[[#This Row],[Counting findings2]]&gt;=1801,tblFLPrep[[#This Row],[Counting findings2]]&lt;=2400),IF(AND(N18&lt;=1800,N19&gt;=1800),(36-O18),0)+O18+P18,AND(tblFLPrep[[#This Row],[Counting findings2]]&gt;=2401,tblFLPrep[[#This Row],[Counting findings2]]&lt;=3000),IF(AND(N18&lt;=2400,N19&gt;=2400),(48-O18),0)+O18+P18,AND(tblFLPrep[[#This Row],[Counting findings2]]&gt;=3001,tblFLPrep[[#This Row],[Counting findings2]]&lt;=3600),IF(AND(N18&lt;=3000,N19&gt;=3000),(60-O18),0)+O18+P18)</f>
        <v>#N/A</v>
      </c>
      <c r="P19" t="str">
        <f>IF(AND(tblFLPrep[[#This Row],[Sorting]]="A",tblFLPrep[[#This Row],[Row size]]&gt;0),1,"")</f>
        <v/>
      </c>
      <c r="U19" s="132"/>
      <c r="Z19" t="str">
        <f>_xlfn.IFS(LocationInfo[Select Letter Language]="English",'FL Prep'!AC19,LocationInfo[Select Letter Language]="Spanish",'FL Prep'!AD19,LocationInfo[Select Letter Language]="French",'FL Prep'!AE19,LocationInfo[Select Letter Language]="Portuguese",'FL Prep'!AF19)</f>
        <v>Informes</v>
      </c>
      <c r="AA19" s="143">
        <f>IF(tblAllSections[[#This Row],[SECCION]]=0,"",COUNTIFS(CallTb[Answer],"No*",CallTb[Section],tblAllSections[[#This Row],[SECCION]]))</f>
        <v>0</v>
      </c>
      <c r="AC19" s="29" t="s">
        <v>199</v>
      </c>
      <c r="AD19" s="184" t="s">
        <v>200</v>
      </c>
      <c r="AE19" s="184" t="s">
        <v>201</v>
      </c>
      <c r="AF19" s="184" t="s">
        <v>202</v>
      </c>
    </row>
    <row r="20" spans="8:32" ht="15" customHeight="1">
      <c r="H20" t="str" cm="1">
        <f t="array" ref="H20">Requirement('Call Flow'!$D$4,tblFLPrep[[#This Row],[Answer]],tblFLPrep[[#This Row],[Fynding Type]])&amp;IF(tblFLPrep[[#This Row],[Add Missing]]="Yes","No","")</f>
        <v/>
      </c>
      <c r="I20" t="str">
        <f>_xlfn.IFS(tblFLPrep[[#This Row],[Add Missing]]="Yes","N/A",OR(tblFLPrep[[#This Row],[Follow Up Required]]="YES",tblFLPrep[[#This Row],[Follow Up Required]]="SI"),LocationInfo[Due Date],tblFLPrep[[#This Row],[Follow Up Required]]="NO*","N/A",tblFLPrep[[#This Row],[Follow Up Required]]="NO","N/A",tblFLPrep[[#This Row],[Follow Up Required]]="","")</f>
        <v/>
      </c>
      <c r="J20" t="str">
        <f>IF(((tblFLPrep[[#This Row],[Section]]&lt;&gt;"")*((tblFLPrep[[#This Row],[Follow Up Required]]="Yes")+(tblFLPrep[[#This Row],[Follow Up Required]]="No"))),"A","")</f>
        <v/>
      </c>
      <c r="L20" t="str">
        <f>IFERROR(IF(AND(COUNTIF($E$1:E20,tblFLPrep[[#This Row],[Section]])=1,E20&lt;&gt;0,D20=""),"Yes",""),"")</f>
        <v/>
      </c>
      <c r="N20" t="str">
        <f>IF(tblFLPrep[[#This Row],[Sorting]]="","",SUM($M$1:M20))</f>
        <v/>
      </c>
      <c r="O20" t="e">
        <f>_xlfn.IFS(P19="Numbering",1,AND(tblFLPrep[[#This Row],[Counting findings2]]&gt;=1,tblFLPrep[[#This Row],[Counting findings2]]&lt;=600),O19+P19,AND(tblFLPrep[[#This Row],[Counting findings2]]&gt;=601,tblFLPrep[[#This Row],[Counting findings2]]&lt;=1200),IF(AND(N19&lt;=600,N20&gt;=600),(12-O19),0)+O19+P19,AND(tblFLPrep[[#This Row],[Counting findings2]]&gt;=1201,tblFLPrep[[#This Row],[Counting findings2]]&lt;=1800),IF(AND(N19&lt;=1200,N20&gt;=1200),(24-O19),0)+O19+P19,AND(tblFLPrep[[#This Row],[Counting findings2]]&gt;=1801,tblFLPrep[[#This Row],[Counting findings2]]&lt;=2400),IF(AND(N19&lt;=1800,N20&gt;=1800),(36-O19),0)+O19+P19,AND(tblFLPrep[[#This Row],[Counting findings2]]&gt;=2401,tblFLPrep[[#This Row],[Counting findings2]]&lt;=3000),IF(AND(N19&lt;=2400,N20&gt;=2400),(48-O19),0)+O19+P19,AND(tblFLPrep[[#This Row],[Counting findings2]]&gt;=3001,tblFLPrep[[#This Row],[Counting findings2]]&lt;=3600),IF(AND(N19&lt;=3000,N20&gt;=3000),(60-O19),0)+O19+P19)</f>
        <v>#N/A</v>
      </c>
      <c r="P20" t="str">
        <f>IF(AND(tblFLPrep[[#This Row],[Sorting]]="A",tblFLPrep[[#This Row],[Row size]]&gt;0),1,"")</f>
        <v/>
      </c>
      <c r="U20" s="177" t="s">
        <v>203</v>
      </c>
      <c r="V20" s="7" t="str" cm="1">
        <f t="array" ref="V20">_xlfn.IFS(V4=0,"$A$38:$F$38",SUM(tblFLPrep[Row size])&lt;=600,"$A$38:$F$62",AND(SUM(tblFLPrep[Row size])&gt;=601,SUM(tblFLPrep[Row size])&lt;=1200),"$A$38:$F$87",AND(SUM(tblFLPrep[Row size])&gt;=1201,SUM(tblFLPrep[Row size])&lt;=1800),"$A$38:$F$112",AND(SUM(tblFLPrep[Row size])&gt;=1801,SUM(tblFLPrep[Row size])&lt;=2400),"$A$38:$F$137",AND(SUM(tblFLPrep[Row size])&gt;=2401,SUM(tblFLPrep[Row size])&lt;=3000),"$A$38:$F$162",AND(SUM(tblFLPrep[Row size])&gt;=3001,SUM(tblFLPrep[Row size])&lt;=3600),"$A$38:$F$187")</f>
        <v>$A$38:$F$38</v>
      </c>
      <c r="Z20" t="str">
        <f>_xlfn.IFS(LocationInfo[Select Letter Language]="English",'FL Prep'!AC20,LocationInfo[Select Letter Language]="Spanish",'FL Prep'!AD20,LocationInfo[Select Letter Language]="French",'FL Prep'!AE20,LocationInfo[Select Letter Language]="Portuguese",'FL Prep'!AF20)</f>
        <v>Informes</v>
      </c>
      <c r="AA20" s="143">
        <f>IF(tblAllSections[[#This Row],[SECCION]]=0,"",COUNTIFS(CallTb[Answer],"No*",CallTb[Section],tblAllSections[[#This Row],[SECCION]]))</f>
        <v>0</v>
      </c>
      <c r="AC20" s="29" t="s">
        <v>199</v>
      </c>
      <c r="AD20" s="184" t="s">
        <v>200</v>
      </c>
      <c r="AE20" s="184" t="s">
        <v>204</v>
      </c>
      <c r="AF20" s="184" t="s">
        <v>205</v>
      </c>
    </row>
    <row r="21" spans="8:32" ht="15" customHeight="1">
      <c r="H21" t="str" cm="1">
        <f t="array" ref="H21">Requirement('Call Flow'!$D$4,tblFLPrep[[#This Row],[Answer]],tblFLPrep[[#This Row],[Fynding Type]])&amp;IF(tblFLPrep[[#This Row],[Add Missing]]="Yes","No","")</f>
        <v/>
      </c>
      <c r="I21" t="str">
        <f>_xlfn.IFS(tblFLPrep[[#This Row],[Add Missing]]="Yes","N/A",OR(tblFLPrep[[#This Row],[Follow Up Required]]="YES",tblFLPrep[[#This Row],[Follow Up Required]]="SI"),LocationInfo[Due Date],tblFLPrep[[#This Row],[Follow Up Required]]="NO*","N/A",tblFLPrep[[#This Row],[Follow Up Required]]="NO","N/A",tblFLPrep[[#This Row],[Follow Up Required]]="","")</f>
        <v/>
      </c>
      <c r="J21" t="str">
        <f>IF(((tblFLPrep[[#This Row],[Section]]&lt;&gt;"")*((tblFLPrep[[#This Row],[Follow Up Required]]="Yes")+(tblFLPrep[[#This Row],[Follow Up Required]]="No"))),"A","")</f>
        <v/>
      </c>
      <c r="L21" t="str">
        <f>IFERROR(IF(AND(COUNTIF($E$1:E21,tblFLPrep[[#This Row],[Section]])=1,E21&lt;&gt;0,D21=""),"Yes",""),"")</f>
        <v/>
      </c>
      <c r="N21" t="str">
        <f>IF(tblFLPrep[[#This Row],[Sorting]]="","",SUM($M$1:M77))</f>
        <v/>
      </c>
      <c r="O21" t="e">
        <f>_xlfn.IFS(P20="Numbering",1,AND(tblFLPrep[[#This Row],[Counting findings2]]&gt;=1,tblFLPrep[[#This Row],[Counting findings2]]&lt;=600),O20+P20,AND(tblFLPrep[[#This Row],[Counting findings2]]&gt;=601,tblFLPrep[[#This Row],[Counting findings2]]&lt;=1200),IF(AND(N20&lt;=600,N21&gt;=600),(12-O20),0)+O20+P20,AND(tblFLPrep[[#This Row],[Counting findings2]]&gt;=1201,tblFLPrep[[#This Row],[Counting findings2]]&lt;=1800),IF(AND(N20&lt;=1200,N21&gt;=1200),(24-O20),0)+O20+P20,AND(tblFLPrep[[#This Row],[Counting findings2]]&gt;=1801,tblFLPrep[[#This Row],[Counting findings2]]&lt;=2400),IF(AND(N20&lt;=1800,N21&gt;=1800),(36-O20),0)+O20+P20,AND(tblFLPrep[[#This Row],[Counting findings2]]&gt;=2401,tblFLPrep[[#This Row],[Counting findings2]]&lt;=3000),IF(AND(N20&lt;=2400,N21&gt;=2400),(48-O20),0)+O20+P20,AND(tblFLPrep[[#This Row],[Counting findings2]]&gt;=3001,tblFLPrep[[#This Row],[Counting findings2]]&lt;=3600),IF(AND(N20&lt;=3000,N21&gt;=3000),(60-O20),0)+O20+P20)</f>
        <v>#N/A</v>
      </c>
      <c r="P21" t="str">
        <f>IF(AND(tblFLPrep[[#This Row],[Sorting]]="A",tblFLPrep[[#This Row],[Row size]]&gt;0),1,"")</f>
        <v/>
      </c>
      <c r="U21" s="179" t="s">
        <v>132</v>
      </c>
      <c r="V21" s="7" cm="1">
        <f t="array" ref="V21">_xlfn.IFS(V4=0,1,SUM(tblFLPrep[Row size])&lt;=600,2,AND(SUM(tblFLPrep[Row size])&gt;=601,SUM(tblFLPrep[Row size])&lt;=1200),3,AND(SUM(tblFLPrep[Row size])&gt;=1201,SUM(tblFLPrep[Row size])&lt;=1800),4,AND(SUM(tblFLPrep[Row size])&gt;=1801,SUM(tblFLPrep[Row size])&lt;=2400),5,AND(SUM(tblFLPrep[Row size])&gt;=2401,SUM(tblFLPrep[Row size])&lt;=3000),6,AND(SUM(tblFLPrep[Row size])&gt;=3001,SUM(tblFLPrep[Row size])&lt;=3600),7)</f>
        <v>1</v>
      </c>
      <c r="Z21" t="str">
        <f>_xlfn.IFS(LocationInfo[Select Letter Language]="English",'FL Prep'!AC21,LocationInfo[Select Letter Language]="Spanish",'FL Prep'!AD21,LocationInfo[Select Letter Language]="French",'FL Prep'!AE21,LocationInfo[Select Letter Language]="Portuguese",'FL Prep'!AF21)</f>
        <v>Gestión y Supervisión de los Subagentes</v>
      </c>
      <c r="AA21" s="143">
        <f>IF(tblAllSections[[#This Row],[SECCION]]=0,"",COUNTIFS(CallTb[Answer],"No*",CallTb[Section],tblAllSections[[#This Row],[SECCION]]))</f>
        <v>0</v>
      </c>
      <c r="AC21" s="29" t="s">
        <v>206</v>
      </c>
      <c r="AD21" s="184" t="s">
        <v>207</v>
      </c>
      <c r="AE21" s="184" t="s">
        <v>208</v>
      </c>
      <c r="AF21" s="184" t="s">
        <v>209</v>
      </c>
    </row>
    <row r="22" spans="8:32" ht="15" customHeight="1">
      <c r="H22" t="str" cm="1">
        <f t="array" ref="H22">Requirement('Call Flow'!$D$4,tblFLPrep[[#This Row],[Answer]],tblFLPrep[[#This Row],[Fynding Type]])&amp;IF(tblFLPrep[[#This Row],[Add Missing]]="Yes","No","")</f>
        <v/>
      </c>
      <c r="I22" t="str">
        <f>_xlfn.IFS(tblFLPrep[[#This Row],[Add Missing]]="Yes","N/A",OR(tblFLPrep[[#This Row],[Follow Up Required]]="YES",tblFLPrep[[#This Row],[Follow Up Required]]="SI"),LocationInfo[Due Date],tblFLPrep[[#This Row],[Follow Up Required]]="NO*","N/A",tblFLPrep[[#This Row],[Follow Up Required]]="NO","N/A",tblFLPrep[[#This Row],[Follow Up Required]]="","")</f>
        <v/>
      </c>
      <c r="J22" t="str">
        <f>IF(((tblFLPrep[[#This Row],[Section]]&lt;&gt;"")*((tblFLPrep[[#This Row],[Follow Up Required]]="Yes")+(tblFLPrep[[#This Row],[Follow Up Required]]="No"))),"A","")</f>
        <v/>
      </c>
      <c r="L22" t="str">
        <f>IFERROR(IF(AND(COUNTIF($E$1:E22,tblFLPrep[[#This Row],[Section]])=1,E22&lt;&gt;0,D22=""),"Yes",""),"")</f>
        <v/>
      </c>
      <c r="N22" t="str">
        <f>IF(tblFLPrep[[#This Row],[Sorting]]="","",SUM($M$1:M78))</f>
        <v/>
      </c>
      <c r="O22" t="e">
        <f>_xlfn.IFS(P21="Numbering",1,AND(tblFLPrep[[#This Row],[Counting findings2]]&gt;=1,tblFLPrep[[#This Row],[Counting findings2]]&lt;=600),O21+P21,AND(tblFLPrep[[#This Row],[Counting findings2]]&gt;=601,tblFLPrep[[#This Row],[Counting findings2]]&lt;=1200),IF(AND(N21&lt;=600,N22&gt;=600),(12-O21),0)+O21+P21,AND(tblFLPrep[[#This Row],[Counting findings2]]&gt;=1201,tblFLPrep[[#This Row],[Counting findings2]]&lt;=1800),IF(AND(N21&lt;=1200,N22&gt;=1200),(24-O21),0)+O21+P21,AND(tblFLPrep[[#This Row],[Counting findings2]]&gt;=1801,tblFLPrep[[#This Row],[Counting findings2]]&lt;=2400),IF(AND(N21&lt;=1800,N22&gt;=1800),(36-O21),0)+O21+P21,AND(tblFLPrep[[#This Row],[Counting findings2]]&gt;=2401,tblFLPrep[[#This Row],[Counting findings2]]&lt;=3000),IF(AND(N21&lt;=2400,N22&gt;=2400),(48-O21),0)+O21+P21,AND(tblFLPrep[[#This Row],[Counting findings2]]&gt;=3001,tblFLPrep[[#This Row],[Counting findings2]]&lt;=3600),IF(AND(N21&lt;=3000,N22&gt;=3000),(60-O21),0)+O21+P21)</f>
        <v>#N/A</v>
      </c>
      <c r="P22" t="str">
        <f>IF(AND(tblFLPrep[[#This Row],[Sorting]]="A",tblFLPrep[[#This Row],[Row size]]&gt;0),1,"")</f>
        <v/>
      </c>
      <c r="Z22" t="str">
        <f>_xlfn.IFS(LocationInfo[Select Letter Language]="English",'FL Prep'!AC22,LocationInfo[Select Letter Language]="Spanish",'FL Prep'!AD22,LocationInfo[Select Letter Language]="French",'FL Prep'!AE22,LocationInfo[Select Letter Language]="Portuguese",'FL Prep'!AF22)</f>
        <v>Programa de Formación</v>
      </c>
      <c r="AA22" s="143">
        <f>IF(tblAllSections[[#This Row],[SECCION]]=0,"",COUNTIFS(CallTb[Answer],"No*",CallTb[Section],tblAllSections[[#This Row],[SECCION]]))</f>
        <v>0</v>
      </c>
      <c r="AC22" s="29" t="s">
        <v>210</v>
      </c>
      <c r="AD22" s="184" t="s">
        <v>211</v>
      </c>
      <c r="AE22" s="184" t="s">
        <v>212</v>
      </c>
      <c r="AF22" s="184" t="s">
        <v>213</v>
      </c>
    </row>
    <row r="23" spans="8:32" ht="15" customHeight="1">
      <c r="H23" t="str" cm="1">
        <f t="array" ref="H23">Requirement('Call Flow'!$D$4,tblFLPrep[[#This Row],[Answer]],tblFLPrep[[#This Row],[Fynding Type]])&amp;IF(tblFLPrep[[#This Row],[Add Missing]]="Yes","No","")</f>
        <v/>
      </c>
      <c r="I23" t="str">
        <f>_xlfn.IFS(tblFLPrep[[#This Row],[Add Missing]]="Yes","N/A",OR(tblFLPrep[[#This Row],[Follow Up Required]]="YES",tblFLPrep[[#This Row],[Follow Up Required]]="SI"),LocationInfo[Due Date],tblFLPrep[[#This Row],[Follow Up Required]]="NO*","N/A",tblFLPrep[[#This Row],[Follow Up Required]]="NO","N/A",tblFLPrep[[#This Row],[Follow Up Required]]="","")</f>
        <v/>
      </c>
      <c r="J23" t="str">
        <f>IF(((tblFLPrep[[#This Row],[Section]]&lt;&gt;"")*((tblFLPrep[[#This Row],[Follow Up Required]]="Yes")+(tblFLPrep[[#This Row],[Follow Up Required]]="No"))),"A","")</f>
        <v/>
      </c>
      <c r="L23" t="str">
        <f>IFERROR(IF(AND(COUNTIF($E$1:E23,tblFLPrep[[#This Row],[Section]])=1,E23&lt;&gt;0,D23=""),"Yes",""),"")</f>
        <v/>
      </c>
      <c r="N23" t="str">
        <f>IF(tblFLPrep[[#This Row],[Sorting]]="","",SUM($M$1:M23))</f>
        <v/>
      </c>
      <c r="O23" t="e">
        <f>_xlfn.IFS(P22="Numbering",1,AND(tblFLPrep[[#This Row],[Counting findings2]]&gt;=1,tblFLPrep[[#This Row],[Counting findings2]]&lt;=600),O22+P22,AND(tblFLPrep[[#This Row],[Counting findings2]]&gt;=601,tblFLPrep[[#This Row],[Counting findings2]]&lt;=1200),IF(AND(N22&lt;=600,N23&gt;=600),(12-O22),0)+O22+P22,AND(tblFLPrep[[#This Row],[Counting findings2]]&gt;=1201,tblFLPrep[[#This Row],[Counting findings2]]&lt;=1800),IF(AND(N22&lt;=1200,N23&gt;=1200),(24-O22),0)+O22+P22,AND(tblFLPrep[[#This Row],[Counting findings2]]&gt;=1801,tblFLPrep[[#This Row],[Counting findings2]]&lt;=2400),IF(AND(N22&lt;=1800,N23&gt;=1800),(36-O22),0)+O22+P22,AND(tblFLPrep[[#This Row],[Counting findings2]]&gt;=2401,tblFLPrep[[#This Row],[Counting findings2]]&lt;=3000),IF(AND(N22&lt;=2400,N23&gt;=2400),(48-O22),0)+O22+P22,AND(tblFLPrep[[#This Row],[Counting findings2]]&gt;=3001,tblFLPrep[[#This Row],[Counting findings2]]&lt;=3600),IF(AND(N22&lt;=3000,N23&gt;=3000),(60-O22),0)+O22+P22)</f>
        <v>#N/A</v>
      </c>
      <c r="P23" t="str">
        <f>IF(AND(tblFLPrep[[#This Row],[Sorting]]="A",tblFLPrep[[#This Row],[Row size]]&gt;0),1,"")</f>
        <v/>
      </c>
      <c r="Z23" t="str">
        <f>_xlfn.IFS(LocationInfo[Select Letter Language]="English",'FL Prep'!AC23,LocationInfo[Select Letter Language]="Spanish",'FL Prep'!AD23,LocationInfo[Select Letter Language]="French",'FL Prep'!AE23,LocationInfo[Select Letter Language]="Portuguese",'FL Prep'!AF23)</f>
        <v>Programa de Formación</v>
      </c>
      <c r="AA23" s="143">
        <f>IF(tblAllSections[[#This Row],[SECCION]]=0,"",COUNTIFS(CallTb[Answer],"No*",CallTb[Section],tblAllSections[[#This Row],[SECCION]]))</f>
        <v>0</v>
      </c>
      <c r="AC23" s="29" t="s">
        <v>210</v>
      </c>
      <c r="AD23" s="103" t="s">
        <v>211</v>
      </c>
      <c r="AE23" s="103" t="s">
        <v>214</v>
      </c>
      <c r="AF23" s="103" t="s">
        <v>215</v>
      </c>
    </row>
    <row r="24" spans="8:32" ht="15" customHeight="1">
      <c r="H24" t="str" cm="1">
        <f t="array" ref="H24">Requirement('Call Flow'!$D$4,tblFLPrep[[#This Row],[Answer]],tblFLPrep[[#This Row],[Fynding Type]])&amp;IF(tblFLPrep[[#This Row],[Add Missing]]="Yes","No","")</f>
        <v/>
      </c>
      <c r="I24" t="str">
        <f>_xlfn.IFS(tblFLPrep[[#This Row],[Add Missing]]="Yes","N/A",OR(tblFLPrep[[#This Row],[Follow Up Required]]="YES",tblFLPrep[[#This Row],[Follow Up Required]]="SI"),LocationInfo[Due Date],tblFLPrep[[#This Row],[Follow Up Required]]="NO*","N/A",tblFLPrep[[#This Row],[Follow Up Required]]="NO","N/A",tblFLPrep[[#This Row],[Follow Up Required]]="","")</f>
        <v/>
      </c>
      <c r="J24" t="str">
        <f>IF(((tblFLPrep[[#This Row],[Section]]&lt;&gt;"")*((tblFLPrep[[#This Row],[Follow Up Required]]="Yes")+(tblFLPrep[[#This Row],[Follow Up Required]]="No"))),"A","")</f>
        <v/>
      </c>
      <c r="L24" t="str">
        <f>IFERROR(IF(AND(COUNTIF($E$1:E24,tblFLPrep[[#This Row],[Section]])=1,E24&lt;&gt;0,D24=""),"Yes",""),"")</f>
        <v/>
      </c>
      <c r="N24" t="str">
        <f>IF(tblFLPrep[[#This Row],[Sorting]]="","",SUM($M$1:M24))</f>
        <v/>
      </c>
      <c r="O24" t="e">
        <f>_xlfn.IFS(P23="Numbering",1,AND(tblFLPrep[[#This Row],[Counting findings2]]&gt;=1,tblFLPrep[[#This Row],[Counting findings2]]&lt;=600),O23+P23,AND(tblFLPrep[[#This Row],[Counting findings2]]&gt;=601,tblFLPrep[[#This Row],[Counting findings2]]&lt;=1200),IF(AND(N23&lt;=600,N24&gt;=600),(12-O23),0)+O23+P23,AND(tblFLPrep[[#This Row],[Counting findings2]]&gt;=1201,tblFLPrep[[#This Row],[Counting findings2]]&lt;=1800),IF(AND(N23&lt;=1200,N24&gt;=1200),(24-O23),0)+O23+P23,AND(tblFLPrep[[#This Row],[Counting findings2]]&gt;=1801,tblFLPrep[[#This Row],[Counting findings2]]&lt;=2400),IF(AND(N23&lt;=1800,N24&gt;=1800),(36-O23),0)+O23+P23,AND(tblFLPrep[[#This Row],[Counting findings2]]&gt;=2401,tblFLPrep[[#This Row],[Counting findings2]]&lt;=3000),IF(AND(N23&lt;=2400,N24&gt;=2400),(48-O23),0)+O23+P23,AND(tblFLPrep[[#This Row],[Counting findings2]]&gt;=3001,tblFLPrep[[#This Row],[Counting findings2]]&lt;=3600),IF(AND(N23&lt;=3000,N24&gt;=3000),(60-O23),0)+O23+P23)</f>
        <v>#N/A</v>
      </c>
      <c r="P24" t="str">
        <f>IF(AND(tblFLPrep[[#This Row],[Sorting]]="A",tblFLPrep[[#This Row],[Row size]]&gt;0),1,"")</f>
        <v/>
      </c>
      <c r="Z24">
        <f>_xlfn.IFS(LocationInfo[Select Letter Language]="English",'FL Prep'!AC24,LocationInfo[Select Letter Language]="Spanish",'FL Prep'!AD24,LocationInfo[Select Letter Language]="French",'FL Prep'!AE24,LocationInfo[Select Letter Language]="Portuguese",'FL Prep'!AF24)</f>
        <v>0</v>
      </c>
      <c r="AA24" s="143" t="str">
        <f>IF(tblAllSections[[#This Row],[SECCION]]=0,"",COUNTIFS(CallTb[Answer],"No*",CallTb[Section],tblAllSections[[#This Row],[SECCION]]))</f>
        <v/>
      </c>
      <c r="AC24" s="103" t="s">
        <v>206</v>
      </c>
      <c r="AD24" s="103"/>
      <c r="AE24" s="103"/>
    </row>
    <row r="25" spans="8:32" ht="15" customHeight="1">
      <c r="H25" t="str" cm="1">
        <f t="array" ref="H25">Requirement('Call Flow'!$D$4,tblFLPrep[[#This Row],[Answer]],tblFLPrep[[#This Row],[Fynding Type]])&amp;IF(tblFLPrep[[#This Row],[Add Missing]]="Yes","No","")</f>
        <v/>
      </c>
      <c r="I25" t="str">
        <f>_xlfn.IFS(tblFLPrep[[#This Row],[Add Missing]]="Yes","N/A",OR(tblFLPrep[[#This Row],[Follow Up Required]]="YES",tblFLPrep[[#This Row],[Follow Up Required]]="SI"),LocationInfo[Due Date],tblFLPrep[[#This Row],[Follow Up Required]]="NO*","N/A",tblFLPrep[[#This Row],[Follow Up Required]]="NO","N/A",tblFLPrep[[#This Row],[Follow Up Required]]="","")</f>
        <v/>
      </c>
      <c r="J25" t="str">
        <f>IF(((tblFLPrep[[#This Row],[Section]]&lt;&gt;"")*((tblFLPrep[[#This Row],[Follow Up Required]]="Yes")+(tblFLPrep[[#This Row],[Follow Up Required]]="No"))),"A","")</f>
        <v/>
      </c>
      <c r="L25" t="str">
        <f>IFERROR(IF(AND(COUNTIF($E$1:E25,tblFLPrep[[#This Row],[Section]])=1,E25&lt;&gt;0,D25=""),"Yes",""),"")</f>
        <v/>
      </c>
      <c r="N25" t="str">
        <f>IF(tblFLPrep[[#This Row],[Sorting]]="","",SUM($M$1:M25))</f>
        <v/>
      </c>
      <c r="O25" t="e">
        <f>_xlfn.IFS(P24="Numbering",1,AND(tblFLPrep[[#This Row],[Counting findings2]]&gt;=1,tblFLPrep[[#This Row],[Counting findings2]]&lt;=600),O24+P24,AND(tblFLPrep[[#This Row],[Counting findings2]]&gt;=601,tblFLPrep[[#This Row],[Counting findings2]]&lt;=1200),IF(AND(N24&lt;=600,N25&gt;=600),(12-O24),0)+O24+P24,AND(tblFLPrep[[#This Row],[Counting findings2]]&gt;=1201,tblFLPrep[[#This Row],[Counting findings2]]&lt;=1800),IF(AND(N24&lt;=1200,N25&gt;=1200),(24-O24),0)+O24+P24,AND(tblFLPrep[[#This Row],[Counting findings2]]&gt;=1801,tblFLPrep[[#This Row],[Counting findings2]]&lt;=2400),IF(AND(N24&lt;=1800,N25&gt;=1800),(36-O24),0)+O24+P24,AND(tblFLPrep[[#This Row],[Counting findings2]]&gt;=2401,tblFLPrep[[#This Row],[Counting findings2]]&lt;=3000),IF(AND(N24&lt;=2400,N25&gt;=2400),(48-O24),0)+O24+P24,AND(tblFLPrep[[#This Row],[Counting findings2]]&gt;=3001,tblFLPrep[[#This Row],[Counting findings2]]&lt;=3600),IF(AND(N24&lt;=3000,N25&gt;=3000),(60-O24),0)+O24+P24)</f>
        <v>#N/A</v>
      </c>
      <c r="P25" t="str">
        <f>IF(AND(tblFLPrep[[#This Row],[Sorting]]="A",tblFLPrep[[#This Row],[Row size]]&gt;0),1,"")</f>
        <v/>
      </c>
      <c r="Z25">
        <f>_xlfn.IFS(LocationInfo[Select Letter Language]="English",'FL Prep'!AC25,LocationInfo[Select Letter Language]="Spanish",'FL Prep'!AD25,LocationInfo[Select Letter Language]="French",'FL Prep'!AE25,LocationInfo[Select Letter Language]="Portuguese",'FL Prep'!AF25)</f>
        <v>0</v>
      </c>
      <c r="AA25" s="143" t="str">
        <f>IF(tblAllSections[[#This Row],[SECCION]]=0,"",COUNTIFS(CallTb[Answer],"No*",CallTb[Section],tblAllSections[[#This Row],[SECCION]]))</f>
        <v/>
      </c>
      <c r="AC25" s="184" t="s">
        <v>216</v>
      </c>
      <c r="AD25" s="103"/>
      <c r="AE25" s="103"/>
      <c r="AF25" s="103"/>
    </row>
    <row r="26" spans="8:32" ht="15" customHeight="1">
      <c r="H26" t="str" cm="1">
        <f t="array" ref="H26">Requirement('Call Flow'!$D$4,tblFLPrep[[#This Row],[Answer]],tblFLPrep[[#This Row],[Fynding Type]])&amp;IF(tblFLPrep[[#This Row],[Add Missing]]="Yes","No","")</f>
        <v/>
      </c>
      <c r="I26" t="str">
        <f>_xlfn.IFS(tblFLPrep[[#This Row],[Add Missing]]="Yes","N/A",OR(tblFLPrep[[#This Row],[Follow Up Required]]="YES",tblFLPrep[[#This Row],[Follow Up Required]]="SI"),LocationInfo[Due Date],tblFLPrep[[#This Row],[Follow Up Required]]="NO*","N/A",tblFLPrep[[#This Row],[Follow Up Required]]="NO","N/A",tblFLPrep[[#This Row],[Follow Up Required]]="","")</f>
        <v/>
      </c>
      <c r="J26" t="str">
        <f>IF(((tblFLPrep[[#This Row],[Section]]&lt;&gt;"")*((tblFLPrep[[#This Row],[Follow Up Required]]="Yes")+(tblFLPrep[[#This Row],[Follow Up Required]]="No"))),"A","")</f>
        <v/>
      </c>
      <c r="L26" t="str">
        <f>IFERROR(IF(AND(COUNTIF($E$1:E26,tblFLPrep[[#This Row],[Section]])=1,E26&lt;&gt;0,D26=""),"Yes",""),"")</f>
        <v/>
      </c>
      <c r="N26" t="str">
        <f>IF(tblFLPrep[[#This Row],[Sorting]]="","",SUM($M$1:M26))</f>
        <v/>
      </c>
      <c r="O26" t="e">
        <f>_xlfn.IFS(P25="Numbering",1,AND(tblFLPrep[[#This Row],[Counting findings2]]&gt;=1,tblFLPrep[[#This Row],[Counting findings2]]&lt;=600),O25+P25,AND(tblFLPrep[[#This Row],[Counting findings2]]&gt;=601,tblFLPrep[[#This Row],[Counting findings2]]&lt;=1200),IF(AND(N25&lt;=600,N26&gt;=600),(12-O25),0)+O25+P25,AND(tblFLPrep[[#This Row],[Counting findings2]]&gt;=1201,tblFLPrep[[#This Row],[Counting findings2]]&lt;=1800),IF(AND(N25&lt;=1200,N26&gt;=1200),(24-O25),0)+O25+P25,AND(tblFLPrep[[#This Row],[Counting findings2]]&gt;=1801,tblFLPrep[[#This Row],[Counting findings2]]&lt;=2400),IF(AND(N25&lt;=1800,N26&gt;=1800),(36-O25),0)+O25+P25,AND(tblFLPrep[[#This Row],[Counting findings2]]&gt;=2401,tblFLPrep[[#This Row],[Counting findings2]]&lt;=3000),IF(AND(N25&lt;=2400,N26&gt;=2400),(48-O25),0)+O25+P25,AND(tblFLPrep[[#This Row],[Counting findings2]]&gt;=3001,tblFLPrep[[#This Row],[Counting findings2]]&lt;=3600),IF(AND(N25&lt;=3000,N26&gt;=3000),(60-O25),0)+O25+P25)</f>
        <v>#N/A</v>
      </c>
      <c r="P26" t="str">
        <f>IF(AND(tblFLPrep[[#This Row],[Sorting]]="A",tblFLPrep[[#This Row],[Row size]]&gt;0),1,"")</f>
        <v/>
      </c>
      <c r="Z26">
        <f>_xlfn.IFS(LocationInfo[Select Letter Language]="English",'FL Prep'!AC26,LocationInfo[Select Letter Language]="Spanish",'FL Prep'!AD26,LocationInfo[Select Letter Language]="French",'FL Prep'!AE26,LocationInfo[Select Letter Language]="Portuguese",'FL Prep'!AF26)</f>
        <v>0</v>
      </c>
      <c r="AA26" s="143" t="str">
        <f>IF(tblAllSections[[#This Row],[SECCION]]=0,"",COUNTIFS(CallTb[Answer],"No*",CallTb[Section],tblAllSections[[#This Row],[SECCION]]))</f>
        <v/>
      </c>
      <c r="AC26" s="184" t="s">
        <v>217</v>
      </c>
      <c r="AD26" s="103"/>
      <c r="AE26" s="103"/>
      <c r="AF26" s="103"/>
    </row>
    <row r="27" spans="8:32" ht="15" customHeight="1">
      <c r="H27" t="str" cm="1">
        <f t="array" ref="H27">Requirement('Call Flow'!$D$4,tblFLPrep[[#This Row],[Answer]],tblFLPrep[[#This Row],[Fynding Type]])&amp;IF(tblFLPrep[[#This Row],[Add Missing]]="Yes","No","")</f>
        <v/>
      </c>
      <c r="I27" t="str">
        <f>_xlfn.IFS(tblFLPrep[[#This Row],[Add Missing]]="Yes","N/A",OR(tblFLPrep[[#This Row],[Follow Up Required]]="YES",tblFLPrep[[#This Row],[Follow Up Required]]="SI"),LocationInfo[Due Date],tblFLPrep[[#This Row],[Follow Up Required]]="NO*","N/A",tblFLPrep[[#This Row],[Follow Up Required]]="NO","N/A",tblFLPrep[[#This Row],[Follow Up Required]]="","")</f>
        <v/>
      </c>
      <c r="J27" t="str">
        <f>IF(((tblFLPrep[[#This Row],[Section]]&lt;&gt;"")*((tblFLPrep[[#This Row],[Follow Up Required]]="Yes")+(tblFLPrep[[#This Row],[Follow Up Required]]="No"))),"A","")</f>
        <v/>
      </c>
      <c r="L27" t="str">
        <f>IFERROR(IF(AND(COUNTIF($E$1:E27,tblFLPrep[[#This Row],[Section]])=1,E27&lt;&gt;0,D27=""),"Yes",""),"")</f>
        <v/>
      </c>
      <c r="N27" t="str">
        <f>IF(tblFLPrep[[#This Row],[Sorting]]="","",SUM($M$1:M27))</f>
        <v/>
      </c>
      <c r="O27" t="e">
        <f>_xlfn.IFS(P26="Numbering",1,AND(tblFLPrep[[#This Row],[Counting findings2]]&gt;=1,tblFLPrep[[#This Row],[Counting findings2]]&lt;=600),O26+P26,AND(tblFLPrep[[#This Row],[Counting findings2]]&gt;=601,tblFLPrep[[#This Row],[Counting findings2]]&lt;=1200),IF(AND(N26&lt;=600,N27&gt;=600),(12-O26),0)+O26+P26,AND(tblFLPrep[[#This Row],[Counting findings2]]&gt;=1201,tblFLPrep[[#This Row],[Counting findings2]]&lt;=1800),IF(AND(N26&lt;=1200,N27&gt;=1200),(24-O26),0)+O26+P26,AND(tblFLPrep[[#This Row],[Counting findings2]]&gt;=1801,tblFLPrep[[#This Row],[Counting findings2]]&lt;=2400),IF(AND(N26&lt;=1800,N27&gt;=1800),(36-O26),0)+O26+P26,AND(tblFLPrep[[#This Row],[Counting findings2]]&gt;=2401,tblFLPrep[[#This Row],[Counting findings2]]&lt;=3000),IF(AND(N26&lt;=2400,N27&gt;=2400),(48-O26),0)+O26+P26,AND(tblFLPrep[[#This Row],[Counting findings2]]&gt;=3001,tblFLPrep[[#This Row],[Counting findings2]]&lt;=3600),IF(AND(N26&lt;=3000,N27&gt;=3000),(60-O26),0)+O26+P26)</f>
        <v>#N/A</v>
      </c>
      <c r="P27" t="str">
        <f>IF(AND(tblFLPrep[[#This Row],[Sorting]]="A",tblFLPrep[[#This Row],[Row size]]&gt;0),1,"")</f>
        <v/>
      </c>
      <c r="Z27">
        <f>_xlfn.IFS(LocationInfo[Select Letter Language]="English",'FL Prep'!AC27,LocationInfo[Select Letter Language]="Spanish",'FL Prep'!AD27,LocationInfo[Select Letter Language]="French",'FL Prep'!AE27,LocationInfo[Select Letter Language]="Portuguese",'FL Prep'!AF27)</f>
        <v>0</v>
      </c>
      <c r="AA27" s="143" t="str">
        <f>IF(tblAllSections[[#This Row],[SECCION]]=0,"",COUNTIFS(CallTb[Answer],"No*",CallTb[Section],tblAllSections[[#This Row],[SECCION]]))</f>
        <v/>
      </c>
      <c r="AC27" s="184" t="s">
        <v>218</v>
      </c>
      <c r="AD27" s="103"/>
      <c r="AE27" s="103"/>
      <c r="AF27" s="103"/>
    </row>
    <row r="28" spans="8:32" ht="15" customHeight="1">
      <c r="H28" t="str" cm="1">
        <f t="array" ref="H28">Requirement('Call Flow'!$D$4,tblFLPrep[[#This Row],[Answer]],tblFLPrep[[#This Row],[Fynding Type]])&amp;IF(tblFLPrep[[#This Row],[Add Missing]]="Yes","No","")</f>
        <v/>
      </c>
      <c r="I28" t="str">
        <f>_xlfn.IFS(tblFLPrep[[#This Row],[Add Missing]]="Yes","N/A",OR(tblFLPrep[[#This Row],[Follow Up Required]]="YES",tblFLPrep[[#This Row],[Follow Up Required]]="SI"),LocationInfo[Due Date],tblFLPrep[[#This Row],[Follow Up Required]]="NO*","N/A",tblFLPrep[[#This Row],[Follow Up Required]]="NO","N/A",tblFLPrep[[#This Row],[Follow Up Required]]="","")</f>
        <v/>
      </c>
      <c r="J28" t="str">
        <f>IF(((tblFLPrep[[#This Row],[Section]]&lt;&gt;"")*((tblFLPrep[[#This Row],[Follow Up Required]]="Yes")+(tblFLPrep[[#This Row],[Follow Up Required]]="No"))),"A","")</f>
        <v/>
      </c>
      <c r="L28" t="str">
        <f>IFERROR(IF(AND(COUNTIF($E$1:E28,tblFLPrep[[#This Row],[Section]])=1,E28&lt;&gt;0,D28=""),"Yes",""),"")</f>
        <v/>
      </c>
      <c r="N28" t="str">
        <f>IF(tblFLPrep[[#This Row],[Sorting]]="","",SUM($M$1:M28))</f>
        <v/>
      </c>
      <c r="O28" t="e">
        <f>_xlfn.IFS(P27="Numbering",1,AND(tblFLPrep[[#This Row],[Counting findings2]]&gt;=1,tblFLPrep[[#This Row],[Counting findings2]]&lt;=600),O27+P27,AND(tblFLPrep[[#This Row],[Counting findings2]]&gt;=601,tblFLPrep[[#This Row],[Counting findings2]]&lt;=1200),IF(AND(N27&lt;=600,N28&gt;=600),(12-O27),0)+O27+P27,AND(tblFLPrep[[#This Row],[Counting findings2]]&gt;=1201,tblFLPrep[[#This Row],[Counting findings2]]&lt;=1800),IF(AND(N27&lt;=1200,N28&gt;=1200),(24-O27),0)+O27+P27,AND(tblFLPrep[[#This Row],[Counting findings2]]&gt;=1801,tblFLPrep[[#This Row],[Counting findings2]]&lt;=2400),IF(AND(N27&lt;=1800,N28&gt;=1800),(36-O27),0)+O27+P27,AND(tblFLPrep[[#This Row],[Counting findings2]]&gt;=2401,tblFLPrep[[#This Row],[Counting findings2]]&lt;=3000),IF(AND(N27&lt;=2400,N28&gt;=2400),(48-O27),0)+O27+P27,AND(tblFLPrep[[#This Row],[Counting findings2]]&gt;=3001,tblFLPrep[[#This Row],[Counting findings2]]&lt;=3600),IF(AND(N27&lt;=3000,N28&gt;=3000),(60-O27),0)+O27+P27)</f>
        <v>#N/A</v>
      </c>
      <c r="P28" t="str">
        <f>IF(AND(tblFLPrep[[#This Row],[Sorting]]="A",tblFLPrep[[#This Row],[Row size]]&gt;0),1,"")</f>
        <v/>
      </c>
      <c r="Z28">
        <f>_xlfn.IFS(LocationInfo[Select Letter Language]="English",'FL Prep'!AC28,LocationInfo[Select Letter Language]="Spanish",'FL Prep'!AD28,LocationInfo[Select Letter Language]="French",'FL Prep'!AE28,LocationInfo[Select Letter Language]="Portuguese",'FL Prep'!AF28)</f>
        <v>0</v>
      </c>
      <c r="AA28" s="143" t="str">
        <f>IF(tblAllSections[[#This Row],[SECCION]]=0,"",COUNTIFS(CallTb[Answer],"No*",CallTb[Section],tblAllSections[[#This Row],[SECCION]]))</f>
        <v/>
      </c>
      <c r="AC28" s="184" t="s">
        <v>219</v>
      </c>
      <c r="AD28" s="103"/>
      <c r="AE28" s="103"/>
      <c r="AF28" s="103"/>
    </row>
    <row r="29" spans="8:32" ht="15" customHeight="1">
      <c r="H29" t="str" cm="1">
        <f t="array" ref="H29">Requirement('Call Flow'!$D$4,tblFLPrep[[#This Row],[Answer]],tblFLPrep[[#This Row],[Fynding Type]])&amp;IF(tblFLPrep[[#This Row],[Add Missing]]="Yes","No","")</f>
        <v/>
      </c>
      <c r="I29" t="str">
        <f>_xlfn.IFS(tblFLPrep[[#This Row],[Add Missing]]="Yes","N/A",OR(tblFLPrep[[#This Row],[Follow Up Required]]="YES",tblFLPrep[[#This Row],[Follow Up Required]]="SI"),LocationInfo[Due Date],tblFLPrep[[#This Row],[Follow Up Required]]="NO*","N/A",tblFLPrep[[#This Row],[Follow Up Required]]="NO","N/A",tblFLPrep[[#This Row],[Follow Up Required]]="","")</f>
        <v/>
      </c>
      <c r="J29" t="str">
        <f>IF(((tblFLPrep[[#This Row],[Section]]&lt;&gt;"")*((tblFLPrep[[#This Row],[Follow Up Required]]="Yes")+(tblFLPrep[[#This Row],[Follow Up Required]]="No"))),"A","")</f>
        <v/>
      </c>
      <c r="L29" t="str">
        <f>IFERROR(IF(AND(COUNTIF($E$1:E29,tblFLPrep[[#This Row],[Section]])=1,E29&lt;&gt;0,D29=""),"Yes",""),"")</f>
        <v/>
      </c>
      <c r="N29" t="str">
        <f>IF(tblFLPrep[[#This Row],[Sorting]]="","",SUM($M$1:M85))</f>
        <v/>
      </c>
      <c r="O29" t="e">
        <f>_xlfn.IFS(P28="Numbering",1,AND(tblFLPrep[[#This Row],[Counting findings2]]&gt;=1,tblFLPrep[[#This Row],[Counting findings2]]&lt;=600),O28+P28,AND(tblFLPrep[[#This Row],[Counting findings2]]&gt;=601,tblFLPrep[[#This Row],[Counting findings2]]&lt;=1200),IF(AND(N28&lt;=600,N29&gt;=600),(12-O28),0)+O28+P28,AND(tblFLPrep[[#This Row],[Counting findings2]]&gt;=1201,tblFLPrep[[#This Row],[Counting findings2]]&lt;=1800),IF(AND(N28&lt;=1200,N29&gt;=1200),(24-O28),0)+O28+P28,AND(tblFLPrep[[#This Row],[Counting findings2]]&gt;=1801,tblFLPrep[[#This Row],[Counting findings2]]&lt;=2400),IF(AND(N28&lt;=1800,N29&gt;=1800),(36-O28),0)+O28+P28,AND(tblFLPrep[[#This Row],[Counting findings2]]&gt;=2401,tblFLPrep[[#This Row],[Counting findings2]]&lt;=3000),IF(AND(N28&lt;=2400,N29&gt;=2400),(48-O28),0)+O28+P28,AND(tblFLPrep[[#This Row],[Counting findings2]]&gt;=3001,tblFLPrep[[#This Row],[Counting findings2]]&lt;=3600),IF(AND(N28&lt;=3000,N29&gt;=3000),(60-O28),0)+O28+P28)</f>
        <v>#N/A</v>
      </c>
      <c r="P29" t="str">
        <f>IF(AND(tblFLPrep[[#This Row],[Sorting]]="A",tblFLPrep[[#This Row],[Row size]]&gt;0),1,"")</f>
        <v/>
      </c>
      <c r="Z29">
        <f>_xlfn.IFS(LocationInfo[Select Letter Language]="English",'FL Prep'!AC29,LocationInfo[Select Letter Language]="Spanish",'FL Prep'!AD29,LocationInfo[Select Letter Language]="French",'FL Prep'!AE29,LocationInfo[Select Letter Language]="Portuguese",'FL Prep'!AF29)</f>
        <v>0</v>
      </c>
      <c r="AA29" s="143" t="str">
        <f>IF(tblAllSections[[#This Row],[SECCION]]=0,"",COUNTIFS(CallTb[Answer],"No*",CallTb[Section],tblAllSections[[#This Row],[SECCION]]))</f>
        <v/>
      </c>
      <c r="AC29" s="184" t="s">
        <v>220</v>
      </c>
      <c r="AD29" s="103"/>
      <c r="AE29" s="103"/>
      <c r="AF29" s="103"/>
    </row>
    <row r="30" spans="8:32" ht="15" customHeight="1">
      <c r="H30" t="str" cm="1">
        <f t="array" ref="H30">Requirement('Call Flow'!$D$4,tblFLPrep[[#This Row],[Answer]],tblFLPrep[[#This Row],[Fynding Type]])&amp;IF(tblFLPrep[[#This Row],[Add Missing]]="Yes","No","")</f>
        <v/>
      </c>
      <c r="I30" t="str">
        <f>_xlfn.IFS(tblFLPrep[[#This Row],[Add Missing]]="Yes","N/A",OR(tblFLPrep[[#This Row],[Follow Up Required]]="YES",tblFLPrep[[#This Row],[Follow Up Required]]="SI"),LocationInfo[Due Date],tblFLPrep[[#This Row],[Follow Up Required]]="NO*","N/A",tblFLPrep[[#This Row],[Follow Up Required]]="NO","N/A",tblFLPrep[[#This Row],[Follow Up Required]]="","")</f>
        <v/>
      </c>
      <c r="J30" t="str">
        <f>IF(((tblFLPrep[[#This Row],[Section]]&lt;&gt;"")*((tblFLPrep[[#This Row],[Follow Up Required]]="Yes")+(tblFLPrep[[#This Row],[Follow Up Required]]="No"))),"A","")</f>
        <v/>
      </c>
      <c r="L30" t="str">
        <f>IFERROR(IF(AND(COUNTIF($E$1:E30,tblFLPrep[[#This Row],[Section]])=1,E30&lt;&gt;0,D30=""),"Yes",""),"")</f>
        <v/>
      </c>
      <c r="N30" t="str">
        <f>IF(tblFLPrep[[#This Row],[Sorting]]="","",SUM($M$1:M86))</f>
        <v/>
      </c>
      <c r="O30" t="e">
        <f>_xlfn.IFS(P29="Numbering",1,AND(tblFLPrep[[#This Row],[Counting findings2]]&gt;=1,tblFLPrep[[#This Row],[Counting findings2]]&lt;=600),O29+P29,AND(tblFLPrep[[#This Row],[Counting findings2]]&gt;=601,tblFLPrep[[#This Row],[Counting findings2]]&lt;=1200),IF(AND(N29&lt;=600,N30&gt;=600),(12-O29),0)+O29+P29,AND(tblFLPrep[[#This Row],[Counting findings2]]&gt;=1201,tblFLPrep[[#This Row],[Counting findings2]]&lt;=1800),IF(AND(N29&lt;=1200,N30&gt;=1200),(24-O29),0)+O29+P29,AND(tblFLPrep[[#This Row],[Counting findings2]]&gt;=1801,tblFLPrep[[#This Row],[Counting findings2]]&lt;=2400),IF(AND(N29&lt;=1800,N30&gt;=1800),(36-O29),0)+O29+P29,AND(tblFLPrep[[#This Row],[Counting findings2]]&gt;=2401,tblFLPrep[[#This Row],[Counting findings2]]&lt;=3000),IF(AND(N29&lt;=2400,N30&gt;=2400),(48-O29),0)+O29+P29,AND(tblFLPrep[[#This Row],[Counting findings2]]&gt;=3001,tblFLPrep[[#This Row],[Counting findings2]]&lt;=3600),IF(AND(N29&lt;=3000,N30&gt;=3000),(60-O29),0)+O29+P29)</f>
        <v>#N/A</v>
      </c>
      <c r="P30" t="str">
        <f>IF(AND(tblFLPrep[[#This Row],[Sorting]]="A",tblFLPrep[[#This Row],[Row size]]&gt;0),1,"")</f>
        <v/>
      </c>
      <c r="Z30">
        <f>_xlfn.IFS(LocationInfo[Select Letter Language]="English",'FL Prep'!AC30,LocationInfo[Select Letter Language]="Spanish",'FL Prep'!AD30,LocationInfo[Select Letter Language]="French",'FL Prep'!AE30,LocationInfo[Select Letter Language]="Portuguese",'FL Prep'!AF30)</f>
        <v>0</v>
      </c>
      <c r="AA30" s="143" t="str">
        <f>IF(tblAllSections[[#This Row],[SECCION]]=0,"",COUNTIFS(CallTb[Answer],"No*",CallTb[Section],tblAllSections[[#This Row],[SECCION]]))</f>
        <v/>
      </c>
      <c r="AC30" s="185" t="s">
        <v>221</v>
      </c>
      <c r="AD30" s="186"/>
      <c r="AE30" s="186"/>
      <c r="AF30" s="186"/>
    </row>
    <row r="31" spans="8:32" ht="15" customHeight="1">
      <c r="H31" t="str" cm="1">
        <f t="array" ref="H31">Requirement('Call Flow'!$D$4,tblFLPrep[[#This Row],[Answer]],tblFLPrep[[#This Row],[Fynding Type]])&amp;IF(tblFLPrep[[#This Row],[Add Missing]]="Yes","No","")</f>
        <v/>
      </c>
      <c r="I31" t="str">
        <f>_xlfn.IFS(tblFLPrep[[#This Row],[Add Missing]]="Yes","N/A",OR(tblFLPrep[[#This Row],[Follow Up Required]]="YES",tblFLPrep[[#This Row],[Follow Up Required]]="SI"),LocationInfo[Due Date],tblFLPrep[[#This Row],[Follow Up Required]]="NO*","N/A",tblFLPrep[[#This Row],[Follow Up Required]]="NO","N/A",tblFLPrep[[#This Row],[Follow Up Required]]="","")</f>
        <v/>
      </c>
      <c r="J31" t="str">
        <f>IF(((tblFLPrep[[#This Row],[Section]]&lt;&gt;"")*((tblFLPrep[[#This Row],[Follow Up Required]]="Yes")+(tblFLPrep[[#This Row],[Follow Up Required]]="No"))),"A","")</f>
        <v/>
      </c>
      <c r="L31" t="str">
        <f>IFERROR(IF(AND(COUNTIF($E$1:E31,tblFLPrep[[#This Row],[Section]])=1,E31&lt;&gt;0,D31=""),"Yes",""),"")</f>
        <v/>
      </c>
      <c r="N31" t="str">
        <f>IF(tblFLPrep[[#This Row],[Sorting]]="","",SUM($M$1:M87))</f>
        <v/>
      </c>
      <c r="O31" t="e">
        <f>_xlfn.IFS(P30="Numbering",1,AND(tblFLPrep[[#This Row],[Counting findings2]]&gt;=1,tblFLPrep[[#This Row],[Counting findings2]]&lt;=600),O30+P30,AND(tblFLPrep[[#This Row],[Counting findings2]]&gt;=601,tblFLPrep[[#This Row],[Counting findings2]]&lt;=1200),IF(AND(N30&lt;=600,N31&gt;=600),(12-O30),0)+O30+P30,AND(tblFLPrep[[#This Row],[Counting findings2]]&gt;=1201,tblFLPrep[[#This Row],[Counting findings2]]&lt;=1800),IF(AND(N30&lt;=1200,N31&gt;=1200),(24-O30),0)+O30+P30,AND(tblFLPrep[[#This Row],[Counting findings2]]&gt;=1801,tblFLPrep[[#This Row],[Counting findings2]]&lt;=2400),IF(AND(N30&lt;=1800,N31&gt;=1800),(36-O30),0)+O30+P30,AND(tblFLPrep[[#This Row],[Counting findings2]]&gt;=2401,tblFLPrep[[#This Row],[Counting findings2]]&lt;=3000),IF(AND(N30&lt;=2400,N31&gt;=2400),(48-O30),0)+O30+P30,AND(tblFLPrep[[#This Row],[Counting findings2]]&gt;=3001,tblFLPrep[[#This Row],[Counting findings2]]&lt;=3600),IF(AND(N30&lt;=3000,N31&gt;=3000),(60-O30),0)+O30+P30)</f>
        <v>#N/A</v>
      </c>
      <c r="P31" t="str">
        <f>IF(AND(tblFLPrep[[#This Row],[Sorting]]="A",tblFLPrep[[#This Row],[Row size]]&gt;0),1,"")</f>
        <v/>
      </c>
      <c r="Z31">
        <f>_xlfn.IFS(LocationInfo[Select Letter Language]="English",'FL Prep'!AC31,LocationInfo[Select Letter Language]="Spanish",'FL Prep'!AD31,LocationInfo[Select Letter Language]="French",'FL Prep'!AE31,LocationInfo[Select Letter Language]="Portuguese",'FL Prep'!AF31)</f>
        <v>0</v>
      </c>
      <c r="AA31" s="143" t="str">
        <f>IF(tblAllSections[[#This Row],[SECCION]]=0,"",COUNTIFS(CallTb[Answer],"No*",CallTb[Section],tblAllSections[[#This Row],[SECCION]]))</f>
        <v/>
      </c>
      <c r="AC31" s="103" t="s">
        <v>222</v>
      </c>
      <c r="AD31" s="29"/>
      <c r="AE31" s="29"/>
    </row>
    <row r="32" spans="8:32" ht="15" customHeight="1">
      <c r="H32" t="str" cm="1">
        <f t="array" ref="H32">Requirement('Call Flow'!$D$4,tblFLPrep[[#This Row],[Answer]],tblFLPrep[[#This Row],[Fynding Type]])&amp;IF(tblFLPrep[[#This Row],[Add Missing]]="Yes","No","")</f>
        <v/>
      </c>
      <c r="I32" t="str">
        <f>_xlfn.IFS(tblFLPrep[[#This Row],[Add Missing]]="Yes","N/A",OR(tblFLPrep[[#This Row],[Follow Up Required]]="YES",tblFLPrep[[#This Row],[Follow Up Required]]="SI"),LocationInfo[Due Date],tblFLPrep[[#This Row],[Follow Up Required]]="NO*","N/A",tblFLPrep[[#This Row],[Follow Up Required]]="NO","N/A",tblFLPrep[[#This Row],[Follow Up Required]]="","")</f>
        <v/>
      </c>
      <c r="J32" t="str">
        <f>IF(((tblFLPrep[[#This Row],[Section]]&lt;&gt;"")*((tblFLPrep[[#This Row],[Follow Up Required]]="Yes")+(tblFLPrep[[#This Row],[Follow Up Required]]="No"))),"A","")</f>
        <v/>
      </c>
      <c r="L32" t="str">
        <f>IFERROR(IF(AND(COUNTIF($E$1:E32,tblFLPrep[[#This Row],[Section]])=1,E32&lt;&gt;0,D32=""),"Yes",""),"")</f>
        <v/>
      </c>
      <c r="N32" t="str">
        <f>IF(tblFLPrep[[#This Row],[Sorting]]="","",SUM($M$1:M125))</f>
        <v/>
      </c>
      <c r="O32" t="e">
        <f>_xlfn.IFS(P31="Numbering",1,AND(tblFLPrep[[#This Row],[Counting findings2]]&gt;=1,tblFLPrep[[#This Row],[Counting findings2]]&lt;=600),O31+P31,AND(tblFLPrep[[#This Row],[Counting findings2]]&gt;=601,tblFLPrep[[#This Row],[Counting findings2]]&lt;=1200),IF(AND(N31&lt;=600,N32&gt;=600),(12-O31),0)+O31+P31,AND(tblFLPrep[[#This Row],[Counting findings2]]&gt;=1201,tblFLPrep[[#This Row],[Counting findings2]]&lt;=1800),IF(AND(N31&lt;=1200,N32&gt;=1200),(24-O31),0)+O31+P31,AND(tblFLPrep[[#This Row],[Counting findings2]]&gt;=1801,tblFLPrep[[#This Row],[Counting findings2]]&lt;=2400),IF(AND(N31&lt;=1800,N32&gt;=1800),(36-O31),0)+O31+P31,AND(tblFLPrep[[#This Row],[Counting findings2]]&gt;=2401,tblFLPrep[[#This Row],[Counting findings2]]&lt;=3000),IF(AND(N31&lt;=2400,N32&gt;=2400),(48-O31),0)+O31+P31,AND(tblFLPrep[[#This Row],[Counting findings2]]&gt;=3001,tblFLPrep[[#This Row],[Counting findings2]]&lt;=3600),IF(AND(N31&lt;=3000,N32&gt;=3000),(60-O31),0)+O31+P31)</f>
        <v>#N/A</v>
      </c>
      <c r="P32" t="str">
        <f>IF(AND(tblFLPrep[[#This Row],[Sorting]]="A",tblFLPrep[[#This Row],[Row size]]&gt;0),1,"")</f>
        <v/>
      </c>
      <c r="Z32">
        <f>_xlfn.IFS(LocationInfo[Select Letter Language]="English",'FL Prep'!AC32,LocationInfo[Select Letter Language]="Spanish",'FL Prep'!AD32,LocationInfo[Select Letter Language]="French",'FL Prep'!AE32,LocationInfo[Select Letter Language]="Portuguese",'FL Prep'!AF32)</f>
        <v>0</v>
      </c>
      <c r="AA32" s="143" t="str">
        <f>IF(tblAllSections[[#This Row],[SECCION]]=0,"",COUNTIFS(CallTb[Answer],"No*",CallTb[Section],tblAllSections[[#This Row],[SECCION]]))</f>
        <v/>
      </c>
      <c r="AC32" s="103" t="s">
        <v>223</v>
      </c>
      <c r="AD32" s="29"/>
      <c r="AE32" s="29"/>
    </row>
    <row r="33" spans="8:31" ht="15" customHeight="1">
      <c r="H33" t="str" cm="1">
        <f t="array" ref="H33">Requirement('Call Flow'!$D$4,tblFLPrep[[#This Row],[Answer]],tblFLPrep[[#This Row],[Fynding Type]])&amp;IF(tblFLPrep[[#This Row],[Add Missing]]="Yes","No","")</f>
        <v/>
      </c>
      <c r="I33" t="str">
        <f>_xlfn.IFS(tblFLPrep[[#This Row],[Add Missing]]="Yes","N/A",OR(tblFLPrep[[#This Row],[Follow Up Required]]="YES",tblFLPrep[[#This Row],[Follow Up Required]]="SI"),LocationInfo[Due Date],tblFLPrep[[#This Row],[Follow Up Required]]="NO*","N/A",tblFLPrep[[#This Row],[Follow Up Required]]="NO","N/A",tblFLPrep[[#This Row],[Follow Up Required]]="","")</f>
        <v/>
      </c>
      <c r="J33" t="str">
        <f>IF(((tblFLPrep[[#This Row],[Section]]&lt;&gt;"")*((tblFLPrep[[#This Row],[Follow Up Required]]="Yes")+(tblFLPrep[[#This Row],[Follow Up Required]]="No"))),"A","")</f>
        <v/>
      </c>
      <c r="L33" t="str">
        <f>IFERROR(IF(AND(COUNTIF($E$1:E33,tblFLPrep[[#This Row],[Section]])=1,E33&lt;&gt;0,D33=""),"Yes",""),"")</f>
        <v/>
      </c>
      <c r="N33" t="str">
        <f>IF(tblFLPrep[[#This Row],[Sorting]]="","",SUM($M$1:M33))</f>
        <v/>
      </c>
      <c r="O33" t="e">
        <f>_xlfn.IFS(P32="Numbering",1,AND(tblFLPrep[[#This Row],[Counting findings2]]&gt;=1,tblFLPrep[[#This Row],[Counting findings2]]&lt;=600),O32+P32,AND(tblFLPrep[[#This Row],[Counting findings2]]&gt;=601,tblFLPrep[[#This Row],[Counting findings2]]&lt;=1200),IF(AND(N32&lt;=600,N33&gt;=600),(12-O32),0)+O32+P32,AND(tblFLPrep[[#This Row],[Counting findings2]]&gt;=1201,tblFLPrep[[#This Row],[Counting findings2]]&lt;=1800),IF(AND(N32&lt;=1200,N33&gt;=1200),(24-O32),0)+O32+P32,AND(tblFLPrep[[#This Row],[Counting findings2]]&gt;=1801,tblFLPrep[[#This Row],[Counting findings2]]&lt;=2400),IF(AND(N32&lt;=1800,N33&gt;=1800),(36-O32),0)+O32+P32,AND(tblFLPrep[[#This Row],[Counting findings2]]&gt;=2401,tblFLPrep[[#This Row],[Counting findings2]]&lt;=3000),IF(AND(N32&lt;=2400,N33&gt;=2400),(48-O32),0)+O32+P32,AND(tblFLPrep[[#This Row],[Counting findings2]]&gt;=3001,tblFLPrep[[#This Row],[Counting findings2]]&lt;=3600),IF(AND(N32&lt;=3000,N33&gt;=3000),(60-O32),0)+O32+P32)</f>
        <v>#N/A</v>
      </c>
      <c r="P33" t="str">
        <f>IF(AND(tblFLPrep[[#This Row],[Sorting]]="A",tblFLPrep[[#This Row],[Row size]]&gt;0),1,"")</f>
        <v/>
      </c>
      <c r="Z33">
        <f>_xlfn.IFS(LocationInfo[Select Letter Language]="English",'FL Prep'!AC33,LocationInfo[Select Letter Language]="Spanish",'FL Prep'!AD33,LocationInfo[Select Letter Language]="French",'FL Prep'!AE33,LocationInfo[Select Letter Language]="Portuguese",'FL Prep'!AF33)</f>
        <v>0</v>
      </c>
      <c r="AA33" s="143" t="str">
        <f>IF(tblAllSections[[#This Row],[SECCION]]=0,"",COUNTIFS(CallTb[Answer],"No*",CallTb[Section],tblAllSections[[#This Row],[SECCION]]))</f>
        <v/>
      </c>
      <c r="AC33" s="103" t="s">
        <v>224</v>
      </c>
      <c r="AD33" s="29"/>
      <c r="AE33" s="29"/>
    </row>
    <row r="34" spans="8:31" ht="15" customHeight="1">
      <c r="H34" t="str" cm="1">
        <f t="array" ref="H34">Requirement('Call Flow'!$D$4,tblFLPrep[[#This Row],[Answer]],tblFLPrep[[#This Row],[Fynding Type]])&amp;IF(tblFLPrep[[#This Row],[Add Missing]]="Yes","No","")</f>
        <v/>
      </c>
      <c r="I34" t="str">
        <f>_xlfn.IFS(tblFLPrep[[#This Row],[Add Missing]]="Yes","N/A",OR(tblFLPrep[[#This Row],[Follow Up Required]]="YES",tblFLPrep[[#This Row],[Follow Up Required]]="SI"),LocationInfo[Due Date],tblFLPrep[[#This Row],[Follow Up Required]]="NO*","N/A",tblFLPrep[[#This Row],[Follow Up Required]]="NO","N/A",tblFLPrep[[#This Row],[Follow Up Required]]="","")</f>
        <v/>
      </c>
      <c r="J34" t="str">
        <f>IF(((tblFLPrep[[#This Row],[Section]]&lt;&gt;"")*((tblFLPrep[[#This Row],[Follow Up Required]]="Yes")+(tblFLPrep[[#This Row],[Follow Up Required]]="No"))),"A","")</f>
        <v/>
      </c>
      <c r="L34" t="str">
        <f>IFERROR(IF(AND(COUNTIF($E$1:E34,tblFLPrep[[#This Row],[Section]])=1,E34&lt;&gt;0,D34=""),"Yes",""),"")</f>
        <v/>
      </c>
      <c r="N34" t="str">
        <f>IF(tblFLPrep[[#This Row],[Sorting]]="","",SUM($M$1:M34))</f>
        <v/>
      </c>
      <c r="O34" t="e">
        <f>_xlfn.IFS(P33="Numbering",1,AND(tblFLPrep[[#This Row],[Counting findings2]]&gt;=1,tblFLPrep[[#This Row],[Counting findings2]]&lt;=600),O33+P33,AND(tblFLPrep[[#This Row],[Counting findings2]]&gt;=601,tblFLPrep[[#This Row],[Counting findings2]]&lt;=1200),IF(AND(N33&lt;=600,N34&gt;=600),(12-O33),0)+O33+P33,AND(tblFLPrep[[#This Row],[Counting findings2]]&gt;=1201,tblFLPrep[[#This Row],[Counting findings2]]&lt;=1800),IF(AND(N33&lt;=1200,N34&gt;=1200),(24-O33),0)+O33+P33,AND(tblFLPrep[[#This Row],[Counting findings2]]&gt;=1801,tblFLPrep[[#This Row],[Counting findings2]]&lt;=2400),IF(AND(N33&lt;=1800,N34&gt;=1800),(36-O33),0)+O33+P33,AND(tblFLPrep[[#This Row],[Counting findings2]]&gt;=2401,tblFLPrep[[#This Row],[Counting findings2]]&lt;=3000),IF(AND(N33&lt;=2400,N34&gt;=2400),(48-O33),0)+O33+P33,AND(tblFLPrep[[#This Row],[Counting findings2]]&gt;=3001,tblFLPrep[[#This Row],[Counting findings2]]&lt;=3600),IF(AND(N33&lt;=3000,N34&gt;=3000),(60-O33),0)+O33+P33)</f>
        <v>#N/A</v>
      </c>
      <c r="P34" t="str">
        <f>IF(AND(tblFLPrep[[#This Row],[Sorting]]="A",tblFLPrep[[#This Row],[Row size]]&gt;0),1,"")</f>
        <v/>
      </c>
      <c r="Z34">
        <f>_xlfn.IFS(LocationInfo[Select Letter Language]="English",'FL Prep'!AC34,LocationInfo[Select Letter Language]="Spanish",'FL Prep'!AD34,LocationInfo[Select Letter Language]="French",'FL Prep'!AE34,LocationInfo[Select Letter Language]="Portuguese",'FL Prep'!AF34)</f>
        <v>0</v>
      </c>
      <c r="AA34" s="143" t="str">
        <f>IF(tblAllSections[[#This Row],[SECCION]]=0,"",COUNTIFS(CallTb[Answer],"No*",CallTb[Section],tblAllSections[[#This Row],[SECCION]]))</f>
        <v/>
      </c>
    </row>
    <row r="35" spans="8:31" ht="15" customHeight="1">
      <c r="H35" t="str" cm="1">
        <f t="array" ref="H35">Requirement('Call Flow'!$D$4,tblFLPrep[[#This Row],[Answer]],tblFLPrep[[#This Row],[Fynding Type]])&amp;IF(tblFLPrep[[#This Row],[Add Missing]]="Yes","No","")</f>
        <v/>
      </c>
      <c r="I35" t="str">
        <f>_xlfn.IFS(tblFLPrep[[#This Row],[Add Missing]]="Yes","N/A",OR(tblFLPrep[[#This Row],[Follow Up Required]]="YES",tblFLPrep[[#This Row],[Follow Up Required]]="SI"),LocationInfo[Due Date],tblFLPrep[[#This Row],[Follow Up Required]]="NO*","N/A",tblFLPrep[[#This Row],[Follow Up Required]]="NO","N/A",tblFLPrep[[#This Row],[Follow Up Required]]="","")</f>
        <v/>
      </c>
      <c r="J35" t="str">
        <f>IF(((tblFLPrep[[#This Row],[Section]]&lt;&gt;"")*((tblFLPrep[[#This Row],[Follow Up Required]]="Yes")+(tblFLPrep[[#This Row],[Follow Up Required]]="No"))),"A","")</f>
        <v/>
      </c>
      <c r="L35" t="str">
        <f>IFERROR(IF(AND(COUNTIF($E$1:E35,tblFLPrep[[#This Row],[Section]])=1,E35&lt;&gt;0,D35=""),"Yes",""),"")</f>
        <v/>
      </c>
      <c r="N35" t="str">
        <f>IF(tblFLPrep[[#This Row],[Sorting]]="","",SUM($M$1:M35))</f>
        <v/>
      </c>
      <c r="O35" t="e">
        <f>_xlfn.IFS(P34="Numbering",1,AND(tblFLPrep[[#This Row],[Counting findings2]]&gt;=1,tblFLPrep[[#This Row],[Counting findings2]]&lt;=600),O34+P34,AND(tblFLPrep[[#This Row],[Counting findings2]]&gt;=601,tblFLPrep[[#This Row],[Counting findings2]]&lt;=1200),IF(AND(N34&lt;=600,N35&gt;=600),(12-O34),0)+O34+P34,AND(tblFLPrep[[#This Row],[Counting findings2]]&gt;=1201,tblFLPrep[[#This Row],[Counting findings2]]&lt;=1800),IF(AND(N34&lt;=1200,N35&gt;=1200),(24-O34),0)+O34+P34,AND(tblFLPrep[[#This Row],[Counting findings2]]&gt;=1801,tblFLPrep[[#This Row],[Counting findings2]]&lt;=2400),IF(AND(N34&lt;=1800,N35&gt;=1800),(36-O34),0)+O34+P34,AND(tblFLPrep[[#This Row],[Counting findings2]]&gt;=2401,tblFLPrep[[#This Row],[Counting findings2]]&lt;=3000),IF(AND(N34&lt;=2400,N35&gt;=2400),(48-O34),0)+O34+P34,AND(tblFLPrep[[#This Row],[Counting findings2]]&gt;=3001,tblFLPrep[[#This Row],[Counting findings2]]&lt;=3600),IF(AND(N34&lt;=3000,N35&gt;=3000),(60-O34),0)+O34+P34)</f>
        <v>#N/A</v>
      </c>
      <c r="P35" t="str">
        <f>IF(AND(tblFLPrep[[#This Row],[Sorting]]="A",tblFLPrep[[#This Row],[Row size]]&gt;0),1,"")</f>
        <v/>
      </c>
    </row>
    <row r="36" spans="8:31" ht="15" customHeight="1">
      <c r="H36" t="str" cm="1">
        <f t="array" ref="H36">Requirement('Call Flow'!$D$4,tblFLPrep[[#This Row],[Answer]],tblFLPrep[[#This Row],[Fynding Type]])&amp;IF(tblFLPrep[[#This Row],[Add Missing]]="Yes","No","")</f>
        <v/>
      </c>
      <c r="I36" t="str">
        <f>_xlfn.IFS(tblFLPrep[[#This Row],[Add Missing]]="Yes","N/A",OR(tblFLPrep[[#This Row],[Follow Up Required]]="YES",tblFLPrep[[#This Row],[Follow Up Required]]="SI"),LocationInfo[Due Date],tblFLPrep[[#This Row],[Follow Up Required]]="NO*","N/A",tblFLPrep[[#This Row],[Follow Up Required]]="NO","N/A",tblFLPrep[[#This Row],[Follow Up Required]]="","")</f>
        <v/>
      </c>
      <c r="J36" t="str">
        <f>IF(((tblFLPrep[[#This Row],[Section]]&lt;&gt;"")*((tblFLPrep[[#This Row],[Follow Up Required]]="Yes")+(tblFLPrep[[#This Row],[Follow Up Required]]="No"))),"A","")</f>
        <v/>
      </c>
      <c r="L36" t="str">
        <f>IFERROR(IF(AND(COUNTIF($E$1:E36,tblFLPrep[[#This Row],[Section]])=1,E36&lt;&gt;0,D36=""),"Yes",""),"")</f>
        <v/>
      </c>
      <c r="N36" t="str">
        <f>IF(tblFLPrep[[#This Row],[Sorting]]="","",SUM($M$1:M92))</f>
        <v/>
      </c>
      <c r="O36" t="e">
        <f>_xlfn.IFS(P35="Numbering",1,AND(tblFLPrep[[#This Row],[Counting findings2]]&gt;=1,tblFLPrep[[#This Row],[Counting findings2]]&lt;=600),O35+P35,AND(tblFLPrep[[#This Row],[Counting findings2]]&gt;=601,tblFLPrep[[#This Row],[Counting findings2]]&lt;=1200),IF(AND(N35&lt;=600,N36&gt;=600),(12-O35),0)+O35+P35,AND(tblFLPrep[[#This Row],[Counting findings2]]&gt;=1201,tblFLPrep[[#This Row],[Counting findings2]]&lt;=1800),IF(AND(N35&lt;=1200,N36&gt;=1200),(24-O35),0)+O35+P35,AND(tblFLPrep[[#This Row],[Counting findings2]]&gt;=1801,tblFLPrep[[#This Row],[Counting findings2]]&lt;=2400),IF(AND(N35&lt;=1800,N36&gt;=1800),(36-O35),0)+O35+P35,AND(tblFLPrep[[#This Row],[Counting findings2]]&gt;=2401,tblFLPrep[[#This Row],[Counting findings2]]&lt;=3000),IF(AND(N35&lt;=2400,N36&gt;=2400),(48-O35),0)+O35+P35,AND(tblFLPrep[[#This Row],[Counting findings2]]&gt;=3001,tblFLPrep[[#This Row],[Counting findings2]]&lt;=3600),IF(AND(N35&lt;=3000,N36&gt;=3000),(60-O35),0)+O35+P35)</f>
        <v>#N/A</v>
      </c>
      <c r="P36" t="str">
        <f>IF(AND(tblFLPrep[[#This Row],[Sorting]]="A",tblFLPrep[[#This Row],[Row size]]&gt;0),1,"")</f>
        <v/>
      </c>
    </row>
    <row r="37" spans="8:31" ht="15" customHeight="1">
      <c r="H37" t="str" cm="1">
        <f t="array" ref="H37">Requirement('Call Flow'!$D$4,tblFLPrep[[#This Row],[Answer]],tblFLPrep[[#This Row],[Fynding Type]])&amp;IF(tblFLPrep[[#This Row],[Add Missing]]="Yes","No","")</f>
        <v/>
      </c>
      <c r="I37" t="str">
        <f>_xlfn.IFS(tblFLPrep[[#This Row],[Add Missing]]="Yes","N/A",OR(tblFLPrep[[#This Row],[Follow Up Required]]="YES",tblFLPrep[[#This Row],[Follow Up Required]]="SI"),LocationInfo[Due Date],tblFLPrep[[#This Row],[Follow Up Required]]="NO*","N/A",tblFLPrep[[#This Row],[Follow Up Required]]="NO","N/A",tblFLPrep[[#This Row],[Follow Up Required]]="","")</f>
        <v/>
      </c>
      <c r="J37" t="str">
        <f>IF(((tblFLPrep[[#This Row],[Section]]&lt;&gt;"")*((tblFLPrep[[#This Row],[Follow Up Required]]="Yes")+(tblFLPrep[[#This Row],[Follow Up Required]]="No"))),"A","")</f>
        <v/>
      </c>
      <c r="L37" t="str">
        <f>IFERROR(IF(AND(COUNTIF($E$1:E37,tblFLPrep[[#This Row],[Section]])=1,E37&lt;&gt;0,D37=""),"Yes",""),"")</f>
        <v/>
      </c>
      <c r="N37" t="str">
        <f>IF(tblFLPrep[[#This Row],[Sorting]]="","",SUM($M$1:M37))</f>
        <v/>
      </c>
      <c r="O37" t="e">
        <f>_xlfn.IFS(P36="Numbering",1,AND(tblFLPrep[[#This Row],[Counting findings2]]&gt;=1,tblFLPrep[[#This Row],[Counting findings2]]&lt;=600),O36+P36,AND(tblFLPrep[[#This Row],[Counting findings2]]&gt;=601,tblFLPrep[[#This Row],[Counting findings2]]&lt;=1200),IF(AND(N36&lt;=600,N37&gt;=600),(12-O36),0)+O36+P36,AND(tblFLPrep[[#This Row],[Counting findings2]]&gt;=1201,tblFLPrep[[#This Row],[Counting findings2]]&lt;=1800),IF(AND(N36&lt;=1200,N37&gt;=1200),(24-O36),0)+O36+P36,AND(tblFLPrep[[#This Row],[Counting findings2]]&gt;=1801,tblFLPrep[[#This Row],[Counting findings2]]&lt;=2400),IF(AND(N36&lt;=1800,N37&gt;=1800),(36-O36),0)+O36+P36,AND(tblFLPrep[[#This Row],[Counting findings2]]&gt;=2401,tblFLPrep[[#This Row],[Counting findings2]]&lt;=3000),IF(AND(N36&lt;=2400,N37&gt;=2400),(48-O36),0)+O36+P36,AND(tblFLPrep[[#This Row],[Counting findings2]]&gt;=3001,tblFLPrep[[#This Row],[Counting findings2]]&lt;=3600),IF(AND(N36&lt;=3000,N37&gt;=3000),(60-O36),0)+O36+P36)</f>
        <v>#N/A</v>
      </c>
      <c r="P37" t="str">
        <f>IF(AND(tblFLPrep[[#This Row],[Sorting]]="A",tblFLPrep[[#This Row],[Row size]]&gt;0),1,"")</f>
        <v/>
      </c>
    </row>
    <row r="38" spans="8:31" ht="15" customHeight="1">
      <c r="H38" t="str" cm="1">
        <f t="array" ref="H38">Requirement('Call Flow'!$D$4,tblFLPrep[[#This Row],[Answer]],tblFLPrep[[#This Row],[Fynding Type]])&amp;IF(tblFLPrep[[#This Row],[Add Missing]]="Yes","No","")</f>
        <v/>
      </c>
      <c r="I38" t="str">
        <f>_xlfn.IFS(tblFLPrep[[#This Row],[Add Missing]]="Yes","N/A",OR(tblFLPrep[[#This Row],[Follow Up Required]]="YES",tblFLPrep[[#This Row],[Follow Up Required]]="SI"),LocationInfo[Due Date],tblFLPrep[[#This Row],[Follow Up Required]]="NO*","N/A",tblFLPrep[[#This Row],[Follow Up Required]]="NO","N/A",tblFLPrep[[#This Row],[Follow Up Required]]="","")</f>
        <v/>
      </c>
      <c r="J38" t="str">
        <f>IF(((tblFLPrep[[#This Row],[Section]]&lt;&gt;"")*((tblFLPrep[[#This Row],[Follow Up Required]]="Yes")+(tblFLPrep[[#This Row],[Follow Up Required]]="No"))),"A","")</f>
        <v/>
      </c>
      <c r="L38" t="str">
        <f>IFERROR(IF(AND(COUNTIF($E$1:E38,tblFLPrep[[#This Row],[Section]])=1,E38&lt;&gt;0,D38=""),"Yes",""),"")</f>
        <v/>
      </c>
      <c r="N38" t="str">
        <f>IF(tblFLPrep[[#This Row],[Sorting]]="","",SUM($M$1:M38))</f>
        <v/>
      </c>
      <c r="O38" t="e">
        <f>_xlfn.IFS(P37="Numbering",1,AND(tblFLPrep[[#This Row],[Counting findings2]]&gt;=1,tblFLPrep[[#This Row],[Counting findings2]]&lt;=600),O37+P37,AND(tblFLPrep[[#This Row],[Counting findings2]]&gt;=601,tblFLPrep[[#This Row],[Counting findings2]]&lt;=1200),IF(AND(N37&lt;=600,N38&gt;=600),(12-O37),0)+O37+P37,AND(tblFLPrep[[#This Row],[Counting findings2]]&gt;=1201,tblFLPrep[[#This Row],[Counting findings2]]&lt;=1800),IF(AND(N37&lt;=1200,N38&gt;=1200),(24-O37),0)+O37+P37,AND(tblFLPrep[[#This Row],[Counting findings2]]&gt;=1801,tblFLPrep[[#This Row],[Counting findings2]]&lt;=2400),IF(AND(N37&lt;=1800,N38&gt;=1800),(36-O37),0)+O37+P37,AND(tblFLPrep[[#This Row],[Counting findings2]]&gt;=2401,tblFLPrep[[#This Row],[Counting findings2]]&lt;=3000),IF(AND(N37&lt;=2400,N38&gt;=2400),(48-O37),0)+O37+P37,AND(tblFLPrep[[#This Row],[Counting findings2]]&gt;=3001,tblFLPrep[[#This Row],[Counting findings2]]&lt;=3600),IF(AND(N37&lt;=3000,N38&gt;=3000),(60-O37),0)+O37+P37)</f>
        <v>#N/A</v>
      </c>
      <c r="P38" t="str">
        <f>IF(AND(tblFLPrep[[#This Row],[Sorting]]="A",tblFLPrep[[#This Row],[Row size]]&gt;0),1,"")</f>
        <v/>
      </c>
    </row>
    <row r="39" spans="8:31" ht="15" customHeight="1">
      <c r="H39" t="str" cm="1">
        <f t="array" ref="H39">Requirement('Call Flow'!$D$4,tblFLPrep[[#This Row],[Answer]],tblFLPrep[[#This Row],[Fynding Type]])&amp;IF(tblFLPrep[[#This Row],[Add Missing]]="Yes","No","")</f>
        <v/>
      </c>
      <c r="I39" t="str">
        <f>_xlfn.IFS(tblFLPrep[[#This Row],[Add Missing]]="Yes","N/A",OR(tblFLPrep[[#This Row],[Follow Up Required]]="YES",tblFLPrep[[#This Row],[Follow Up Required]]="SI"),LocationInfo[Due Date],tblFLPrep[[#This Row],[Follow Up Required]]="NO*","N/A",tblFLPrep[[#This Row],[Follow Up Required]]="NO","N/A",tblFLPrep[[#This Row],[Follow Up Required]]="","")</f>
        <v/>
      </c>
      <c r="J39" t="str">
        <f>IF(((tblFLPrep[[#This Row],[Section]]&lt;&gt;"")*((tblFLPrep[[#This Row],[Follow Up Required]]="Yes")+(tblFLPrep[[#This Row],[Follow Up Required]]="No"))),"A","")</f>
        <v/>
      </c>
      <c r="L39" t="str">
        <f>IFERROR(IF(AND(COUNTIF($E$1:E39,tblFLPrep[[#This Row],[Section]])=1,E39&lt;&gt;0,D39=""),"Yes",""),"")</f>
        <v/>
      </c>
      <c r="N39" t="str">
        <f>IF(tblFLPrep[[#This Row],[Sorting]]="","",SUM($M$1:M39))</f>
        <v/>
      </c>
      <c r="O39" t="e">
        <f>_xlfn.IFS(P38="Numbering",1,AND(tblFLPrep[[#This Row],[Counting findings2]]&gt;=1,tblFLPrep[[#This Row],[Counting findings2]]&lt;=600),O38+P38,AND(tblFLPrep[[#This Row],[Counting findings2]]&gt;=601,tblFLPrep[[#This Row],[Counting findings2]]&lt;=1200),IF(AND(N38&lt;=600,N39&gt;=600),(12-O38),0)+O38+P38,AND(tblFLPrep[[#This Row],[Counting findings2]]&gt;=1201,tblFLPrep[[#This Row],[Counting findings2]]&lt;=1800),IF(AND(N38&lt;=1200,N39&gt;=1200),(24-O38),0)+O38+P38,AND(tblFLPrep[[#This Row],[Counting findings2]]&gt;=1801,tblFLPrep[[#This Row],[Counting findings2]]&lt;=2400),IF(AND(N38&lt;=1800,N39&gt;=1800),(36-O38),0)+O38+P38,AND(tblFLPrep[[#This Row],[Counting findings2]]&gt;=2401,tblFLPrep[[#This Row],[Counting findings2]]&lt;=3000),IF(AND(N38&lt;=2400,N39&gt;=2400),(48-O38),0)+O38+P38,AND(tblFLPrep[[#This Row],[Counting findings2]]&gt;=3001,tblFLPrep[[#This Row],[Counting findings2]]&lt;=3600),IF(AND(N38&lt;=3000,N39&gt;=3000),(60-O38),0)+O38+P38)</f>
        <v>#N/A</v>
      </c>
      <c r="P39" t="str">
        <f>IF(AND(tblFLPrep[[#This Row],[Sorting]]="A",tblFLPrep[[#This Row],[Row size]]&gt;0),1,"")</f>
        <v/>
      </c>
    </row>
    <row r="40" spans="8:31" ht="15" customHeight="1">
      <c r="H40" t="str" cm="1">
        <f t="array" ref="H40">Requirement('Call Flow'!$D$4,tblFLPrep[[#This Row],[Answer]],tblFLPrep[[#This Row],[Fynding Type]])&amp;IF(tblFLPrep[[#This Row],[Add Missing]]="Yes","No","")</f>
        <v/>
      </c>
      <c r="I40" t="str">
        <f>_xlfn.IFS(tblFLPrep[[#This Row],[Add Missing]]="Yes","N/A",OR(tblFLPrep[[#This Row],[Follow Up Required]]="YES",tblFLPrep[[#This Row],[Follow Up Required]]="SI"),LocationInfo[Due Date],tblFLPrep[[#This Row],[Follow Up Required]]="NO*","N/A",tblFLPrep[[#This Row],[Follow Up Required]]="NO","N/A",tblFLPrep[[#This Row],[Follow Up Required]]="","")</f>
        <v/>
      </c>
      <c r="J40" t="str">
        <f>IF(((tblFLPrep[[#This Row],[Section]]&lt;&gt;"")*((tblFLPrep[[#This Row],[Follow Up Required]]="Yes")+(tblFLPrep[[#This Row],[Follow Up Required]]="No"))),"A","")</f>
        <v/>
      </c>
      <c r="L40" t="str">
        <f>IFERROR(IF(AND(COUNTIF($E$1:E40,tblFLPrep[[#This Row],[Section]])=1,E40&lt;&gt;0,D40=""),"Yes",""),"")</f>
        <v/>
      </c>
      <c r="N40" t="str">
        <f>IF(tblFLPrep[[#This Row],[Sorting]]="","",SUM($M$1:M40))</f>
        <v/>
      </c>
      <c r="O40" t="e">
        <f>_xlfn.IFS(P39="Numbering",1,AND(tblFLPrep[[#This Row],[Counting findings2]]&gt;=1,tblFLPrep[[#This Row],[Counting findings2]]&lt;=600),O39+P39,AND(tblFLPrep[[#This Row],[Counting findings2]]&gt;=601,tblFLPrep[[#This Row],[Counting findings2]]&lt;=1200),IF(AND(N39&lt;=600,N40&gt;=600),(12-O39),0)+O39+P39,AND(tblFLPrep[[#This Row],[Counting findings2]]&gt;=1201,tblFLPrep[[#This Row],[Counting findings2]]&lt;=1800),IF(AND(N39&lt;=1200,N40&gt;=1200),(24-O39),0)+O39+P39,AND(tblFLPrep[[#This Row],[Counting findings2]]&gt;=1801,tblFLPrep[[#This Row],[Counting findings2]]&lt;=2400),IF(AND(N39&lt;=1800,N40&gt;=1800),(36-O39),0)+O39+P39,AND(tblFLPrep[[#This Row],[Counting findings2]]&gt;=2401,tblFLPrep[[#This Row],[Counting findings2]]&lt;=3000),IF(AND(N39&lt;=2400,N40&gt;=2400),(48-O39),0)+O39+P39,AND(tblFLPrep[[#This Row],[Counting findings2]]&gt;=3001,tblFLPrep[[#This Row],[Counting findings2]]&lt;=3600),IF(AND(N39&lt;=3000,N40&gt;=3000),(60-O39),0)+O39+P39)</f>
        <v>#N/A</v>
      </c>
      <c r="P40" t="str">
        <f>IF(AND(tblFLPrep[[#This Row],[Sorting]]="A",tblFLPrep[[#This Row],[Row size]]&gt;0),1,"")</f>
        <v/>
      </c>
    </row>
    <row r="41" spans="8:31" ht="15" customHeight="1">
      <c r="H41" t="str" cm="1">
        <f t="array" ref="H41">Requirement('Call Flow'!$D$4,tblFLPrep[[#This Row],[Answer]],tblFLPrep[[#This Row],[Fynding Type]])&amp;IF(tblFLPrep[[#This Row],[Add Missing]]="Yes","No","")</f>
        <v/>
      </c>
      <c r="I41" t="str">
        <f>_xlfn.IFS(tblFLPrep[[#This Row],[Add Missing]]="Yes","N/A",OR(tblFLPrep[[#This Row],[Follow Up Required]]="YES",tblFLPrep[[#This Row],[Follow Up Required]]="SI"),LocationInfo[Due Date],tblFLPrep[[#This Row],[Follow Up Required]]="NO*","N/A",tblFLPrep[[#This Row],[Follow Up Required]]="NO","N/A",tblFLPrep[[#This Row],[Follow Up Required]]="","")</f>
        <v/>
      </c>
      <c r="J41" t="str">
        <f>IF(((tblFLPrep[[#This Row],[Section]]&lt;&gt;"")*((tblFLPrep[[#This Row],[Follow Up Required]]="Yes")+(tblFLPrep[[#This Row],[Follow Up Required]]="No"))),"A","")</f>
        <v/>
      </c>
      <c r="L41" t="str">
        <f>IFERROR(IF(AND(COUNTIF($E$1:E41,tblFLPrep[[#This Row],[Section]])=1,E41&lt;&gt;0,D41=""),"Yes",""),"")</f>
        <v/>
      </c>
      <c r="N41" t="str">
        <f>IF(tblFLPrep[[#This Row],[Sorting]]="","",SUM($M$1:M41))</f>
        <v/>
      </c>
      <c r="O41" t="e">
        <f>_xlfn.IFS(P40="Numbering",1,AND(tblFLPrep[[#This Row],[Counting findings2]]&gt;=1,tblFLPrep[[#This Row],[Counting findings2]]&lt;=600),O40+P40,AND(tblFLPrep[[#This Row],[Counting findings2]]&gt;=601,tblFLPrep[[#This Row],[Counting findings2]]&lt;=1200),IF(AND(N40&lt;=600,N41&gt;=600),(12-O40),0)+O40+P40,AND(tblFLPrep[[#This Row],[Counting findings2]]&gt;=1201,tblFLPrep[[#This Row],[Counting findings2]]&lt;=1800),IF(AND(N40&lt;=1200,N41&gt;=1200),(24-O40),0)+O40+P40,AND(tblFLPrep[[#This Row],[Counting findings2]]&gt;=1801,tblFLPrep[[#This Row],[Counting findings2]]&lt;=2400),IF(AND(N40&lt;=1800,N41&gt;=1800),(36-O40),0)+O40+P40,AND(tblFLPrep[[#This Row],[Counting findings2]]&gt;=2401,tblFLPrep[[#This Row],[Counting findings2]]&lt;=3000),IF(AND(N40&lt;=2400,N41&gt;=2400),(48-O40),0)+O40+P40,AND(tblFLPrep[[#This Row],[Counting findings2]]&gt;=3001,tblFLPrep[[#This Row],[Counting findings2]]&lt;=3600),IF(AND(N40&lt;=3000,N41&gt;=3000),(60-O40),0)+O40+P40)</f>
        <v>#N/A</v>
      </c>
      <c r="P41" t="str">
        <f>IF(AND(tblFLPrep[[#This Row],[Sorting]]="A",tblFLPrep[[#This Row],[Row size]]&gt;0),1,"")</f>
        <v/>
      </c>
    </row>
    <row r="42" spans="8:31" ht="15" customHeight="1">
      <c r="H42" t="str" cm="1">
        <f t="array" ref="H42">Requirement('Call Flow'!$D$4,tblFLPrep[[#This Row],[Answer]],tblFLPrep[[#This Row],[Fynding Type]])&amp;IF(tblFLPrep[[#This Row],[Add Missing]]="Yes","No","")</f>
        <v/>
      </c>
      <c r="I42" t="str">
        <f>_xlfn.IFS(tblFLPrep[[#This Row],[Add Missing]]="Yes","N/A",OR(tblFLPrep[[#This Row],[Follow Up Required]]="YES",tblFLPrep[[#This Row],[Follow Up Required]]="SI"),LocationInfo[Due Date],tblFLPrep[[#This Row],[Follow Up Required]]="NO*","N/A",tblFLPrep[[#This Row],[Follow Up Required]]="NO","N/A",tblFLPrep[[#This Row],[Follow Up Required]]="","")</f>
        <v/>
      </c>
      <c r="J42" t="str">
        <f>IF(((tblFLPrep[[#This Row],[Section]]&lt;&gt;"")*((tblFLPrep[[#This Row],[Follow Up Required]]="Yes")+(tblFLPrep[[#This Row],[Follow Up Required]]="No"))),"A","")</f>
        <v/>
      </c>
      <c r="L42" t="str">
        <f>IFERROR(IF(AND(COUNTIF($E$1:E42,tblFLPrep[[#This Row],[Section]])=1,E42&lt;&gt;0,D42=""),"Yes",""),"")</f>
        <v/>
      </c>
      <c r="N42" t="str">
        <f>IF(tblFLPrep[[#This Row],[Sorting]]="","",SUM($M$1:M42))</f>
        <v/>
      </c>
      <c r="O42" t="e">
        <f>_xlfn.IFS(P41="Numbering",1,AND(tblFLPrep[[#This Row],[Counting findings2]]&gt;=1,tblFLPrep[[#This Row],[Counting findings2]]&lt;=600),O41+P41,AND(tblFLPrep[[#This Row],[Counting findings2]]&gt;=601,tblFLPrep[[#This Row],[Counting findings2]]&lt;=1200),IF(AND(N41&lt;=600,N42&gt;=600),(12-O41),0)+O41+P41,AND(tblFLPrep[[#This Row],[Counting findings2]]&gt;=1201,tblFLPrep[[#This Row],[Counting findings2]]&lt;=1800),IF(AND(N41&lt;=1200,N42&gt;=1200),(24-O41),0)+O41+P41,AND(tblFLPrep[[#This Row],[Counting findings2]]&gt;=1801,tblFLPrep[[#This Row],[Counting findings2]]&lt;=2400),IF(AND(N41&lt;=1800,N42&gt;=1800),(36-O41),0)+O41+P41,AND(tblFLPrep[[#This Row],[Counting findings2]]&gt;=2401,tblFLPrep[[#This Row],[Counting findings2]]&lt;=3000),IF(AND(N41&lt;=2400,N42&gt;=2400),(48-O41),0)+O41+P41,AND(tblFLPrep[[#This Row],[Counting findings2]]&gt;=3001,tblFLPrep[[#This Row],[Counting findings2]]&lt;=3600),IF(AND(N41&lt;=3000,N42&gt;=3000),(60-O41),0)+O41+P41)</f>
        <v>#N/A</v>
      </c>
      <c r="P42" t="str">
        <f>IF(AND(tblFLPrep[[#This Row],[Sorting]]="A",tblFLPrep[[#This Row],[Row size]]&gt;0),1,"")</f>
        <v/>
      </c>
    </row>
    <row r="43" spans="8:31" ht="15" customHeight="1">
      <c r="H43" t="e" cm="1">
        <f t="array" ref="H43">Requirement('Call Flow'!$D$4,tblFLPrep[[#This Row],[Answer]],tblFLPrep[[#This Row],[Fynding Type]])&amp;IF(tblFLPrep[[#This Row],[Add Missing]]="Yes","No","")</f>
        <v>#VALUE!</v>
      </c>
      <c r="I43" t="e">
        <f>_xlfn.IFS(tblFLPrep[[#This Row],[Add Missing]]="Yes","N/A",OR(tblFLPrep[[#This Row],[Follow Up Required]]="YES",tblFLPrep[[#This Row],[Follow Up Required]]="SI"),LocationInfo[Due Date],tblFLPrep[[#This Row],[Follow Up Required]]="NO*","N/A",tblFLPrep[[#This Row],[Follow Up Required]]="NO","N/A",tblFLPrep[[#This Row],[Follow Up Required]]="","")</f>
        <v>#VALUE!</v>
      </c>
      <c r="J43" t="e">
        <f>IF(((tblFLPrep[[#This Row],[Section]]&lt;&gt;"")*((tblFLPrep[[#This Row],[Follow Up Required]]="Yes")+(tblFLPrep[[#This Row],[Follow Up Required]]="No"))),"A","")</f>
        <v>#VALUE!</v>
      </c>
      <c r="L43" t="str">
        <f>IFERROR(IF(AND(COUNTIF($E$1:E43,tblFLPrep[[#This Row],[Section]])=1,E43&lt;&gt;0,D43=""),"Yes",""),"")</f>
        <v/>
      </c>
      <c r="N43" t="e">
        <f>IF(tblFLPrep[[#This Row],[Sorting]]="","",SUM($M$1:M43))</f>
        <v>#VALUE!</v>
      </c>
      <c r="O43" t="e">
        <f>_xlfn.IFS(P42="Numbering",1,AND(tblFLPrep[[#This Row],[Counting findings2]]&gt;=1,tblFLPrep[[#This Row],[Counting findings2]]&lt;=600),O42+P42,AND(tblFLPrep[[#This Row],[Counting findings2]]&gt;=601,tblFLPrep[[#This Row],[Counting findings2]]&lt;=1200),IF(AND(N42&lt;=600,N43&gt;=600),(12-O42),0)+O42+P42,AND(tblFLPrep[[#This Row],[Counting findings2]]&gt;=1201,tblFLPrep[[#This Row],[Counting findings2]]&lt;=1800),IF(AND(N42&lt;=1200,N43&gt;=1200),(24-O42),0)+O42+P42,AND(tblFLPrep[[#This Row],[Counting findings2]]&gt;=1801,tblFLPrep[[#This Row],[Counting findings2]]&lt;=2400),IF(AND(N42&lt;=1800,N43&gt;=1800),(36-O42),0)+O42+P42,AND(tblFLPrep[[#This Row],[Counting findings2]]&gt;=2401,tblFLPrep[[#This Row],[Counting findings2]]&lt;=3000),IF(AND(N42&lt;=2400,N43&gt;=2400),(48-O42),0)+O42+P42,AND(tblFLPrep[[#This Row],[Counting findings2]]&gt;=3001,tblFLPrep[[#This Row],[Counting findings2]]&lt;=3600),IF(AND(N42&lt;=3000,N43&gt;=3000),(60-O42),0)+O42+P42)</f>
        <v>#VALUE!</v>
      </c>
      <c r="P43" t="e">
        <f>IF(AND(tblFLPrep[[#This Row],[Sorting]]="A",tblFLPrep[[#This Row],[Row size]]&gt;0),1,"")</f>
        <v>#VALUE!</v>
      </c>
    </row>
    <row r="44" spans="8:31" ht="15" customHeight="1">
      <c r="H44" t="e" cm="1">
        <f t="array" ref="H44">Requirement('Call Flow'!$D$4,tblFLPrep[[#This Row],[Answer]],tblFLPrep[[#This Row],[Fynding Type]])&amp;IF(tblFLPrep[[#This Row],[Add Missing]]="Yes","No","")</f>
        <v>#VALUE!</v>
      </c>
      <c r="I44" t="e">
        <f>_xlfn.IFS(tblFLPrep[[#This Row],[Add Missing]]="Yes","N/A",OR(tblFLPrep[[#This Row],[Follow Up Required]]="YES",tblFLPrep[[#This Row],[Follow Up Required]]="SI"),LocationInfo[Due Date],tblFLPrep[[#This Row],[Follow Up Required]]="NO*","N/A",tblFLPrep[[#This Row],[Follow Up Required]]="NO","N/A",tblFLPrep[[#This Row],[Follow Up Required]]="","")</f>
        <v>#VALUE!</v>
      </c>
      <c r="J44" t="e">
        <f>IF(((tblFLPrep[[#This Row],[Section]]&lt;&gt;"")*((tblFLPrep[[#This Row],[Follow Up Required]]="Yes")+(tblFLPrep[[#This Row],[Follow Up Required]]="No"))),"A","")</f>
        <v>#VALUE!</v>
      </c>
      <c r="L44" t="str">
        <f>IFERROR(IF(AND(COUNTIF($E$1:E44,tblFLPrep[[#This Row],[Section]])=1,E44&lt;&gt;0,D44=""),"Yes",""),"")</f>
        <v/>
      </c>
      <c r="N44" t="e">
        <f>IF(tblFLPrep[[#This Row],[Sorting]]="","",SUM($M$1:M96))</f>
        <v>#VALUE!</v>
      </c>
      <c r="O44" t="e">
        <f>_xlfn.IFS(P43="Numbering",1,AND(tblFLPrep[[#This Row],[Counting findings2]]&gt;=1,tblFLPrep[[#This Row],[Counting findings2]]&lt;=600),O43+P43,AND(tblFLPrep[[#This Row],[Counting findings2]]&gt;=601,tblFLPrep[[#This Row],[Counting findings2]]&lt;=1200),IF(AND(N43&lt;=600,N44&gt;=600),(12-O43),0)+O43+P43,AND(tblFLPrep[[#This Row],[Counting findings2]]&gt;=1201,tblFLPrep[[#This Row],[Counting findings2]]&lt;=1800),IF(AND(N43&lt;=1200,N44&gt;=1200),(24-O43),0)+O43+P43,AND(tblFLPrep[[#This Row],[Counting findings2]]&gt;=1801,tblFLPrep[[#This Row],[Counting findings2]]&lt;=2400),IF(AND(N43&lt;=1800,N44&gt;=1800),(36-O43),0)+O43+P43,AND(tblFLPrep[[#This Row],[Counting findings2]]&gt;=2401,tblFLPrep[[#This Row],[Counting findings2]]&lt;=3000),IF(AND(N43&lt;=2400,N44&gt;=2400),(48-O43),0)+O43+P43,AND(tblFLPrep[[#This Row],[Counting findings2]]&gt;=3001,tblFLPrep[[#This Row],[Counting findings2]]&lt;=3600),IF(AND(N43&lt;=3000,N44&gt;=3000),(60-O43),0)+O43+P43)</f>
        <v>#VALUE!</v>
      </c>
      <c r="P44" t="e">
        <f>IF(AND(tblFLPrep[[#This Row],[Sorting]]="A",tblFLPrep[[#This Row],[Row size]]&gt;0),1,"")</f>
        <v>#VALUE!</v>
      </c>
    </row>
    <row r="45" spans="8:31" ht="15" customHeight="1">
      <c r="H45" t="e" cm="1">
        <f t="array" ref="H45">Requirement('Call Flow'!$D$4,tblFLPrep[[#This Row],[Answer]],tblFLPrep[[#This Row],[Fynding Type]])&amp;IF(tblFLPrep[[#This Row],[Add Missing]]="Yes","No","")</f>
        <v>#VALUE!</v>
      </c>
      <c r="I45" t="e">
        <f>_xlfn.IFS(tblFLPrep[[#This Row],[Add Missing]]="Yes","N/A",OR(tblFLPrep[[#This Row],[Follow Up Required]]="YES",tblFLPrep[[#This Row],[Follow Up Required]]="SI"),LocationInfo[Due Date],tblFLPrep[[#This Row],[Follow Up Required]]="NO*","N/A",tblFLPrep[[#This Row],[Follow Up Required]]="NO","N/A",tblFLPrep[[#This Row],[Follow Up Required]]="","")</f>
        <v>#VALUE!</v>
      </c>
      <c r="J45" t="e">
        <f>IF(((tblFLPrep[[#This Row],[Section]]&lt;&gt;"")*((tblFLPrep[[#This Row],[Follow Up Required]]="Yes")+(tblFLPrep[[#This Row],[Follow Up Required]]="No"))),"A","")</f>
        <v>#VALUE!</v>
      </c>
      <c r="L45" t="str">
        <f>IFERROR(IF(AND(COUNTIF($E$1:E45,tblFLPrep[[#This Row],[Section]])=1,E45&lt;&gt;0,D45=""),"Yes",""),"")</f>
        <v/>
      </c>
      <c r="N45" t="e">
        <f>IF(tblFLPrep[[#This Row],[Sorting]]="","",SUM($M$1:M101))</f>
        <v>#VALUE!</v>
      </c>
      <c r="O45" t="e">
        <f>_xlfn.IFS(P44="Numbering",1,AND(tblFLPrep[[#This Row],[Counting findings2]]&gt;=1,tblFLPrep[[#This Row],[Counting findings2]]&lt;=600),O44+P44,AND(tblFLPrep[[#This Row],[Counting findings2]]&gt;=601,tblFLPrep[[#This Row],[Counting findings2]]&lt;=1200),IF(AND(N44&lt;=600,N45&gt;=600),(12-O44),0)+O44+P44,AND(tblFLPrep[[#This Row],[Counting findings2]]&gt;=1201,tblFLPrep[[#This Row],[Counting findings2]]&lt;=1800),IF(AND(N44&lt;=1200,N45&gt;=1200),(24-O44),0)+O44+P44,AND(tblFLPrep[[#This Row],[Counting findings2]]&gt;=1801,tblFLPrep[[#This Row],[Counting findings2]]&lt;=2400),IF(AND(N44&lt;=1800,N45&gt;=1800),(36-O44),0)+O44+P44,AND(tblFLPrep[[#This Row],[Counting findings2]]&gt;=2401,tblFLPrep[[#This Row],[Counting findings2]]&lt;=3000),IF(AND(N44&lt;=2400,N45&gt;=2400),(48-O44),0)+O44+P44,AND(tblFLPrep[[#This Row],[Counting findings2]]&gt;=3001,tblFLPrep[[#This Row],[Counting findings2]]&lt;=3600),IF(AND(N44&lt;=3000,N45&gt;=3000),(60-O44),0)+O44+P44)</f>
        <v>#VALUE!</v>
      </c>
      <c r="P45" t="e">
        <f>IF(AND(tblFLPrep[[#This Row],[Sorting]]="A",tblFLPrep[[#This Row],[Row size]]&gt;0),1,"")</f>
        <v>#VALUE!</v>
      </c>
    </row>
    <row r="46" spans="8:31" ht="15" customHeight="1">
      <c r="H46" t="e" cm="1">
        <f t="array" ref="H46">Requirement('Call Flow'!$D$4,tblFLPrep[[#This Row],[Answer]],tblFLPrep[[#This Row],[Fynding Type]])&amp;IF(tblFLPrep[[#This Row],[Add Missing]]="Yes","No","")</f>
        <v>#VALUE!</v>
      </c>
      <c r="I46" t="e">
        <f>_xlfn.IFS(tblFLPrep[[#This Row],[Add Missing]]="Yes","N/A",OR(tblFLPrep[[#This Row],[Follow Up Required]]="YES",tblFLPrep[[#This Row],[Follow Up Required]]="SI"),LocationInfo[Due Date],tblFLPrep[[#This Row],[Follow Up Required]]="NO*","N/A",tblFLPrep[[#This Row],[Follow Up Required]]="NO","N/A",tblFLPrep[[#This Row],[Follow Up Required]]="","")</f>
        <v>#VALUE!</v>
      </c>
      <c r="J46" t="e">
        <f>IF(((tblFLPrep[[#This Row],[Section]]&lt;&gt;"")*((tblFLPrep[[#This Row],[Follow Up Required]]="Yes")+(tblFLPrep[[#This Row],[Follow Up Required]]="No"))),"A","")</f>
        <v>#VALUE!</v>
      </c>
      <c r="L46" t="str">
        <f>IFERROR(IF(AND(COUNTIF($E$1:E46,tblFLPrep[[#This Row],[Section]])=1,E46&lt;&gt;0,D46=""),"Yes",""),"")</f>
        <v/>
      </c>
      <c r="N46" t="e">
        <f>IF(tblFLPrep[[#This Row],[Sorting]]="","",SUM($M$1:M46))</f>
        <v>#VALUE!</v>
      </c>
      <c r="O46" t="e">
        <f>_xlfn.IFS(P45="Numbering",1,AND(tblFLPrep[[#This Row],[Counting findings2]]&gt;=1,tblFLPrep[[#This Row],[Counting findings2]]&lt;=600),O45+P45,AND(tblFLPrep[[#This Row],[Counting findings2]]&gt;=601,tblFLPrep[[#This Row],[Counting findings2]]&lt;=1200),IF(AND(N45&lt;=600,N46&gt;=600),(12-O45),0)+O45+P45,AND(tblFLPrep[[#This Row],[Counting findings2]]&gt;=1201,tblFLPrep[[#This Row],[Counting findings2]]&lt;=1800),IF(AND(N45&lt;=1200,N46&gt;=1200),(24-O45),0)+O45+P45,AND(tblFLPrep[[#This Row],[Counting findings2]]&gt;=1801,tblFLPrep[[#This Row],[Counting findings2]]&lt;=2400),IF(AND(N45&lt;=1800,N46&gt;=1800),(36-O45),0)+O45+P45,AND(tblFLPrep[[#This Row],[Counting findings2]]&gt;=2401,tblFLPrep[[#This Row],[Counting findings2]]&lt;=3000),IF(AND(N45&lt;=2400,N46&gt;=2400),(48-O45),0)+O45+P45,AND(tblFLPrep[[#This Row],[Counting findings2]]&gt;=3001,tblFLPrep[[#This Row],[Counting findings2]]&lt;=3600),IF(AND(N45&lt;=3000,N46&gt;=3000),(60-O45),0)+O45+P45)</f>
        <v>#VALUE!</v>
      </c>
      <c r="P46" t="e">
        <f>IF(AND(tblFLPrep[[#This Row],[Sorting]]="A",tblFLPrep[[#This Row],[Row size]]&gt;0),1,"")</f>
        <v>#VALUE!</v>
      </c>
    </row>
    <row r="47" spans="8:31" ht="15" customHeight="1">
      <c r="H47" t="e" cm="1">
        <f t="array" ref="H47">Requirement('Call Flow'!$D$4,tblFLPrep[[#This Row],[Answer]],tblFLPrep[[#This Row],[Fynding Type]])&amp;IF(tblFLPrep[[#This Row],[Add Missing]]="Yes","No","")</f>
        <v>#VALUE!</v>
      </c>
      <c r="I47" t="e">
        <f>_xlfn.IFS(tblFLPrep[[#This Row],[Add Missing]]="Yes","N/A",OR(tblFLPrep[[#This Row],[Follow Up Required]]="YES",tblFLPrep[[#This Row],[Follow Up Required]]="SI"),LocationInfo[Due Date],tblFLPrep[[#This Row],[Follow Up Required]]="NO*","N/A",tblFLPrep[[#This Row],[Follow Up Required]]="NO","N/A",tblFLPrep[[#This Row],[Follow Up Required]]="","")</f>
        <v>#VALUE!</v>
      </c>
      <c r="J47" t="e">
        <f>IF(((tblFLPrep[[#This Row],[Section]]&lt;&gt;"")*((tblFLPrep[[#This Row],[Follow Up Required]]="Yes")+(tblFLPrep[[#This Row],[Follow Up Required]]="No"))),"A","")</f>
        <v>#VALUE!</v>
      </c>
      <c r="L47" t="str">
        <f>IFERROR(IF(AND(COUNTIF($E$1:E47,tblFLPrep[[#This Row],[Section]])=1,E47&lt;&gt;0,D47=""),"Yes",""),"")</f>
        <v/>
      </c>
      <c r="N47" t="e">
        <f>IF(tblFLPrep[[#This Row],[Sorting]]="","",SUM($M$1:M103))</f>
        <v>#VALUE!</v>
      </c>
      <c r="O47" t="e">
        <f>_xlfn.IFS(P46="Numbering",1,AND(tblFLPrep[[#This Row],[Counting findings2]]&gt;=1,tblFLPrep[[#This Row],[Counting findings2]]&lt;=600),O46+P46,AND(tblFLPrep[[#This Row],[Counting findings2]]&gt;=601,tblFLPrep[[#This Row],[Counting findings2]]&lt;=1200),IF(AND(N46&lt;=600,N47&gt;=600),(12-O46),0)+O46+P46,AND(tblFLPrep[[#This Row],[Counting findings2]]&gt;=1201,tblFLPrep[[#This Row],[Counting findings2]]&lt;=1800),IF(AND(N46&lt;=1200,N47&gt;=1200),(24-O46),0)+O46+P46,AND(tblFLPrep[[#This Row],[Counting findings2]]&gt;=1801,tblFLPrep[[#This Row],[Counting findings2]]&lt;=2400),IF(AND(N46&lt;=1800,N47&gt;=1800),(36-O46),0)+O46+P46,AND(tblFLPrep[[#This Row],[Counting findings2]]&gt;=2401,tblFLPrep[[#This Row],[Counting findings2]]&lt;=3000),IF(AND(N46&lt;=2400,N47&gt;=2400),(48-O46),0)+O46+P46,AND(tblFLPrep[[#This Row],[Counting findings2]]&gt;=3001,tblFLPrep[[#This Row],[Counting findings2]]&lt;=3600),IF(AND(N46&lt;=3000,N47&gt;=3000),(60-O46),0)+O46+P46)</f>
        <v>#VALUE!</v>
      </c>
      <c r="P47" t="e">
        <f>IF(AND(tblFLPrep[[#This Row],[Sorting]]="A",tblFLPrep[[#This Row],[Row size]]&gt;0),1,"")</f>
        <v>#VALUE!</v>
      </c>
    </row>
    <row r="48" spans="8:31" ht="15" customHeight="1">
      <c r="H48" t="e" cm="1">
        <f t="array" ref="H48">Requirement('Call Flow'!$D$4,tblFLPrep[[#This Row],[Answer]],tblFLPrep[[#This Row],[Fynding Type]])&amp;IF(tblFLPrep[[#This Row],[Add Missing]]="Yes","No","")</f>
        <v>#VALUE!</v>
      </c>
      <c r="I48" t="e">
        <f>_xlfn.IFS(tblFLPrep[[#This Row],[Add Missing]]="Yes","N/A",OR(tblFLPrep[[#This Row],[Follow Up Required]]="YES",tblFLPrep[[#This Row],[Follow Up Required]]="SI"),LocationInfo[Due Date],tblFLPrep[[#This Row],[Follow Up Required]]="NO*","N/A",tblFLPrep[[#This Row],[Follow Up Required]]="NO","N/A",tblFLPrep[[#This Row],[Follow Up Required]]="","")</f>
        <v>#VALUE!</v>
      </c>
      <c r="J48" t="e">
        <f>IF(((tblFLPrep[[#This Row],[Section]]&lt;&gt;"")*((tblFLPrep[[#This Row],[Follow Up Required]]="Yes")+(tblFLPrep[[#This Row],[Follow Up Required]]="No"))),"A","")</f>
        <v>#VALUE!</v>
      </c>
      <c r="L48" t="str">
        <f>IFERROR(IF(AND(COUNTIF($E$1:E48,tblFLPrep[[#This Row],[Section]])=1,E48&lt;&gt;0,D48=""),"Yes",""),"")</f>
        <v/>
      </c>
      <c r="N48" t="e">
        <f>IF(tblFLPrep[[#This Row],[Sorting]]="","",SUM($M$1:M48))</f>
        <v>#VALUE!</v>
      </c>
      <c r="O48" t="e">
        <f>_xlfn.IFS(P47="Numbering",1,AND(tblFLPrep[[#This Row],[Counting findings2]]&gt;=1,tblFLPrep[[#This Row],[Counting findings2]]&lt;=600),O47+P47,AND(tblFLPrep[[#This Row],[Counting findings2]]&gt;=601,tblFLPrep[[#This Row],[Counting findings2]]&lt;=1200),IF(AND(N47&lt;=600,N48&gt;=600),(12-O47),0)+O47+P47,AND(tblFLPrep[[#This Row],[Counting findings2]]&gt;=1201,tblFLPrep[[#This Row],[Counting findings2]]&lt;=1800),IF(AND(N47&lt;=1200,N48&gt;=1200),(24-O47),0)+O47+P47,AND(tblFLPrep[[#This Row],[Counting findings2]]&gt;=1801,tblFLPrep[[#This Row],[Counting findings2]]&lt;=2400),IF(AND(N47&lt;=1800,N48&gt;=1800),(36-O47),0)+O47+P47,AND(tblFLPrep[[#This Row],[Counting findings2]]&gt;=2401,tblFLPrep[[#This Row],[Counting findings2]]&lt;=3000),IF(AND(N47&lt;=2400,N48&gt;=2400),(48-O47),0)+O47+P47,AND(tblFLPrep[[#This Row],[Counting findings2]]&gt;=3001,tblFLPrep[[#This Row],[Counting findings2]]&lt;=3600),IF(AND(N47&lt;=3000,N48&gt;=3000),(60-O47),0)+O47+P47)</f>
        <v>#VALUE!</v>
      </c>
      <c r="P48" t="e">
        <f>IF(AND(tblFLPrep[[#This Row],[Sorting]]="A",tblFLPrep[[#This Row],[Row size]]&gt;0),1,"")</f>
        <v>#VALUE!</v>
      </c>
    </row>
    <row r="49" spans="8:16" ht="15" customHeight="1">
      <c r="H49" t="e" cm="1">
        <f t="array" ref="H49">Requirement('Call Flow'!$D$4,tblFLPrep[[#This Row],[Answer]],tblFLPrep[[#This Row],[Fynding Type]])&amp;IF(tblFLPrep[[#This Row],[Add Missing]]="Yes","No","")</f>
        <v>#VALUE!</v>
      </c>
      <c r="I49" t="e">
        <f>_xlfn.IFS(tblFLPrep[[#This Row],[Add Missing]]="Yes","N/A",OR(tblFLPrep[[#This Row],[Follow Up Required]]="YES",tblFLPrep[[#This Row],[Follow Up Required]]="SI"),LocationInfo[Due Date],tblFLPrep[[#This Row],[Follow Up Required]]="NO*","N/A",tblFLPrep[[#This Row],[Follow Up Required]]="NO","N/A",tblFLPrep[[#This Row],[Follow Up Required]]="","")</f>
        <v>#VALUE!</v>
      </c>
      <c r="J49" t="e">
        <f>IF(((tblFLPrep[[#This Row],[Section]]&lt;&gt;"")*((tblFLPrep[[#This Row],[Follow Up Required]]="Yes")+(tblFLPrep[[#This Row],[Follow Up Required]]="No"))),"A","")</f>
        <v>#VALUE!</v>
      </c>
      <c r="L49" t="str">
        <f>IFERROR(IF(AND(COUNTIF($E$1:E49,tblFLPrep[[#This Row],[Section]])=1,E49&lt;&gt;0,D49=""),"Yes",""),"")</f>
        <v/>
      </c>
      <c r="N49" t="e">
        <f>IF(tblFLPrep[[#This Row],[Sorting]]="","",SUM($M$1:M105))</f>
        <v>#VALUE!</v>
      </c>
      <c r="O49" t="e">
        <f>_xlfn.IFS(P48="Numbering",1,AND(tblFLPrep[[#This Row],[Counting findings2]]&gt;=1,tblFLPrep[[#This Row],[Counting findings2]]&lt;=600),O48+P48,AND(tblFLPrep[[#This Row],[Counting findings2]]&gt;=601,tblFLPrep[[#This Row],[Counting findings2]]&lt;=1200),IF(AND(N48&lt;=600,N49&gt;=600),(12-O48),0)+O48+P48,AND(tblFLPrep[[#This Row],[Counting findings2]]&gt;=1201,tblFLPrep[[#This Row],[Counting findings2]]&lt;=1800),IF(AND(N48&lt;=1200,N49&gt;=1200),(24-O48),0)+O48+P48,AND(tblFLPrep[[#This Row],[Counting findings2]]&gt;=1801,tblFLPrep[[#This Row],[Counting findings2]]&lt;=2400),IF(AND(N48&lt;=1800,N49&gt;=1800),(36-O48),0)+O48+P48,AND(tblFLPrep[[#This Row],[Counting findings2]]&gt;=2401,tblFLPrep[[#This Row],[Counting findings2]]&lt;=3000),IF(AND(N48&lt;=2400,N49&gt;=2400),(48-O48),0)+O48+P48,AND(tblFLPrep[[#This Row],[Counting findings2]]&gt;=3001,tblFLPrep[[#This Row],[Counting findings2]]&lt;=3600),IF(AND(N48&lt;=3000,N49&gt;=3000),(60-O48),0)+O48+P48)</f>
        <v>#VALUE!</v>
      </c>
      <c r="P49" t="e">
        <f>IF(AND(tblFLPrep[[#This Row],[Sorting]]="A",tblFLPrep[[#This Row],[Row size]]&gt;0),1,"")</f>
        <v>#VALUE!</v>
      </c>
    </row>
    <row r="50" spans="8:16" ht="15" customHeight="1">
      <c r="H50" t="e" cm="1">
        <f t="array" ref="H50">Requirement('Call Flow'!$D$4,tblFLPrep[[#This Row],[Answer]],tblFLPrep[[#This Row],[Fynding Type]])&amp;IF(tblFLPrep[[#This Row],[Add Missing]]="Yes","No","")</f>
        <v>#VALUE!</v>
      </c>
      <c r="I50" t="e">
        <f>_xlfn.IFS(tblFLPrep[[#This Row],[Add Missing]]="Yes","N/A",OR(tblFLPrep[[#This Row],[Follow Up Required]]="YES",tblFLPrep[[#This Row],[Follow Up Required]]="SI"),LocationInfo[Due Date],tblFLPrep[[#This Row],[Follow Up Required]]="NO*","N/A",tblFLPrep[[#This Row],[Follow Up Required]]="NO","N/A",tblFLPrep[[#This Row],[Follow Up Required]]="","")</f>
        <v>#VALUE!</v>
      </c>
      <c r="J50" t="e">
        <f>IF(((tblFLPrep[[#This Row],[Section]]&lt;&gt;"")*((tblFLPrep[[#This Row],[Follow Up Required]]="Yes")+(tblFLPrep[[#This Row],[Follow Up Required]]="No"))),"A","")</f>
        <v>#VALUE!</v>
      </c>
      <c r="L50" t="str">
        <f>IFERROR(IF(AND(COUNTIF($E$1:E50,tblFLPrep[[#This Row],[Section]])=1,E50&lt;&gt;0,D50=""),"Yes",""),"")</f>
        <v/>
      </c>
      <c r="N50" t="e">
        <f>IF(tblFLPrep[[#This Row],[Sorting]]="","",SUM($M$1:M50))</f>
        <v>#VALUE!</v>
      </c>
      <c r="O50" t="e">
        <f>_xlfn.IFS(P49="Numbering",1,AND(tblFLPrep[[#This Row],[Counting findings2]]&gt;=1,tblFLPrep[[#This Row],[Counting findings2]]&lt;=600),O49+P49,AND(tblFLPrep[[#This Row],[Counting findings2]]&gt;=601,tblFLPrep[[#This Row],[Counting findings2]]&lt;=1200),IF(AND(N49&lt;=600,N50&gt;=600),(12-O49),0)+O49+P49,AND(tblFLPrep[[#This Row],[Counting findings2]]&gt;=1201,tblFLPrep[[#This Row],[Counting findings2]]&lt;=1800),IF(AND(N49&lt;=1200,N50&gt;=1200),(24-O49),0)+O49+P49,AND(tblFLPrep[[#This Row],[Counting findings2]]&gt;=1801,tblFLPrep[[#This Row],[Counting findings2]]&lt;=2400),IF(AND(N49&lt;=1800,N50&gt;=1800),(36-O49),0)+O49+P49,AND(tblFLPrep[[#This Row],[Counting findings2]]&gt;=2401,tblFLPrep[[#This Row],[Counting findings2]]&lt;=3000),IF(AND(N49&lt;=2400,N50&gt;=2400),(48-O49),0)+O49+P49,AND(tblFLPrep[[#This Row],[Counting findings2]]&gt;=3001,tblFLPrep[[#This Row],[Counting findings2]]&lt;=3600),IF(AND(N49&lt;=3000,N50&gt;=3000),(60-O49),0)+O49+P49)</f>
        <v>#VALUE!</v>
      </c>
      <c r="P50" t="e">
        <f>IF(AND(tblFLPrep[[#This Row],[Sorting]]="A",tblFLPrep[[#This Row],[Row size]]&gt;0),1,"")</f>
        <v>#VALUE!</v>
      </c>
    </row>
    <row r="51" spans="8:16" ht="15" customHeight="1">
      <c r="H51" t="e" cm="1">
        <f t="array" ref="H51">Requirement('Call Flow'!$D$4,tblFLPrep[[#This Row],[Answer]],tblFLPrep[[#This Row],[Fynding Type]])&amp;IF(tblFLPrep[[#This Row],[Add Missing]]="Yes","No","")</f>
        <v>#VALUE!</v>
      </c>
      <c r="I51" t="e">
        <f>_xlfn.IFS(tblFLPrep[[#This Row],[Add Missing]]="Yes","N/A",OR(tblFLPrep[[#This Row],[Follow Up Required]]="YES",tblFLPrep[[#This Row],[Follow Up Required]]="SI"),LocationInfo[Due Date],tblFLPrep[[#This Row],[Follow Up Required]]="NO*","N/A",tblFLPrep[[#This Row],[Follow Up Required]]="NO","N/A",tblFLPrep[[#This Row],[Follow Up Required]]="","")</f>
        <v>#VALUE!</v>
      </c>
      <c r="J51" t="e">
        <f>IF(((tblFLPrep[[#This Row],[Section]]&lt;&gt;"")*((tblFLPrep[[#This Row],[Follow Up Required]]="Yes")+(tblFLPrep[[#This Row],[Follow Up Required]]="No"))),"A","")</f>
        <v>#VALUE!</v>
      </c>
      <c r="L51" t="str">
        <f>IFERROR(IF(AND(COUNTIF($E$1:E51,tblFLPrep[[#This Row],[Section]])=1,E51&lt;&gt;0,D51=""),"Yes",""),"")</f>
        <v/>
      </c>
      <c r="N51" t="e">
        <f>IF(tblFLPrep[[#This Row],[Sorting]]="","",SUM($M$1:M51))</f>
        <v>#VALUE!</v>
      </c>
      <c r="O51" t="e">
        <f>_xlfn.IFS(P50="Numbering",1,AND(tblFLPrep[[#This Row],[Counting findings2]]&gt;=1,tblFLPrep[[#This Row],[Counting findings2]]&lt;=600),O50+P50,AND(tblFLPrep[[#This Row],[Counting findings2]]&gt;=601,tblFLPrep[[#This Row],[Counting findings2]]&lt;=1200),IF(AND(N50&lt;=600,N51&gt;=600),(12-O50),0)+O50+P50,AND(tblFLPrep[[#This Row],[Counting findings2]]&gt;=1201,tblFLPrep[[#This Row],[Counting findings2]]&lt;=1800),IF(AND(N50&lt;=1200,N51&gt;=1200),(24-O50),0)+O50+P50,AND(tblFLPrep[[#This Row],[Counting findings2]]&gt;=1801,tblFLPrep[[#This Row],[Counting findings2]]&lt;=2400),IF(AND(N50&lt;=1800,N51&gt;=1800),(36-O50),0)+O50+P50,AND(tblFLPrep[[#This Row],[Counting findings2]]&gt;=2401,tblFLPrep[[#This Row],[Counting findings2]]&lt;=3000),IF(AND(N50&lt;=2400,N51&gt;=2400),(48-O50),0)+O50+P50,AND(tblFLPrep[[#This Row],[Counting findings2]]&gt;=3001,tblFLPrep[[#This Row],[Counting findings2]]&lt;=3600),IF(AND(N50&lt;=3000,N51&gt;=3000),(60-O50),0)+O50+P50)</f>
        <v>#VALUE!</v>
      </c>
      <c r="P51" t="e">
        <f>IF(AND(tblFLPrep[[#This Row],[Sorting]]="A",tblFLPrep[[#This Row],[Row size]]&gt;0),1,"")</f>
        <v>#VALUE!</v>
      </c>
    </row>
    <row r="52" spans="8:16" ht="15" customHeight="1">
      <c r="H52" t="e" cm="1">
        <f t="array" ref="H52">Requirement('Call Flow'!$D$4,tblFLPrep[[#This Row],[Answer]],tblFLPrep[[#This Row],[Fynding Type]])&amp;IF(tblFLPrep[[#This Row],[Add Missing]]="Yes","No","")</f>
        <v>#VALUE!</v>
      </c>
      <c r="I52" t="e">
        <f>_xlfn.IFS(tblFLPrep[[#This Row],[Add Missing]]="Yes","N/A",OR(tblFLPrep[[#This Row],[Follow Up Required]]="YES",tblFLPrep[[#This Row],[Follow Up Required]]="SI"),LocationInfo[Due Date],tblFLPrep[[#This Row],[Follow Up Required]]="NO*","N/A",tblFLPrep[[#This Row],[Follow Up Required]]="NO","N/A",tblFLPrep[[#This Row],[Follow Up Required]]="","")</f>
        <v>#VALUE!</v>
      </c>
      <c r="J52" t="e">
        <f>IF(((tblFLPrep[[#This Row],[Section]]&lt;&gt;"")*((tblFLPrep[[#This Row],[Follow Up Required]]="Yes")+(tblFLPrep[[#This Row],[Follow Up Required]]="No"))),"A","")</f>
        <v>#VALUE!</v>
      </c>
      <c r="L52" t="str">
        <f>IFERROR(IF(AND(COUNTIF($E$1:E52,tblFLPrep[[#This Row],[Section]])=1,E52&lt;&gt;0,D52=""),"Yes",""),"")</f>
        <v/>
      </c>
      <c r="N52" t="e">
        <f>IF(tblFLPrep[[#This Row],[Sorting]]="","",SUM($M$1:M108))</f>
        <v>#VALUE!</v>
      </c>
      <c r="O52" t="e">
        <f>_xlfn.IFS(P51="Numbering",1,AND(tblFLPrep[[#This Row],[Counting findings2]]&gt;=1,tblFLPrep[[#This Row],[Counting findings2]]&lt;=600),O51+P51,AND(tblFLPrep[[#This Row],[Counting findings2]]&gt;=601,tblFLPrep[[#This Row],[Counting findings2]]&lt;=1200),IF(AND(N51&lt;=600,N52&gt;=600),(12-O51),0)+O51+P51,AND(tblFLPrep[[#This Row],[Counting findings2]]&gt;=1201,tblFLPrep[[#This Row],[Counting findings2]]&lt;=1800),IF(AND(N51&lt;=1200,N52&gt;=1200),(24-O51),0)+O51+P51,AND(tblFLPrep[[#This Row],[Counting findings2]]&gt;=1801,tblFLPrep[[#This Row],[Counting findings2]]&lt;=2400),IF(AND(N51&lt;=1800,N52&gt;=1800),(36-O51),0)+O51+P51,AND(tblFLPrep[[#This Row],[Counting findings2]]&gt;=2401,tblFLPrep[[#This Row],[Counting findings2]]&lt;=3000),IF(AND(N51&lt;=2400,N52&gt;=2400),(48-O51),0)+O51+P51,AND(tblFLPrep[[#This Row],[Counting findings2]]&gt;=3001,tblFLPrep[[#This Row],[Counting findings2]]&lt;=3600),IF(AND(N51&lt;=3000,N52&gt;=3000),(60-O51),0)+O51+P51)</f>
        <v>#VALUE!</v>
      </c>
      <c r="P52" t="e">
        <f>IF(AND(tblFLPrep[[#This Row],[Sorting]]="A",tblFLPrep[[#This Row],[Row size]]&gt;0),1,"")</f>
        <v>#VALUE!</v>
      </c>
    </row>
    <row r="53" spans="8:16" ht="15" customHeight="1">
      <c r="H53" t="e" cm="1">
        <f t="array" ref="H53">Requirement('Call Flow'!$D$4,tblFLPrep[[#This Row],[Answer]],tblFLPrep[[#This Row],[Fynding Type]])&amp;IF(tblFLPrep[[#This Row],[Add Missing]]="Yes","No","")</f>
        <v>#VALUE!</v>
      </c>
      <c r="I53" t="e">
        <f>_xlfn.IFS(tblFLPrep[[#This Row],[Add Missing]]="Yes","N/A",OR(tblFLPrep[[#This Row],[Follow Up Required]]="YES",tblFLPrep[[#This Row],[Follow Up Required]]="SI"),LocationInfo[Due Date],tblFLPrep[[#This Row],[Follow Up Required]]="NO*","N/A",tblFLPrep[[#This Row],[Follow Up Required]]="NO","N/A",tblFLPrep[[#This Row],[Follow Up Required]]="","")</f>
        <v>#VALUE!</v>
      </c>
      <c r="J53" t="e">
        <f>IF(((tblFLPrep[[#This Row],[Section]]&lt;&gt;"")*((tblFLPrep[[#This Row],[Follow Up Required]]="Yes")+(tblFLPrep[[#This Row],[Follow Up Required]]="No"))),"A","")</f>
        <v>#VALUE!</v>
      </c>
      <c r="L53" t="str">
        <f>IFERROR(IF(AND(COUNTIF($E$1:E53,tblFLPrep[[#This Row],[Section]])=1,E53&lt;&gt;0,D53=""),"Yes",""),"")</f>
        <v/>
      </c>
      <c r="N53" t="e">
        <f>IF(tblFLPrep[[#This Row],[Sorting]]="","",SUM($M$1:M53))</f>
        <v>#VALUE!</v>
      </c>
      <c r="O53" t="e">
        <f>_xlfn.IFS(P52="Numbering",1,AND(tblFLPrep[[#This Row],[Counting findings2]]&gt;=1,tblFLPrep[[#This Row],[Counting findings2]]&lt;=600),O52+P52,AND(tblFLPrep[[#This Row],[Counting findings2]]&gt;=601,tblFLPrep[[#This Row],[Counting findings2]]&lt;=1200),IF(AND(N52&lt;=600,N53&gt;=600),(12-O52),0)+O52+P52,AND(tblFLPrep[[#This Row],[Counting findings2]]&gt;=1201,tblFLPrep[[#This Row],[Counting findings2]]&lt;=1800),IF(AND(N52&lt;=1200,N53&gt;=1200),(24-O52),0)+O52+P52,AND(tblFLPrep[[#This Row],[Counting findings2]]&gt;=1801,tblFLPrep[[#This Row],[Counting findings2]]&lt;=2400),IF(AND(N52&lt;=1800,N53&gt;=1800),(36-O52),0)+O52+P52,AND(tblFLPrep[[#This Row],[Counting findings2]]&gt;=2401,tblFLPrep[[#This Row],[Counting findings2]]&lt;=3000),IF(AND(N52&lt;=2400,N53&gt;=2400),(48-O52),0)+O52+P52,AND(tblFLPrep[[#This Row],[Counting findings2]]&gt;=3001,tblFLPrep[[#This Row],[Counting findings2]]&lt;=3600),IF(AND(N52&lt;=3000,N53&gt;=3000),(60-O52),0)+O52+P52)</f>
        <v>#VALUE!</v>
      </c>
      <c r="P53" t="e">
        <f>IF(AND(tblFLPrep[[#This Row],[Sorting]]="A",tblFLPrep[[#This Row],[Row size]]&gt;0),1,"")</f>
        <v>#VALUE!</v>
      </c>
    </row>
    <row r="54" spans="8:16" ht="15" customHeight="1">
      <c r="H54" t="e" cm="1">
        <f t="array" ref="H54">Requirement('Call Flow'!$D$4,tblFLPrep[[#This Row],[Answer]],tblFLPrep[[#This Row],[Fynding Type]])&amp;IF(tblFLPrep[[#This Row],[Add Missing]]="Yes","No","")</f>
        <v>#VALUE!</v>
      </c>
      <c r="I54" t="e">
        <f>_xlfn.IFS(tblFLPrep[[#This Row],[Add Missing]]="Yes","N/A",OR(tblFLPrep[[#This Row],[Follow Up Required]]="YES",tblFLPrep[[#This Row],[Follow Up Required]]="SI"),LocationInfo[Due Date],tblFLPrep[[#This Row],[Follow Up Required]]="NO*","N/A",tblFLPrep[[#This Row],[Follow Up Required]]="NO","N/A",tblFLPrep[[#This Row],[Follow Up Required]]="","")</f>
        <v>#VALUE!</v>
      </c>
      <c r="J54" t="e">
        <f>IF(((tblFLPrep[[#This Row],[Section]]&lt;&gt;"")*((tblFLPrep[[#This Row],[Follow Up Required]]="Yes")+(tblFLPrep[[#This Row],[Follow Up Required]]="No"))),"A","")</f>
        <v>#VALUE!</v>
      </c>
      <c r="L54" t="str">
        <f>IFERROR(IF(AND(COUNTIF($E$1:E54,tblFLPrep[[#This Row],[Section]])=1,E54&lt;&gt;0,D54=""),"Yes",""),"")</f>
        <v/>
      </c>
      <c r="N54" t="e">
        <f>IF(tblFLPrep[[#This Row],[Sorting]]="","",SUM($M$1:M146))</f>
        <v>#VALUE!</v>
      </c>
      <c r="O54" t="e">
        <f>_xlfn.IFS(P53="Numbering",1,AND(tblFLPrep[[#This Row],[Counting findings2]]&gt;=1,tblFLPrep[[#This Row],[Counting findings2]]&lt;=600),O53+P53,AND(tblFLPrep[[#This Row],[Counting findings2]]&gt;=601,tblFLPrep[[#This Row],[Counting findings2]]&lt;=1200),IF(AND(N53&lt;=600,N54&gt;=600),(12-O53),0)+O53+P53,AND(tblFLPrep[[#This Row],[Counting findings2]]&gt;=1201,tblFLPrep[[#This Row],[Counting findings2]]&lt;=1800),IF(AND(N53&lt;=1200,N54&gt;=1200),(24-O53),0)+O53+P53,AND(tblFLPrep[[#This Row],[Counting findings2]]&gt;=1801,tblFLPrep[[#This Row],[Counting findings2]]&lt;=2400),IF(AND(N53&lt;=1800,N54&gt;=1800),(36-O53),0)+O53+P53,AND(tblFLPrep[[#This Row],[Counting findings2]]&gt;=2401,tblFLPrep[[#This Row],[Counting findings2]]&lt;=3000),IF(AND(N53&lt;=2400,N54&gt;=2400),(48-O53),0)+O53+P53,AND(tblFLPrep[[#This Row],[Counting findings2]]&gt;=3001,tblFLPrep[[#This Row],[Counting findings2]]&lt;=3600),IF(AND(N53&lt;=3000,N54&gt;=3000),(60-O53),0)+O53+P53)</f>
        <v>#VALUE!</v>
      </c>
      <c r="P54" t="e">
        <f>IF(AND(tblFLPrep[[#This Row],[Sorting]]="A",tblFLPrep[[#This Row],[Row size]]&gt;0),1,"")</f>
        <v>#VALUE!</v>
      </c>
    </row>
    <row r="55" spans="8:16" ht="15" customHeight="1">
      <c r="H55" t="e" cm="1">
        <f t="array" ref="H55">Requirement('Call Flow'!$D$4,tblFLPrep[[#This Row],[Answer]],tblFLPrep[[#This Row],[Fynding Type]])&amp;IF(tblFLPrep[[#This Row],[Add Missing]]="Yes","No","")</f>
        <v>#VALUE!</v>
      </c>
      <c r="I55" t="e">
        <f>_xlfn.IFS(tblFLPrep[[#This Row],[Add Missing]]="Yes","N/A",OR(tblFLPrep[[#This Row],[Follow Up Required]]="YES",tblFLPrep[[#This Row],[Follow Up Required]]="SI"),LocationInfo[Due Date],tblFLPrep[[#This Row],[Follow Up Required]]="NO*","N/A",tblFLPrep[[#This Row],[Follow Up Required]]="NO","N/A",tblFLPrep[[#This Row],[Follow Up Required]]="","")</f>
        <v>#VALUE!</v>
      </c>
      <c r="J55" t="e">
        <f>IF(((tblFLPrep[[#This Row],[Section]]&lt;&gt;"")*((tblFLPrep[[#This Row],[Follow Up Required]]="Yes")+(tblFLPrep[[#This Row],[Follow Up Required]]="No"))),"A","")</f>
        <v>#VALUE!</v>
      </c>
      <c r="L55" t="str">
        <f>IFERROR(IF(AND(COUNTIF($E$1:E55,tblFLPrep[[#This Row],[Section]])=1,E55&lt;&gt;0,D55=""),"Yes",""),"")</f>
        <v/>
      </c>
      <c r="N55" t="e">
        <f>IF(tblFLPrep[[#This Row],[Sorting]]="","",SUM($M$1:M149))</f>
        <v>#VALUE!</v>
      </c>
      <c r="O55" t="e">
        <f>_xlfn.IFS(P54="Numbering",1,AND(tblFLPrep[[#This Row],[Counting findings2]]&gt;=1,tblFLPrep[[#This Row],[Counting findings2]]&lt;=600),O54+P54,AND(tblFLPrep[[#This Row],[Counting findings2]]&gt;=601,tblFLPrep[[#This Row],[Counting findings2]]&lt;=1200),IF(AND(N54&lt;=600,N55&gt;=600),(12-O54),0)+O54+P54,AND(tblFLPrep[[#This Row],[Counting findings2]]&gt;=1201,tblFLPrep[[#This Row],[Counting findings2]]&lt;=1800),IF(AND(N54&lt;=1200,N55&gt;=1200),(24-O54),0)+O54+P54,AND(tblFLPrep[[#This Row],[Counting findings2]]&gt;=1801,tblFLPrep[[#This Row],[Counting findings2]]&lt;=2400),IF(AND(N54&lt;=1800,N55&gt;=1800),(36-O54),0)+O54+P54,AND(tblFLPrep[[#This Row],[Counting findings2]]&gt;=2401,tblFLPrep[[#This Row],[Counting findings2]]&lt;=3000),IF(AND(N54&lt;=2400,N55&gt;=2400),(48-O54),0)+O54+P54,AND(tblFLPrep[[#This Row],[Counting findings2]]&gt;=3001,tblFLPrep[[#This Row],[Counting findings2]]&lt;=3600),IF(AND(N54&lt;=3000,N55&gt;=3000),(60-O54),0)+O54+P54)</f>
        <v>#VALUE!</v>
      </c>
      <c r="P55" t="e">
        <f>IF(AND(tblFLPrep[[#This Row],[Sorting]]="A",tblFLPrep[[#This Row],[Row size]]&gt;0),1,"")</f>
        <v>#VALUE!</v>
      </c>
    </row>
    <row r="56" spans="8:16" ht="15" customHeight="1">
      <c r="H56" t="e" cm="1">
        <f t="array" ref="H56">Requirement('Call Flow'!$D$4,tblFLPrep[[#This Row],[Answer]],tblFLPrep[[#This Row],[Fynding Type]])&amp;IF(tblFLPrep[[#This Row],[Add Missing]]="Yes","No","")</f>
        <v>#VALUE!</v>
      </c>
      <c r="I56" t="e">
        <f>_xlfn.IFS(tblFLPrep[[#This Row],[Add Missing]]="Yes","N/A",OR(tblFLPrep[[#This Row],[Follow Up Required]]="YES",tblFLPrep[[#This Row],[Follow Up Required]]="SI"),LocationInfo[Due Date],tblFLPrep[[#This Row],[Follow Up Required]]="NO*","N/A",tblFLPrep[[#This Row],[Follow Up Required]]="NO","N/A",tblFLPrep[[#This Row],[Follow Up Required]]="","")</f>
        <v>#VALUE!</v>
      </c>
      <c r="J56" t="e">
        <f>IF(((tblFLPrep[[#This Row],[Section]]&lt;&gt;"")*((tblFLPrep[[#This Row],[Follow Up Required]]="Yes")+(tblFLPrep[[#This Row],[Follow Up Required]]="No"))),"A","")</f>
        <v>#VALUE!</v>
      </c>
      <c r="L56" t="str">
        <f>IFERROR(IF(AND(COUNTIF($E$1:E56,tblFLPrep[[#This Row],[Section]])=1,E56&lt;&gt;0,D56=""),"Yes",""),"")</f>
        <v/>
      </c>
      <c r="N56" t="e">
        <f>IF(tblFLPrep[[#This Row],[Sorting]]="","",SUM($M$1:M42))</f>
        <v>#VALUE!</v>
      </c>
      <c r="O56" t="e">
        <f>_xlfn.IFS(P55="Numbering",1,AND(tblFLPrep[[#This Row],[Counting findings2]]&gt;=1,tblFLPrep[[#This Row],[Counting findings2]]&lt;=600),O55+P55,AND(tblFLPrep[[#This Row],[Counting findings2]]&gt;=601,tblFLPrep[[#This Row],[Counting findings2]]&lt;=1200),IF(AND(N55&lt;=600,N56&gt;=600),(12-O55),0)+O55+P55,AND(tblFLPrep[[#This Row],[Counting findings2]]&gt;=1201,tblFLPrep[[#This Row],[Counting findings2]]&lt;=1800),IF(AND(N55&lt;=1200,N56&gt;=1200),(24-O55),0)+O55+P55,AND(tblFLPrep[[#This Row],[Counting findings2]]&gt;=1801,tblFLPrep[[#This Row],[Counting findings2]]&lt;=2400),IF(AND(N55&lt;=1800,N56&gt;=1800),(36-O55),0)+O55+P55,AND(tblFLPrep[[#This Row],[Counting findings2]]&gt;=2401,tblFLPrep[[#This Row],[Counting findings2]]&lt;=3000),IF(AND(N55&lt;=2400,N56&gt;=2400),(48-O55),0)+O55+P55,AND(tblFLPrep[[#This Row],[Counting findings2]]&gt;=3001,tblFLPrep[[#This Row],[Counting findings2]]&lt;=3600),IF(AND(N55&lt;=3000,N56&gt;=3000),(60-O55),0)+O55+P55)</f>
        <v>#VALUE!</v>
      </c>
      <c r="P56" t="e">
        <f>IF(AND(tblFLPrep[[#This Row],[Sorting]]="A",tblFLPrep[[#This Row],[Row size]]&gt;0),1,"")</f>
        <v>#VALUE!</v>
      </c>
    </row>
    <row r="57" spans="8:16" ht="15" customHeight="1">
      <c r="H57" t="e" cm="1">
        <f t="array" ref="H57">Requirement('Call Flow'!$D$4,tblFLPrep[[#This Row],[Answer]],tblFLPrep[[#This Row],[Fynding Type]])&amp;IF(tblFLPrep[[#This Row],[Add Missing]]="Yes","No","")</f>
        <v>#VALUE!</v>
      </c>
      <c r="I57" t="e">
        <f>_xlfn.IFS(tblFLPrep[[#This Row],[Add Missing]]="Yes","N/A",OR(tblFLPrep[[#This Row],[Follow Up Required]]="YES",tblFLPrep[[#This Row],[Follow Up Required]]="SI"),LocationInfo[Due Date],tblFLPrep[[#This Row],[Follow Up Required]]="NO*","N/A",tblFLPrep[[#This Row],[Follow Up Required]]="NO","N/A",tblFLPrep[[#This Row],[Follow Up Required]]="","")</f>
        <v>#VALUE!</v>
      </c>
      <c r="J57" t="e">
        <f>IF(((tblFLPrep[[#This Row],[Section]]&lt;&gt;"")*((tblFLPrep[[#This Row],[Follow Up Required]]="Yes")+(tblFLPrep[[#This Row],[Follow Up Required]]="No"))),"A","")</f>
        <v>#VALUE!</v>
      </c>
      <c r="L57" t="str">
        <f>IFERROR(IF(AND(COUNTIF($E$1:E57,tblFLPrep[[#This Row],[Section]])=1,E57&lt;&gt;0,D57=""),"Yes",""),"")</f>
        <v/>
      </c>
      <c r="N57" t="e">
        <f>IF(tblFLPrep[[#This Row],[Sorting]]="","",SUM($M$1:M57))</f>
        <v>#VALUE!</v>
      </c>
      <c r="O57" t="e">
        <f>_xlfn.IFS(P56="Numbering",1,AND(tblFLPrep[[#This Row],[Counting findings2]]&gt;=1,tblFLPrep[[#This Row],[Counting findings2]]&lt;=600),O56+P56,AND(tblFLPrep[[#This Row],[Counting findings2]]&gt;=601,tblFLPrep[[#This Row],[Counting findings2]]&lt;=1200),IF(AND(N56&lt;=600,N57&gt;=600),(12-O56),0)+O56+P56,AND(tblFLPrep[[#This Row],[Counting findings2]]&gt;=1201,tblFLPrep[[#This Row],[Counting findings2]]&lt;=1800),IF(AND(N56&lt;=1200,N57&gt;=1200),(24-O56),0)+O56+P56,AND(tblFLPrep[[#This Row],[Counting findings2]]&gt;=1801,tblFLPrep[[#This Row],[Counting findings2]]&lt;=2400),IF(AND(N56&lt;=1800,N57&gt;=1800),(36-O56),0)+O56+P56,AND(tblFLPrep[[#This Row],[Counting findings2]]&gt;=2401,tblFLPrep[[#This Row],[Counting findings2]]&lt;=3000),IF(AND(N56&lt;=2400,N57&gt;=2400),(48-O56),0)+O56+P56,AND(tblFLPrep[[#This Row],[Counting findings2]]&gt;=3001,tblFLPrep[[#This Row],[Counting findings2]]&lt;=3600),IF(AND(N56&lt;=3000,N57&gt;=3000),(60-O56),0)+O56+P56)</f>
        <v>#VALUE!</v>
      </c>
      <c r="P57" t="e">
        <f>IF(AND(tblFLPrep[[#This Row],[Sorting]]="A",tblFLPrep[[#This Row],[Row size]]&gt;0),1,"")</f>
        <v>#VALUE!</v>
      </c>
    </row>
    <row r="58" spans="8:16" ht="15" customHeight="1">
      <c r="H58" t="e" cm="1">
        <f t="array" ref="H58">Requirement('Call Flow'!$D$4,tblFLPrep[[#This Row],[Answer]],tblFLPrep[[#This Row],[Fynding Type]])&amp;IF(tblFLPrep[[#This Row],[Add Missing]]="Yes","No","")</f>
        <v>#VALUE!</v>
      </c>
      <c r="I58" t="e">
        <f>_xlfn.IFS(tblFLPrep[[#This Row],[Add Missing]]="Yes","N/A",OR(tblFLPrep[[#This Row],[Follow Up Required]]="YES",tblFLPrep[[#This Row],[Follow Up Required]]="SI"),LocationInfo[Due Date],tblFLPrep[[#This Row],[Follow Up Required]]="NO*","N/A",tblFLPrep[[#This Row],[Follow Up Required]]="NO","N/A",tblFLPrep[[#This Row],[Follow Up Required]]="","")</f>
        <v>#VALUE!</v>
      </c>
      <c r="J58" t="e">
        <f>IF(((tblFLPrep[[#This Row],[Section]]&lt;&gt;"")*((tblFLPrep[[#This Row],[Follow Up Required]]="Yes")+(tblFLPrep[[#This Row],[Follow Up Required]]="No"))),"A","")</f>
        <v>#VALUE!</v>
      </c>
      <c r="L58" t="str">
        <f>IFERROR(IF(AND(COUNTIF($E$1:E58,tblFLPrep[[#This Row],[Section]])=1,E58&lt;&gt;0,D58=""),"Yes",""),"")</f>
        <v/>
      </c>
      <c r="N58" t="e">
        <f>IF(tblFLPrep[[#This Row],[Sorting]]="","",SUM($M$1:M58))</f>
        <v>#VALUE!</v>
      </c>
      <c r="O58" t="e">
        <f>_xlfn.IFS(P57="Numbering",1,AND(tblFLPrep[[#This Row],[Counting findings2]]&gt;=1,tblFLPrep[[#This Row],[Counting findings2]]&lt;=600),O57+P57,AND(tblFLPrep[[#This Row],[Counting findings2]]&gt;=601,tblFLPrep[[#This Row],[Counting findings2]]&lt;=1200),IF(AND(N57&lt;=600,N58&gt;=600),(12-O57),0)+O57+P57,AND(tblFLPrep[[#This Row],[Counting findings2]]&gt;=1201,tblFLPrep[[#This Row],[Counting findings2]]&lt;=1800),IF(AND(N57&lt;=1200,N58&gt;=1200),(24-O57),0)+O57+P57,AND(tblFLPrep[[#This Row],[Counting findings2]]&gt;=1801,tblFLPrep[[#This Row],[Counting findings2]]&lt;=2400),IF(AND(N57&lt;=1800,N58&gt;=1800),(36-O57),0)+O57+P57,AND(tblFLPrep[[#This Row],[Counting findings2]]&gt;=2401,tblFLPrep[[#This Row],[Counting findings2]]&lt;=3000),IF(AND(N57&lt;=2400,N58&gt;=2400),(48-O57),0)+O57+P57,AND(tblFLPrep[[#This Row],[Counting findings2]]&gt;=3001,tblFLPrep[[#This Row],[Counting findings2]]&lt;=3600),IF(AND(N57&lt;=3000,N58&gt;=3000),(60-O57),0)+O57+P57)</f>
        <v>#VALUE!</v>
      </c>
      <c r="P58" t="e">
        <f>IF(AND(tblFLPrep[[#This Row],[Sorting]]="A",tblFLPrep[[#This Row],[Row size]]&gt;0),1,"")</f>
        <v>#VALUE!</v>
      </c>
    </row>
    <row r="59" spans="8:16" ht="15" customHeight="1">
      <c r="H59" t="e" cm="1">
        <f t="array" ref="H59">Requirement('Call Flow'!$D$4,tblFLPrep[[#This Row],[Answer]],tblFLPrep[[#This Row],[Fynding Type]])&amp;IF(tblFLPrep[[#This Row],[Add Missing]]="Yes","No","")</f>
        <v>#VALUE!</v>
      </c>
      <c r="I59" t="e">
        <f>_xlfn.IFS(tblFLPrep[[#This Row],[Add Missing]]="Yes","N/A",OR(tblFLPrep[[#This Row],[Follow Up Required]]="YES",tblFLPrep[[#This Row],[Follow Up Required]]="SI"),LocationInfo[Due Date],tblFLPrep[[#This Row],[Follow Up Required]]="NO*","N/A",tblFLPrep[[#This Row],[Follow Up Required]]="NO","N/A",tblFLPrep[[#This Row],[Follow Up Required]]="","")</f>
        <v>#VALUE!</v>
      </c>
      <c r="J59" t="e">
        <f>IF(((tblFLPrep[[#This Row],[Section]]&lt;&gt;"")*((tblFLPrep[[#This Row],[Follow Up Required]]="Yes")+(tblFLPrep[[#This Row],[Follow Up Required]]="No"))),"A","")</f>
        <v>#VALUE!</v>
      </c>
      <c r="L59" t="str">
        <f>IFERROR(IF(AND(COUNTIF($E$1:E59,tblFLPrep[[#This Row],[Section]])=1,E59&lt;&gt;0,D59=""),"Yes",""),"")</f>
        <v/>
      </c>
      <c r="N59" t="e">
        <f>IF(tblFLPrep[[#This Row],[Sorting]]="","",SUM($M$1:M59))</f>
        <v>#VALUE!</v>
      </c>
      <c r="O59" t="e">
        <f>_xlfn.IFS(P58="Numbering",1,AND(tblFLPrep[[#This Row],[Counting findings2]]&gt;=1,tblFLPrep[[#This Row],[Counting findings2]]&lt;=600),O58+P58,AND(tblFLPrep[[#This Row],[Counting findings2]]&gt;=601,tblFLPrep[[#This Row],[Counting findings2]]&lt;=1200),IF(AND(N58&lt;=600,N59&gt;=600),(12-O58),0)+O58+P58,AND(tblFLPrep[[#This Row],[Counting findings2]]&gt;=1201,tblFLPrep[[#This Row],[Counting findings2]]&lt;=1800),IF(AND(N58&lt;=1200,N59&gt;=1200),(24-O58),0)+O58+P58,AND(tblFLPrep[[#This Row],[Counting findings2]]&gt;=1801,tblFLPrep[[#This Row],[Counting findings2]]&lt;=2400),IF(AND(N58&lt;=1800,N59&gt;=1800),(36-O58),0)+O58+P58,AND(tblFLPrep[[#This Row],[Counting findings2]]&gt;=2401,tblFLPrep[[#This Row],[Counting findings2]]&lt;=3000),IF(AND(N58&lt;=2400,N59&gt;=2400),(48-O58),0)+O58+P58,AND(tblFLPrep[[#This Row],[Counting findings2]]&gt;=3001,tblFLPrep[[#This Row],[Counting findings2]]&lt;=3600),IF(AND(N58&lt;=3000,N59&gt;=3000),(60-O58),0)+O58+P58)</f>
        <v>#VALUE!</v>
      </c>
      <c r="P59" t="e">
        <f>IF(AND(tblFLPrep[[#This Row],[Sorting]]="A",tblFLPrep[[#This Row],[Row size]]&gt;0),1,"")</f>
        <v>#VALUE!</v>
      </c>
    </row>
    <row r="60" spans="8:16" ht="15" customHeight="1">
      <c r="H60" t="e" cm="1">
        <f t="array" ref="H60">Requirement('Call Flow'!$D$4,tblFLPrep[[#This Row],[Answer]],tblFLPrep[[#This Row],[Fynding Type]])&amp;IF(tblFLPrep[[#This Row],[Add Missing]]="Yes","No","")</f>
        <v>#VALUE!</v>
      </c>
      <c r="I60" t="e">
        <f>_xlfn.IFS(tblFLPrep[[#This Row],[Add Missing]]="Yes","N/A",OR(tblFLPrep[[#This Row],[Follow Up Required]]="YES",tblFLPrep[[#This Row],[Follow Up Required]]="SI"),LocationInfo[Due Date],tblFLPrep[[#This Row],[Follow Up Required]]="NO*","N/A",tblFLPrep[[#This Row],[Follow Up Required]]="NO","N/A",tblFLPrep[[#This Row],[Follow Up Required]]="","")</f>
        <v>#VALUE!</v>
      </c>
      <c r="J60" t="e">
        <f>IF(((tblFLPrep[[#This Row],[Section]]&lt;&gt;"")*((tblFLPrep[[#This Row],[Follow Up Required]]="Yes")+(tblFLPrep[[#This Row],[Follow Up Required]]="No"))),"A","")</f>
        <v>#VALUE!</v>
      </c>
      <c r="L60" t="str">
        <f>IFERROR(IF(AND(COUNTIF($E$1:E60,tblFLPrep[[#This Row],[Section]])=1,E60&lt;&gt;0,D60=""),"Yes",""),"")</f>
        <v/>
      </c>
      <c r="N60" t="e">
        <f>IF(tblFLPrep[[#This Row],[Sorting]]="","",SUM($M$1:M60))</f>
        <v>#VALUE!</v>
      </c>
      <c r="O60" t="e">
        <f>_xlfn.IFS(P59="Numbering",1,AND(tblFLPrep[[#This Row],[Counting findings2]]&gt;=1,tblFLPrep[[#This Row],[Counting findings2]]&lt;=600),O59+P59,AND(tblFLPrep[[#This Row],[Counting findings2]]&gt;=601,tblFLPrep[[#This Row],[Counting findings2]]&lt;=1200),IF(AND(N59&lt;=600,N60&gt;=600),(12-O59),0)+O59+P59,AND(tblFLPrep[[#This Row],[Counting findings2]]&gt;=1201,tblFLPrep[[#This Row],[Counting findings2]]&lt;=1800),IF(AND(N59&lt;=1200,N60&gt;=1200),(24-O59),0)+O59+P59,AND(tblFLPrep[[#This Row],[Counting findings2]]&gt;=1801,tblFLPrep[[#This Row],[Counting findings2]]&lt;=2400),IF(AND(N59&lt;=1800,N60&gt;=1800),(36-O59),0)+O59+P59,AND(tblFLPrep[[#This Row],[Counting findings2]]&gt;=2401,tblFLPrep[[#This Row],[Counting findings2]]&lt;=3000),IF(AND(N59&lt;=2400,N60&gt;=2400),(48-O59),0)+O59+P59,AND(tblFLPrep[[#This Row],[Counting findings2]]&gt;=3001,tblFLPrep[[#This Row],[Counting findings2]]&lt;=3600),IF(AND(N59&lt;=3000,N60&gt;=3000),(60-O59),0)+O59+P59)</f>
        <v>#VALUE!</v>
      </c>
      <c r="P60" t="e">
        <f>IF(AND(tblFLPrep[[#This Row],[Sorting]]="A",tblFLPrep[[#This Row],[Row size]]&gt;0),1,"")</f>
        <v>#VALUE!</v>
      </c>
    </row>
    <row r="61" spans="8:16" ht="15" customHeight="1">
      <c r="H61" t="e" cm="1">
        <f t="array" ref="H61">Requirement('Call Flow'!$D$4,tblFLPrep[[#This Row],[Answer]],tblFLPrep[[#This Row],[Fynding Type]])&amp;IF(tblFLPrep[[#This Row],[Add Missing]]="Yes","No","")</f>
        <v>#VALUE!</v>
      </c>
      <c r="I61" t="e">
        <f>_xlfn.IFS(tblFLPrep[[#This Row],[Add Missing]]="Yes","N/A",OR(tblFLPrep[[#This Row],[Follow Up Required]]="YES",tblFLPrep[[#This Row],[Follow Up Required]]="SI"),LocationInfo[Due Date],tblFLPrep[[#This Row],[Follow Up Required]]="NO*","N/A",tblFLPrep[[#This Row],[Follow Up Required]]="NO","N/A",tblFLPrep[[#This Row],[Follow Up Required]]="","")</f>
        <v>#VALUE!</v>
      </c>
      <c r="J61" t="e">
        <f>IF(((tblFLPrep[[#This Row],[Section]]&lt;&gt;"")*((tblFLPrep[[#This Row],[Follow Up Required]]="Yes")+(tblFLPrep[[#This Row],[Follow Up Required]]="No"))),"A","")</f>
        <v>#VALUE!</v>
      </c>
      <c r="L61" t="str">
        <f>IFERROR(IF(AND(COUNTIF($E$1:E61,tblFLPrep[[#This Row],[Section]])=1,E61&lt;&gt;0,D61=""),"Yes",""),"")</f>
        <v/>
      </c>
      <c r="N61" t="e">
        <f>IF(tblFLPrep[[#This Row],[Sorting]]="","",SUM($M$1:M61))</f>
        <v>#VALUE!</v>
      </c>
      <c r="O61" t="e">
        <f>_xlfn.IFS(P60="Numbering",1,AND(tblFLPrep[[#This Row],[Counting findings2]]&gt;=1,tblFLPrep[[#This Row],[Counting findings2]]&lt;=600),O60+P60,AND(tblFLPrep[[#This Row],[Counting findings2]]&gt;=601,tblFLPrep[[#This Row],[Counting findings2]]&lt;=1200),IF(AND(N60&lt;=600,N61&gt;=600),(12-O60),0)+O60+P60,AND(tblFLPrep[[#This Row],[Counting findings2]]&gt;=1201,tblFLPrep[[#This Row],[Counting findings2]]&lt;=1800),IF(AND(N60&lt;=1200,N61&gt;=1200),(24-O60),0)+O60+P60,AND(tblFLPrep[[#This Row],[Counting findings2]]&gt;=1801,tblFLPrep[[#This Row],[Counting findings2]]&lt;=2400),IF(AND(N60&lt;=1800,N61&gt;=1800),(36-O60),0)+O60+P60,AND(tblFLPrep[[#This Row],[Counting findings2]]&gt;=2401,tblFLPrep[[#This Row],[Counting findings2]]&lt;=3000),IF(AND(N60&lt;=2400,N61&gt;=2400),(48-O60),0)+O60+P60,AND(tblFLPrep[[#This Row],[Counting findings2]]&gt;=3001,tblFLPrep[[#This Row],[Counting findings2]]&lt;=3600),IF(AND(N60&lt;=3000,N61&gt;=3000),(60-O60),0)+O60+P60)</f>
        <v>#VALUE!</v>
      </c>
      <c r="P61" t="e">
        <f>IF(AND(tblFLPrep[[#This Row],[Sorting]]="A",tblFLPrep[[#This Row],[Row size]]&gt;0),1,"")</f>
        <v>#VALUE!</v>
      </c>
    </row>
    <row r="62" spans="8:16" ht="15" customHeight="1">
      <c r="H62" t="e" cm="1">
        <f t="array" ref="H62">Requirement('Call Flow'!$D$4,tblFLPrep[[#This Row],[Answer]],tblFLPrep[[#This Row],[Fynding Type]])&amp;IF(tblFLPrep[[#This Row],[Add Missing]]="Yes","No","")</f>
        <v>#VALUE!</v>
      </c>
      <c r="I62" t="e">
        <f>_xlfn.IFS(tblFLPrep[[#This Row],[Add Missing]]="Yes","N/A",OR(tblFLPrep[[#This Row],[Follow Up Required]]="YES",tblFLPrep[[#This Row],[Follow Up Required]]="SI"),LocationInfo[Due Date],tblFLPrep[[#This Row],[Follow Up Required]]="NO*","N/A",tblFLPrep[[#This Row],[Follow Up Required]]="NO","N/A",tblFLPrep[[#This Row],[Follow Up Required]]="","")</f>
        <v>#VALUE!</v>
      </c>
      <c r="J62" t="e">
        <f>IF(((tblFLPrep[[#This Row],[Section]]&lt;&gt;"")*((tblFLPrep[[#This Row],[Follow Up Required]]="Yes")+(tblFLPrep[[#This Row],[Follow Up Required]]="No"))),"A","")</f>
        <v>#VALUE!</v>
      </c>
      <c r="L62" t="str">
        <f>IFERROR(IF(AND(COUNTIF($E$1:E62,tblFLPrep[[#This Row],[Section]])=1,E62&lt;&gt;0,D62=""),"Yes",""),"")</f>
        <v/>
      </c>
      <c r="N62" t="e">
        <f>IF(tblFLPrep[[#This Row],[Sorting]]="","",SUM($M$1:M154))</f>
        <v>#VALUE!</v>
      </c>
      <c r="O62" t="e">
        <f>_xlfn.IFS(P61="Numbering",1,AND(tblFLPrep[[#This Row],[Counting findings2]]&gt;=1,tblFLPrep[[#This Row],[Counting findings2]]&lt;=600),O61+P61,AND(tblFLPrep[[#This Row],[Counting findings2]]&gt;=601,tblFLPrep[[#This Row],[Counting findings2]]&lt;=1200),IF(AND(N61&lt;=600,N62&gt;=600),(12-O61),0)+O61+P61,AND(tblFLPrep[[#This Row],[Counting findings2]]&gt;=1201,tblFLPrep[[#This Row],[Counting findings2]]&lt;=1800),IF(AND(N61&lt;=1200,N62&gt;=1200),(24-O61),0)+O61+P61,AND(tblFLPrep[[#This Row],[Counting findings2]]&gt;=1801,tblFLPrep[[#This Row],[Counting findings2]]&lt;=2400),IF(AND(N61&lt;=1800,N62&gt;=1800),(36-O61),0)+O61+P61,AND(tblFLPrep[[#This Row],[Counting findings2]]&gt;=2401,tblFLPrep[[#This Row],[Counting findings2]]&lt;=3000),IF(AND(N61&lt;=2400,N62&gt;=2400),(48-O61),0)+O61+P61,AND(tblFLPrep[[#This Row],[Counting findings2]]&gt;=3001,tblFLPrep[[#This Row],[Counting findings2]]&lt;=3600),IF(AND(N61&lt;=3000,N62&gt;=3000),(60-O61),0)+O61+P61)</f>
        <v>#VALUE!</v>
      </c>
      <c r="P62" t="e">
        <f>IF(AND(tblFLPrep[[#This Row],[Sorting]]="A",tblFLPrep[[#This Row],[Row size]]&gt;0),1,"")</f>
        <v>#VALUE!</v>
      </c>
    </row>
    <row r="63" spans="8:16" ht="15" customHeight="1">
      <c r="H63" t="e" cm="1">
        <f t="array" ref="H63">Requirement('Call Flow'!$D$4,tblFLPrep[[#This Row],[Answer]],tblFLPrep[[#This Row],[Fynding Type]])&amp;IF(tblFLPrep[[#This Row],[Add Missing]]="Yes","No","")</f>
        <v>#VALUE!</v>
      </c>
      <c r="I63" t="e">
        <f>_xlfn.IFS(tblFLPrep[[#This Row],[Add Missing]]="Yes","N/A",OR(tblFLPrep[[#This Row],[Follow Up Required]]="YES",tblFLPrep[[#This Row],[Follow Up Required]]="SI"),LocationInfo[Due Date],tblFLPrep[[#This Row],[Follow Up Required]]="NO*","N/A",tblFLPrep[[#This Row],[Follow Up Required]]="NO","N/A",tblFLPrep[[#This Row],[Follow Up Required]]="","")</f>
        <v>#VALUE!</v>
      </c>
      <c r="J63" t="e">
        <f>IF(((tblFLPrep[[#This Row],[Section]]&lt;&gt;"")*((tblFLPrep[[#This Row],[Follow Up Required]]="Yes")+(tblFLPrep[[#This Row],[Follow Up Required]]="No"))),"A","")</f>
        <v>#VALUE!</v>
      </c>
      <c r="L63" t="str">
        <f>IFERROR(IF(AND(COUNTIF($E$1:E63,tblFLPrep[[#This Row],[Section]])=1,E63&lt;&gt;0,D63=""),"Yes",""),"")</f>
        <v/>
      </c>
      <c r="N63" t="e">
        <f>IF(tblFLPrep[[#This Row],[Sorting]]="","",SUM($M$1:M63))</f>
        <v>#VALUE!</v>
      </c>
      <c r="O63" t="e">
        <f>_xlfn.IFS(P62="Numbering",1,AND(tblFLPrep[[#This Row],[Counting findings2]]&gt;=1,tblFLPrep[[#This Row],[Counting findings2]]&lt;=600),O62+P62,AND(tblFLPrep[[#This Row],[Counting findings2]]&gt;=601,tblFLPrep[[#This Row],[Counting findings2]]&lt;=1200),IF(AND(N62&lt;=600,N63&gt;=600),(12-O62),0)+O62+P62,AND(tblFLPrep[[#This Row],[Counting findings2]]&gt;=1201,tblFLPrep[[#This Row],[Counting findings2]]&lt;=1800),IF(AND(N62&lt;=1200,N63&gt;=1200),(24-O62),0)+O62+P62,AND(tblFLPrep[[#This Row],[Counting findings2]]&gt;=1801,tblFLPrep[[#This Row],[Counting findings2]]&lt;=2400),IF(AND(N62&lt;=1800,N63&gt;=1800),(36-O62),0)+O62+P62,AND(tblFLPrep[[#This Row],[Counting findings2]]&gt;=2401,tblFLPrep[[#This Row],[Counting findings2]]&lt;=3000),IF(AND(N62&lt;=2400,N63&gt;=2400),(48-O62),0)+O62+P62,AND(tblFLPrep[[#This Row],[Counting findings2]]&gt;=3001,tblFLPrep[[#This Row],[Counting findings2]]&lt;=3600),IF(AND(N62&lt;=3000,N63&gt;=3000),(60-O62),0)+O62+P62)</f>
        <v>#VALUE!</v>
      </c>
      <c r="P63" t="e">
        <f>IF(AND(tblFLPrep[[#This Row],[Sorting]]="A",tblFLPrep[[#This Row],[Row size]]&gt;0),1,"")</f>
        <v>#VALUE!</v>
      </c>
    </row>
    <row r="64" spans="8:16" ht="15" customHeight="1">
      <c r="H64" t="e" cm="1">
        <f t="array" ref="H64">Requirement('Call Flow'!$D$4,tblFLPrep[[#This Row],[Answer]],tblFLPrep[[#This Row],[Fynding Type]])&amp;IF(tblFLPrep[[#This Row],[Add Missing]]="Yes","No","")</f>
        <v>#VALUE!</v>
      </c>
      <c r="I64" t="e">
        <f>_xlfn.IFS(tblFLPrep[[#This Row],[Add Missing]]="Yes","N/A",OR(tblFLPrep[[#This Row],[Follow Up Required]]="YES",tblFLPrep[[#This Row],[Follow Up Required]]="SI"),LocationInfo[Due Date],tblFLPrep[[#This Row],[Follow Up Required]]="NO*","N/A",tblFLPrep[[#This Row],[Follow Up Required]]="NO","N/A",tblFLPrep[[#This Row],[Follow Up Required]]="","")</f>
        <v>#VALUE!</v>
      </c>
      <c r="J64" t="e">
        <f>IF(((tblFLPrep[[#This Row],[Section]]&lt;&gt;"")*((tblFLPrep[[#This Row],[Follow Up Required]]="Yes")+(tblFLPrep[[#This Row],[Follow Up Required]]="No"))),"A","")</f>
        <v>#VALUE!</v>
      </c>
      <c r="L64" t="str">
        <f>IFERROR(IF(AND(COUNTIF($E$1:E64,tblFLPrep[[#This Row],[Section]])=1,E64&lt;&gt;0,D64=""),"Yes",""),"")</f>
        <v/>
      </c>
      <c r="N64" t="e">
        <f>IF(tblFLPrep[[#This Row],[Sorting]]="","",SUM($M$1:M64))</f>
        <v>#VALUE!</v>
      </c>
      <c r="O64" t="e">
        <f>_xlfn.IFS(P63="Numbering",1,AND(tblFLPrep[[#This Row],[Counting findings2]]&gt;=1,tblFLPrep[[#This Row],[Counting findings2]]&lt;=600),O63+P63,AND(tblFLPrep[[#This Row],[Counting findings2]]&gt;=601,tblFLPrep[[#This Row],[Counting findings2]]&lt;=1200),IF(AND(N63&lt;=600,N64&gt;=600),(12-O63),0)+O63+P63,AND(tblFLPrep[[#This Row],[Counting findings2]]&gt;=1201,tblFLPrep[[#This Row],[Counting findings2]]&lt;=1800),IF(AND(N63&lt;=1200,N64&gt;=1200),(24-O63),0)+O63+P63,AND(tblFLPrep[[#This Row],[Counting findings2]]&gt;=1801,tblFLPrep[[#This Row],[Counting findings2]]&lt;=2400),IF(AND(N63&lt;=1800,N64&gt;=1800),(36-O63),0)+O63+P63,AND(tblFLPrep[[#This Row],[Counting findings2]]&gt;=2401,tblFLPrep[[#This Row],[Counting findings2]]&lt;=3000),IF(AND(N63&lt;=2400,N64&gt;=2400),(48-O63),0)+O63+P63,AND(tblFLPrep[[#This Row],[Counting findings2]]&gt;=3001,tblFLPrep[[#This Row],[Counting findings2]]&lt;=3600),IF(AND(N63&lt;=3000,N64&gt;=3000),(60-O63),0)+O63+P63)</f>
        <v>#VALUE!</v>
      </c>
      <c r="P64" t="e">
        <f>IF(AND(tblFLPrep[[#This Row],[Sorting]]="A",tblFLPrep[[#This Row],[Row size]]&gt;0),1,"")</f>
        <v>#VALUE!</v>
      </c>
    </row>
    <row r="65" spans="8:16" ht="15" customHeight="1">
      <c r="H65" t="e" cm="1">
        <f t="array" ref="H65">Requirement('Call Flow'!$D$4,tblFLPrep[[#This Row],[Answer]],tblFLPrep[[#This Row],[Fynding Type]])&amp;IF(tblFLPrep[[#This Row],[Add Missing]]="Yes","No","")</f>
        <v>#VALUE!</v>
      </c>
      <c r="I65" t="e">
        <f>_xlfn.IFS(tblFLPrep[[#This Row],[Add Missing]]="Yes","N/A",OR(tblFLPrep[[#This Row],[Follow Up Required]]="YES",tblFLPrep[[#This Row],[Follow Up Required]]="SI"),LocationInfo[Due Date],tblFLPrep[[#This Row],[Follow Up Required]]="NO*","N/A",tblFLPrep[[#This Row],[Follow Up Required]]="NO","N/A",tblFLPrep[[#This Row],[Follow Up Required]]="","")</f>
        <v>#VALUE!</v>
      </c>
      <c r="J65" t="e">
        <f>IF(((tblFLPrep[[#This Row],[Section]]&lt;&gt;"")*((tblFLPrep[[#This Row],[Follow Up Required]]="Yes")+(tblFLPrep[[#This Row],[Follow Up Required]]="No"))),"A","")</f>
        <v>#VALUE!</v>
      </c>
      <c r="L65" t="str">
        <f>IFERROR(IF(AND(COUNTIF($E$1:E65,tblFLPrep[[#This Row],[Section]])=1,E65&lt;&gt;0,D65=""),"Yes",""),"")</f>
        <v/>
      </c>
      <c r="N65" t="e">
        <f>IF(tblFLPrep[[#This Row],[Sorting]]="","",SUM($M$1:M65))</f>
        <v>#VALUE!</v>
      </c>
      <c r="O65" t="e">
        <f>_xlfn.IFS(P64="Numbering",1,AND(tblFLPrep[[#This Row],[Counting findings2]]&gt;=1,tblFLPrep[[#This Row],[Counting findings2]]&lt;=600),O64+P64,AND(tblFLPrep[[#This Row],[Counting findings2]]&gt;=601,tblFLPrep[[#This Row],[Counting findings2]]&lt;=1200),IF(AND(N64&lt;=600,N65&gt;=600),(12-O64),0)+O64+P64,AND(tblFLPrep[[#This Row],[Counting findings2]]&gt;=1201,tblFLPrep[[#This Row],[Counting findings2]]&lt;=1800),IF(AND(N64&lt;=1200,N65&gt;=1200),(24-O64),0)+O64+P64,AND(tblFLPrep[[#This Row],[Counting findings2]]&gt;=1801,tblFLPrep[[#This Row],[Counting findings2]]&lt;=2400),IF(AND(N64&lt;=1800,N65&gt;=1800),(36-O64),0)+O64+P64,AND(tblFLPrep[[#This Row],[Counting findings2]]&gt;=2401,tblFLPrep[[#This Row],[Counting findings2]]&lt;=3000),IF(AND(N64&lt;=2400,N65&gt;=2400),(48-O64),0)+O64+P64,AND(tblFLPrep[[#This Row],[Counting findings2]]&gt;=3001,tblFLPrep[[#This Row],[Counting findings2]]&lt;=3600),IF(AND(N64&lt;=3000,N65&gt;=3000),(60-O64),0)+O64+P64)</f>
        <v>#VALUE!</v>
      </c>
      <c r="P65" t="e">
        <f>IF(AND(tblFLPrep[[#This Row],[Sorting]]="A",tblFLPrep[[#This Row],[Row size]]&gt;0),1,"")</f>
        <v>#VALUE!</v>
      </c>
    </row>
    <row r="66" spans="8:16" ht="15" customHeight="1">
      <c r="H66" t="e" cm="1">
        <f t="array" ref="H66">Requirement('Call Flow'!$D$4,tblFLPrep[[#This Row],[Answer]],tblFLPrep[[#This Row],[Fynding Type]])&amp;IF(tblFLPrep[[#This Row],[Add Missing]]="Yes","No","")</f>
        <v>#VALUE!</v>
      </c>
      <c r="I66" t="e">
        <f>_xlfn.IFS(tblFLPrep[[#This Row],[Add Missing]]="Yes","N/A",OR(tblFLPrep[[#This Row],[Follow Up Required]]="YES",tblFLPrep[[#This Row],[Follow Up Required]]="SI"),LocationInfo[Due Date],tblFLPrep[[#This Row],[Follow Up Required]]="NO*","N/A",tblFLPrep[[#This Row],[Follow Up Required]]="NO","N/A",tblFLPrep[[#This Row],[Follow Up Required]]="","")</f>
        <v>#VALUE!</v>
      </c>
      <c r="J66" t="e">
        <f>IF(((tblFLPrep[[#This Row],[Section]]&lt;&gt;"")*((tblFLPrep[[#This Row],[Follow Up Required]]="Yes")+(tblFLPrep[[#This Row],[Follow Up Required]]="No"))),"A","")</f>
        <v>#VALUE!</v>
      </c>
      <c r="L66" t="str">
        <f>IFERROR(IF(AND(COUNTIF($E$1:E66,tblFLPrep[[#This Row],[Section]])=1,E66&lt;&gt;0,D66=""),"Yes",""),"")</f>
        <v/>
      </c>
      <c r="N66" t="e">
        <f>IF(tblFLPrep[[#This Row],[Sorting]]="","",SUM($M$1:M66))</f>
        <v>#VALUE!</v>
      </c>
      <c r="O66" t="e">
        <f>_xlfn.IFS(P65="Numbering",1,AND(tblFLPrep[[#This Row],[Counting findings2]]&gt;=1,tblFLPrep[[#This Row],[Counting findings2]]&lt;=600),O65+P65,AND(tblFLPrep[[#This Row],[Counting findings2]]&gt;=601,tblFLPrep[[#This Row],[Counting findings2]]&lt;=1200),IF(AND(N65&lt;=600,N66&gt;=600),(12-O65),0)+O65+P65,AND(tblFLPrep[[#This Row],[Counting findings2]]&gt;=1201,tblFLPrep[[#This Row],[Counting findings2]]&lt;=1800),IF(AND(N65&lt;=1200,N66&gt;=1200),(24-O65),0)+O65+P65,AND(tblFLPrep[[#This Row],[Counting findings2]]&gt;=1801,tblFLPrep[[#This Row],[Counting findings2]]&lt;=2400),IF(AND(N65&lt;=1800,N66&gt;=1800),(36-O65),0)+O65+P65,AND(tblFLPrep[[#This Row],[Counting findings2]]&gt;=2401,tblFLPrep[[#This Row],[Counting findings2]]&lt;=3000),IF(AND(N65&lt;=2400,N66&gt;=2400),(48-O65),0)+O65+P65,AND(tblFLPrep[[#This Row],[Counting findings2]]&gt;=3001,tblFLPrep[[#This Row],[Counting findings2]]&lt;=3600),IF(AND(N65&lt;=3000,N66&gt;=3000),(60-O65),0)+O65+P65)</f>
        <v>#VALUE!</v>
      </c>
      <c r="P66" t="e">
        <f>IF(AND(tblFLPrep[[#This Row],[Sorting]]="A",tblFLPrep[[#This Row],[Row size]]&gt;0),1,"")</f>
        <v>#VALUE!</v>
      </c>
    </row>
    <row r="67" spans="8:16" ht="15" customHeight="1">
      <c r="H67" t="e" cm="1">
        <f t="array" ref="H67">Requirement('Call Flow'!$D$4,tblFLPrep[[#This Row],[Answer]],tblFLPrep[[#This Row],[Fynding Type]])&amp;IF(tblFLPrep[[#This Row],[Add Missing]]="Yes","No","")</f>
        <v>#VALUE!</v>
      </c>
      <c r="I67" t="e">
        <f>_xlfn.IFS(tblFLPrep[[#This Row],[Add Missing]]="Yes","N/A",OR(tblFLPrep[[#This Row],[Follow Up Required]]="YES",tblFLPrep[[#This Row],[Follow Up Required]]="SI"),LocationInfo[Due Date],tblFLPrep[[#This Row],[Follow Up Required]]="NO*","N/A",tblFLPrep[[#This Row],[Follow Up Required]]="NO","N/A",tblFLPrep[[#This Row],[Follow Up Required]]="","")</f>
        <v>#VALUE!</v>
      </c>
      <c r="J67" t="e">
        <f>IF(((tblFLPrep[[#This Row],[Section]]&lt;&gt;"")*((tblFLPrep[[#This Row],[Follow Up Required]]="Yes")+(tblFLPrep[[#This Row],[Follow Up Required]]="No"))),"A","")</f>
        <v>#VALUE!</v>
      </c>
      <c r="L67" t="str">
        <f>IFERROR(IF(AND(COUNTIF($E$1:E67,tblFLPrep[[#This Row],[Section]])=1,E67&lt;&gt;0,D67=""),"Yes",""),"")</f>
        <v/>
      </c>
      <c r="N67" t="e">
        <f>IF(tblFLPrep[[#This Row],[Sorting]]="","",SUM($M$1:M67))</f>
        <v>#VALUE!</v>
      </c>
      <c r="O67" t="e">
        <f>_xlfn.IFS(P66="Numbering",1,AND(tblFLPrep[[#This Row],[Counting findings2]]&gt;=1,tblFLPrep[[#This Row],[Counting findings2]]&lt;=600),O66+P66,AND(tblFLPrep[[#This Row],[Counting findings2]]&gt;=601,tblFLPrep[[#This Row],[Counting findings2]]&lt;=1200),IF(AND(N66&lt;=600,N67&gt;=600),(12-O66),0)+O66+P66,AND(tblFLPrep[[#This Row],[Counting findings2]]&gt;=1201,tblFLPrep[[#This Row],[Counting findings2]]&lt;=1800),IF(AND(N66&lt;=1200,N67&gt;=1200),(24-O66),0)+O66+P66,AND(tblFLPrep[[#This Row],[Counting findings2]]&gt;=1801,tblFLPrep[[#This Row],[Counting findings2]]&lt;=2400),IF(AND(N66&lt;=1800,N67&gt;=1800),(36-O66),0)+O66+P66,AND(tblFLPrep[[#This Row],[Counting findings2]]&gt;=2401,tblFLPrep[[#This Row],[Counting findings2]]&lt;=3000),IF(AND(N66&lt;=2400,N67&gt;=2400),(48-O66),0)+O66+P66,AND(tblFLPrep[[#This Row],[Counting findings2]]&gt;=3001,tblFLPrep[[#This Row],[Counting findings2]]&lt;=3600),IF(AND(N66&lt;=3000,N67&gt;=3000),(60-O66),0)+O66+P66)</f>
        <v>#VALUE!</v>
      </c>
      <c r="P67" t="e">
        <f>IF(AND(tblFLPrep[[#This Row],[Sorting]]="A",tblFLPrep[[#This Row],[Row size]]&gt;0),1,"")</f>
        <v>#VALUE!</v>
      </c>
    </row>
    <row r="68" spans="8:16" ht="15" customHeight="1">
      <c r="H68" t="e" cm="1">
        <f t="array" ref="H68">Requirement('Call Flow'!$D$4,tblFLPrep[[#This Row],[Answer]],tblFLPrep[[#This Row],[Fynding Type]])&amp;IF(tblFLPrep[[#This Row],[Add Missing]]="Yes","No","")</f>
        <v>#VALUE!</v>
      </c>
      <c r="I68" t="e">
        <f>_xlfn.IFS(tblFLPrep[[#This Row],[Add Missing]]="Yes","N/A",OR(tblFLPrep[[#This Row],[Follow Up Required]]="YES",tblFLPrep[[#This Row],[Follow Up Required]]="SI"),LocationInfo[Due Date],tblFLPrep[[#This Row],[Follow Up Required]]="NO*","N/A",tblFLPrep[[#This Row],[Follow Up Required]]="NO","N/A",tblFLPrep[[#This Row],[Follow Up Required]]="","")</f>
        <v>#VALUE!</v>
      </c>
      <c r="J68" t="e">
        <f>IF(((tblFLPrep[[#This Row],[Section]]&lt;&gt;"")*((tblFLPrep[[#This Row],[Follow Up Required]]="Yes")+(tblFLPrep[[#This Row],[Follow Up Required]]="No"))),"A","")</f>
        <v>#VALUE!</v>
      </c>
      <c r="L68" t="str">
        <f>IFERROR(IF(AND(COUNTIF($E$1:E68,tblFLPrep[[#This Row],[Section]])=1,E68&lt;&gt;0,D68=""),"Yes",""),"")</f>
        <v/>
      </c>
      <c r="N68" t="e">
        <f>IF(tblFLPrep[[#This Row],[Sorting]]="","",SUM($M$1:M68))</f>
        <v>#VALUE!</v>
      </c>
      <c r="O68" t="e">
        <f>_xlfn.IFS(P67="Numbering",1,AND(tblFLPrep[[#This Row],[Counting findings2]]&gt;=1,tblFLPrep[[#This Row],[Counting findings2]]&lt;=600),O67+P67,AND(tblFLPrep[[#This Row],[Counting findings2]]&gt;=601,tblFLPrep[[#This Row],[Counting findings2]]&lt;=1200),IF(AND(N67&lt;=600,N68&gt;=600),(12-O67),0)+O67+P67,AND(tblFLPrep[[#This Row],[Counting findings2]]&gt;=1201,tblFLPrep[[#This Row],[Counting findings2]]&lt;=1800),IF(AND(N67&lt;=1200,N68&gt;=1200),(24-O67),0)+O67+P67,AND(tblFLPrep[[#This Row],[Counting findings2]]&gt;=1801,tblFLPrep[[#This Row],[Counting findings2]]&lt;=2400),IF(AND(N67&lt;=1800,N68&gt;=1800),(36-O67),0)+O67+P67,AND(tblFLPrep[[#This Row],[Counting findings2]]&gt;=2401,tblFLPrep[[#This Row],[Counting findings2]]&lt;=3000),IF(AND(N67&lt;=2400,N68&gt;=2400),(48-O67),0)+O67+P67,AND(tblFLPrep[[#This Row],[Counting findings2]]&gt;=3001,tblFLPrep[[#This Row],[Counting findings2]]&lt;=3600),IF(AND(N67&lt;=3000,N68&gt;=3000),(60-O67),0)+O67+P67)</f>
        <v>#VALUE!</v>
      </c>
      <c r="P68" t="e">
        <f>IF(AND(tblFLPrep[[#This Row],[Sorting]]="A",tblFLPrep[[#This Row],[Row size]]&gt;0),1,"")</f>
        <v>#VALUE!</v>
      </c>
    </row>
    <row r="69" spans="8:16" ht="15" customHeight="1">
      <c r="H69" t="e" cm="1">
        <f t="array" ref="H69">Requirement('Call Flow'!$D$4,tblFLPrep[[#This Row],[Answer]],tblFLPrep[[#This Row],[Fynding Type]])&amp;IF(tblFLPrep[[#This Row],[Add Missing]]="Yes","No","")</f>
        <v>#VALUE!</v>
      </c>
      <c r="I69" t="e">
        <f>_xlfn.IFS(tblFLPrep[[#This Row],[Add Missing]]="Yes","N/A",OR(tblFLPrep[[#This Row],[Follow Up Required]]="YES",tblFLPrep[[#This Row],[Follow Up Required]]="SI"),LocationInfo[Due Date],tblFLPrep[[#This Row],[Follow Up Required]]="NO*","N/A",tblFLPrep[[#This Row],[Follow Up Required]]="NO","N/A",tblFLPrep[[#This Row],[Follow Up Required]]="","")</f>
        <v>#VALUE!</v>
      </c>
      <c r="J69" t="e">
        <f>IF(((tblFLPrep[[#This Row],[Section]]&lt;&gt;"")*((tblFLPrep[[#This Row],[Follow Up Required]]="Yes")+(tblFLPrep[[#This Row],[Follow Up Required]]="No"))),"A","")</f>
        <v>#VALUE!</v>
      </c>
      <c r="L69" t="str">
        <f>IFERROR(IF(AND(COUNTIF($E$1:E69,tblFLPrep[[#This Row],[Section]])=1,E69&lt;&gt;0,D69=""),"Yes",""),"")</f>
        <v/>
      </c>
      <c r="N69" t="e">
        <f>IF(tblFLPrep[[#This Row],[Sorting]]="","",SUM($M$1:M69))</f>
        <v>#VALUE!</v>
      </c>
      <c r="O69" t="e">
        <f>_xlfn.IFS(P68="Numbering",1,AND(tblFLPrep[[#This Row],[Counting findings2]]&gt;=1,tblFLPrep[[#This Row],[Counting findings2]]&lt;=600),O68+P68,AND(tblFLPrep[[#This Row],[Counting findings2]]&gt;=601,tblFLPrep[[#This Row],[Counting findings2]]&lt;=1200),IF(AND(N68&lt;=600,N69&gt;=600),(12-O68),0)+O68+P68,AND(tblFLPrep[[#This Row],[Counting findings2]]&gt;=1201,tblFLPrep[[#This Row],[Counting findings2]]&lt;=1800),IF(AND(N68&lt;=1200,N69&gt;=1200),(24-O68),0)+O68+P68,AND(tblFLPrep[[#This Row],[Counting findings2]]&gt;=1801,tblFLPrep[[#This Row],[Counting findings2]]&lt;=2400),IF(AND(N68&lt;=1800,N69&gt;=1800),(36-O68),0)+O68+P68,AND(tblFLPrep[[#This Row],[Counting findings2]]&gt;=2401,tblFLPrep[[#This Row],[Counting findings2]]&lt;=3000),IF(AND(N68&lt;=2400,N69&gt;=2400),(48-O68),0)+O68+P68,AND(tblFLPrep[[#This Row],[Counting findings2]]&gt;=3001,tblFLPrep[[#This Row],[Counting findings2]]&lt;=3600),IF(AND(N68&lt;=3000,N69&gt;=3000),(60-O68),0)+O68+P68)</f>
        <v>#VALUE!</v>
      </c>
      <c r="P69" t="e">
        <f>IF(AND(tblFLPrep[[#This Row],[Sorting]]="A",tblFLPrep[[#This Row],[Row size]]&gt;0),1,"")</f>
        <v>#VALUE!</v>
      </c>
    </row>
    <row r="70" spans="8:16" ht="15" customHeight="1">
      <c r="H70" t="e" cm="1">
        <f t="array" ref="H70">Requirement('Call Flow'!$D$4,tblFLPrep[[#This Row],[Answer]],tblFLPrep[[#This Row],[Fynding Type]])&amp;IF(tblFLPrep[[#This Row],[Add Missing]]="Yes","No","")</f>
        <v>#VALUE!</v>
      </c>
      <c r="I70" t="e">
        <f>_xlfn.IFS(tblFLPrep[[#This Row],[Add Missing]]="Yes","N/A",OR(tblFLPrep[[#This Row],[Follow Up Required]]="YES",tblFLPrep[[#This Row],[Follow Up Required]]="SI"),LocationInfo[Due Date],tblFLPrep[[#This Row],[Follow Up Required]]="NO*","N/A",tblFLPrep[[#This Row],[Follow Up Required]]="NO","N/A",tblFLPrep[[#This Row],[Follow Up Required]]="","")</f>
        <v>#VALUE!</v>
      </c>
      <c r="J70" t="e">
        <f>IF(((tblFLPrep[[#This Row],[Section]]&lt;&gt;"")*((tblFLPrep[[#This Row],[Follow Up Required]]="Yes")+(tblFLPrep[[#This Row],[Follow Up Required]]="No"))),"A","")</f>
        <v>#VALUE!</v>
      </c>
      <c r="L70" t="str">
        <f>IFERROR(IF(AND(COUNTIF($E$1:E70,tblFLPrep[[#This Row],[Section]])=1,E70&lt;&gt;0,D70=""),"Yes",""),"")</f>
        <v/>
      </c>
      <c r="N70" t="e">
        <f>IF(tblFLPrep[[#This Row],[Sorting]]="","",SUM($M$1:M70))</f>
        <v>#VALUE!</v>
      </c>
      <c r="O70" t="e">
        <f>_xlfn.IFS(P69="Numbering",1,AND(tblFLPrep[[#This Row],[Counting findings2]]&gt;=1,tblFLPrep[[#This Row],[Counting findings2]]&lt;=600),O69+P69,AND(tblFLPrep[[#This Row],[Counting findings2]]&gt;=601,tblFLPrep[[#This Row],[Counting findings2]]&lt;=1200),IF(AND(N69&lt;=600,N70&gt;=600),(12-O69),0)+O69+P69,AND(tblFLPrep[[#This Row],[Counting findings2]]&gt;=1201,tblFLPrep[[#This Row],[Counting findings2]]&lt;=1800),IF(AND(N69&lt;=1200,N70&gt;=1200),(24-O69),0)+O69+P69,AND(tblFLPrep[[#This Row],[Counting findings2]]&gt;=1801,tblFLPrep[[#This Row],[Counting findings2]]&lt;=2400),IF(AND(N69&lt;=1800,N70&gt;=1800),(36-O69),0)+O69+P69,AND(tblFLPrep[[#This Row],[Counting findings2]]&gt;=2401,tblFLPrep[[#This Row],[Counting findings2]]&lt;=3000),IF(AND(N69&lt;=2400,N70&gt;=2400),(48-O69),0)+O69+P69,AND(tblFLPrep[[#This Row],[Counting findings2]]&gt;=3001,tblFLPrep[[#This Row],[Counting findings2]]&lt;=3600),IF(AND(N69&lt;=3000,N70&gt;=3000),(60-O69),0)+O69+P69)</f>
        <v>#VALUE!</v>
      </c>
      <c r="P70" t="e">
        <f>IF(AND(tblFLPrep[[#This Row],[Sorting]]="A",tblFLPrep[[#This Row],[Row size]]&gt;0),1,"")</f>
        <v>#VALUE!</v>
      </c>
    </row>
    <row r="71" spans="8:16" ht="15" customHeight="1">
      <c r="H71" t="e" cm="1">
        <f t="array" ref="H71">Requirement('Call Flow'!$D$4,tblFLPrep[[#This Row],[Answer]],tblFLPrep[[#This Row],[Fynding Type]])&amp;IF(tblFLPrep[[#This Row],[Add Missing]]="Yes","No","")</f>
        <v>#VALUE!</v>
      </c>
      <c r="I71" t="e">
        <f>_xlfn.IFS(tblFLPrep[[#This Row],[Add Missing]]="Yes","N/A",OR(tblFLPrep[[#This Row],[Follow Up Required]]="YES",tblFLPrep[[#This Row],[Follow Up Required]]="SI"),LocationInfo[Due Date],tblFLPrep[[#This Row],[Follow Up Required]]="NO*","N/A",tblFLPrep[[#This Row],[Follow Up Required]]="NO","N/A",tblFLPrep[[#This Row],[Follow Up Required]]="","")</f>
        <v>#VALUE!</v>
      </c>
      <c r="J71" t="e">
        <f>IF(((tblFLPrep[[#This Row],[Section]]&lt;&gt;"")*((tblFLPrep[[#This Row],[Follow Up Required]]="Yes")+(tblFLPrep[[#This Row],[Follow Up Required]]="No"))),"A","")</f>
        <v>#VALUE!</v>
      </c>
      <c r="L71" t="str">
        <f>IFERROR(IF(AND(COUNTIF($E$1:E71,tblFLPrep[[#This Row],[Section]])=1,E71&lt;&gt;0,D71=""),"Yes",""),"")</f>
        <v/>
      </c>
      <c r="N71" t="e">
        <f>IF(tblFLPrep[[#This Row],[Sorting]]="","",SUM($M$1:M109))</f>
        <v>#VALUE!</v>
      </c>
      <c r="O71" t="e">
        <f>_xlfn.IFS(P70="Numbering",1,AND(tblFLPrep[[#This Row],[Counting findings2]]&gt;=1,tblFLPrep[[#This Row],[Counting findings2]]&lt;=600),O70+P70,AND(tblFLPrep[[#This Row],[Counting findings2]]&gt;=601,tblFLPrep[[#This Row],[Counting findings2]]&lt;=1200),IF(AND(N70&lt;=600,N71&gt;=600),(12-O70),0)+O70+P70,AND(tblFLPrep[[#This Row],[Counting findings2]]&gt;=1201,tblFLPrep[[#This Row],[Counting findings2]]&lt;=1800),IF(AND(N70&lt;=1200,N71&gt;=1200),(24-O70),0)+O70+P70,AND(tblFLPrep[[#This Row],[Counting findings2]]&gt;=1801,tblFLPrep[[#This Row],[Counting findings2]]&lt;=2400),IF(AND(N70&lt;=1800,N71&gt;=1800),(36-O70),0)+O70+P70,AND(tblFLPrep[[#This Row],[Counting findings2]]&gt;=2401,tblFLPrep[[#This Row],[Counting findings2]]&lt;=3000),IF(AND(N70&lt;=2400,N71&gt;=2400),(48-O70),0)+O70+P70,AND(tblFLPrep[[#This Row],[Counting findings2]]&gt;=3001,tblFLPrep[[#This Row],[Counting findings2]]&lt;=3600),IF(AND(N70&lt;=3000,N71&gt;=3000),(60-O70),0)+O70+P70)</f>
        <v>#VALUE!</v>
      </c>
      <c r="P71" t="e">
        <f>IF(AND(tblFLPrep[[#This Row],[Sorting]]="A",tblFLPrep[[#This Row],[Row size]]&gt;0),1,"")</f>
        <v>#VALUE!</v>
      </c>
    </row>
    <row r="72" spans="8:16" ht="15" customHeight="1">
      <c r="H72" t="e" cm="1">
        <f t="array" ref="H72">Requirement('Call Flow'!$D$4,tblFLPrep[[#This Row],[Answer]],tblFLPrep[[#This Row],[Fynding Type]])&amp;IF(tblFLPrep[[#This Row],[Add Missing]]="Yes","No","")</f>
        <v>#VALUE!</v>
      </c>
      <c r="I72" t="e">
        <f>_xlfn.IFS(tblFLPrep[[#This Row],[Add Missing]]="Yes","N/A",OR(tblFLPrep[[#This Row],[Follow Up Required]]="YES",tblFLPrep[[#This Row],[Follow Up Required]]="SI"),LocationInfo[Due Date],tblFLPrep[[#This Row],[Follow Up Required]]="NO*","N/A",tblFLPrep[[#This Row],[Follow Up Required]]="NO","N/A",tblFLPrep[[#This Row],[Follow Up Required]]="","")</f>
        <v>#VALUE!</v>
      </c>
      <c r="J72" t="e">
        <f>IF(((tblFLPrep[[#This Row],[Section]]&lt;&gt;"")*((tblFLPrep[[#This Row],[Follow Up Required]]="Yes")+(tblFLPrep[[#This Row],[Follow Up Required]]="No"))),"A","")</f>
        <v>#VALUE!</v>
      </c>
      <c r="L72" t="str">
        <f>IFERROR(IF(AND(COUNTIF($E$1:E72,tblFLPrep[[#This Row],[Section]])=1,E72&lt;&gt;0,D72=""),"Yes",""),"")</f>
        <v/>
      </c>
      <c r="N72" t="e">
        <f>IF(tblFLPrep[[#This Row],[Sorting]]="","",SUM($M$1:M128))</f>
        <v>#VALUE!</v>
      </c>
      <c r="O72" t="e">
        <f>_xlfn.IFS(P71="Numbering",1,AND(tblFLPrep[[#This Row],[Counting findings2]]&gt;=1,tblFLPrep[[#This Row],[Counting findings2]]&lt;=600),O71+P71,AND(tblFLPrep[[#This Row],[Counting findings2]]&gt;=601,tblFLPrep[[#This Row],[Counting findings2]]&lt;=1200),IF(AND(N71&lt;=600,N72&gt;=600),(12-O71),0)+O71+P71,AND(tblFLPrep[[#This Row],[Counting findings2]]&gt;=1201,tblFLPrep[[#This Row],[Counting findings2]]&lt;=1800),IF(AND(N71&lt;=1200,N72&gt;=1200),(24-O71),0)+O71+P71,AND(tblFLPrep[[#This Row],[Counting findings2]]&gt;=1801,tblFLPrep[[#This Row],[Counting findings2]]&lt;=2400),IF(AND(N71&lt;=1800,N72&gt;=1800),(36-O71),0)+O71+P71,AND(tblFLPrep[[#This Row],[Counting findings2]]&gt;=2401,tblFLPrep[[#This Row],[Counting findings2]]&lt;=3000),IF(AND(N71&lt;=2400,N72&gt;=2400),(48-O71),0)+O71+P71,AND(tblFLPrep[[#This Row],[Counting findings2]]&gt;=3001,tblFLPrep[[#This Row],[Counting findings2]]&lt;=3600),IF(AND(N71&lt;=3000,N72&gt;=3000),(60-O71),0)+O71+P71)</f>
        <v>#VALUE!</v>
      </c>
      <c r="P72" t="e">
        <f>IF(AND(tblFLPrep[[#This Row],[Sorting]]="A",tblFLPrep[[#This Row],[Row size]]&gt;0),1,"")</f>
        <v>#VALUE!</v>
      </c>
    </row>
    <row r="73" spans="8:16" ht="15" customHeight="1">
      <c r="H73" t="e" cm="1">
        <f t="array" ref="H73">Requirement('Call Flow'!$D$4,tblFLPrep[[#This Row],[Answer]],tblFLPrep[[#This Row],[Fynding Type]])&amp;IF(tblFLPrep[[#This Row],[Add Missing]]="Yes","No","")</f>
        <v>#VALUE!</v>
      </c>
      <c r="I73" t="e">
        <f>_xlfn.IFS(tblFLPrep[[#This Row],[Add Missing]]="Yes","N/A",OR(tblFLPrep[[#This Row],[Follow Up Required]]="YES",tblFLPrep[[#This Row],[Follow Up Required]]="SI"),LocationInfo[Due Date],tblFLPrep[[#This Row],[Follow Up Required]]="NO*","N/A",tblFLPrep[[#This Row],[Follow Up Required]]="NO","N/A",tblFLPrep[[#This Row],[Follow Up Required]]="","")</f>
        <v>#VALUE!</v>
      </c>
      <c r="J73" t="e">
        <f>IF(((tblFLPrep[[#This Row],[Section]]&lt;&gt;"")*((tblFLPrep[[#This Row],[Follow Up Required]]="Yes")+(tblFLPrep[[#This Row],[Follow Up Required]]="No"))),"A","")</f>
        <v>#VALUE!</v>
      </c>
      <c r="L73" t="str">
        <f>IFERROR(IF(AND(COUNTIF($E$1:E73,tblFLPrep[[#This Row],[Section]])=1,E73&lt;&gt;0,D73=""),"Yes",""),"")</f>
        <v/>
      </c>
      <c r="N73" t="e">
        <f>IF(tblFLPrep[[#This Row],[Sorting]]="","",SUM($M$1:M129))</f>
        <v>#VALUE!</v>
      </c>
      <c r="O73" t="e">
        <f>_xlfn.IFS(P72="Numbering",1,AND(tblFLPrep[[#This Row],[Counting findings2]]&gt;=1,tblFLPrep[[#This Row],[Counting findings2]]&lt;=600),O72+P72,AND(tblFLPrep[[#This Row],[Counting findings2]]&gt;=601,tblFLPrep[[#This Row],[Counting findings2]]&lt;=1200),IF(AND(N72&lt;=600,N73&gt;=600),(12-O72),0)+O72+P72,AND(tblFLPrep[[#This Row],[Counting findings2]]&gt;=1201,tblFLPrep[[#This Row],[Counting findings2]]&lt;=1800),IF(AND(N72&lt;=1200,N73&gt;=1200),(24-O72),0)+O72+P72,AND(tblFLPrep[[#This Row],[Counting findings2]]&gt;=1801,tblFLPrep[[#This Row],[Counting findings2]]&lt;=2400),IF(AND(N72&lt;=1800,N73&gt;=1800),(36-O72),0)+O72+P72,AND(tblFLPrep[[#This Row],[Counting findings2]]&gt;=2401,tblFLPrep[[#This Row],[Counting findings2]]&lt;=3000),IF(AND(N72&lt;=2400,N73&gt;=2400),(48-O72),0)+O72+P72,AND(tblFLPrep[[#This Row],[Counting findings2]]&gt;=3001,tblFLPrep[[#This Row],[Counting findings2]]&lt;=3600),IF(AND(N72&lt;=3000,N73&gt;=3000),(60-O72),0)+O72+P72)</f>
        <v>#VALUE!</v>
      </c>
      <c r="P73" t="e">
        <f>IF(AND(tblFLPrep[[#This Row],[Sorting]]="A",tblFLPrep[[#This Row],[Row size]]&gt;0),1,"")</f>
        <v>#VALUE!</v>
      </c>
    </row>
    <row r="74" spans="8:16" ht="15" customHeight="1">
      <c r="H74" t="e" cm="1">
        <f t="array" ref="H74">Requirement('Call Flow'!$D$4,tblFLPrep[[#This Row],[Answer]],tblFLPrep[[#This Row],[Fynding Type]])&amp;IF(tblFLPrep[[#This Row],[Add Missing]]="Yes","No","")</f>
        <v>#VALUE!</v>
      </c>
      <c r="I74" t="e">
        <f>_xlfn.IFS(tblFLPrep[[#This Row],[Add Missing]]="Yes","N/A",OR(tblFLPrep[[#This Row],[Follow Up Required]]="YES",tblFLPrep[[#This Row],[Follow Up Required]]="SI"),LocationInfo[Due Date],tblFLPrep[[#This Row],[Follow Up Required]]="NO*","N/A",tblFLPrep[[#This Row],[Follow Up Required]]="NO","N/A",tblFLPrep[[#This Row],[Follow Up Required]]="","")</f>
        <v>#VALUE!</v>
      </c>
      <c r="J74" t="e">
        <f>IF(((tblFLPrep[[#This Row],[Section]]&lt;&gt;"")*((tblFLPrep[[#This Row],[Follow Up Required]]="Yes")+(tblFLPrep[[#This Row],[Follow Up Required]]="No"))),"A","")</f>
        <v>#VALUE!</v>
      </c>
      <c r="L74" t="str">
        <f>IFERROR(IF(AND(COUNTIF($E$1:E74,tblFLPrep[[#This Row],[Section]])=1,E74&lt;&gt;0,D74=""),"Yes",""),"")</f>
        <v/>
      </c>
      <c r="N74" t="e">
        <f>IF(tblFLPrep[[#This Row],[Sorting]]="","",SUM($M$1:M130))</f>
        <v>#VALUE!</v>
      </c>
      <c r="O74" t="e">
        <f>_xlfn.IFS(P73="Numbering",1,AND(tblFLPrep[[#This Row],[Counting findings2]]&gt;=1,tblFLPrep[[#This Row],[Counting findings2]]&lt;=600),O73+P73,AND(tblFLPrep[[#This Row],[Counting findings2]]&gt;=601,tblFLPrep[[#This Row],[Counting findings2]]&lt;=1200),IF(AND(N73&lt;=600,N74&gt;=600),(12-O73),0)+O73+P73,AND(tblFLPrep[[#This Row],[Counting findings2]]&gt;=1201,tblFLPrep[[#This Row],[Counting findings2]]&lt;=1800),IF(AND(N73&lt;=1200,N74&gt;=1200),(24-O73),0)+O73+P73,AND(tblFLPrep[[#This Row],[Counting findings2]]&gt;=1801,tblFLPrep[[#This Row],[Counting findings2]]&lt;=2400),IF(AND(N73&lt;=1800,N74&gt;=1800),(36-O73),0)+O73+P73,AND(tblFLPrep[[#This Row],[Counting findings2]]&gt;=2401,tblFLPrep[[#This Row],[Counting findings2]]&lt;=3000),IF(AND(N73&lt;=2400,N74&gt;=2400),(48-O73),0)+O73+P73,AND(tblFLPrep[[#This Row],[Counting findings2]]&gt;=3001,tblFLPrep[[#This Row],[Counting findings2]]&lt;=3600),IF(AND(N73&lt;=3000,N74&gt;=3000),(60-O73),0)+O73+P73)</f>
        <v>#VALUE!</v>
      </c>
      <c r="P74" t="e">
        <f>IF(AND(tblFLPrep[[#This Row],[Sorting]]="A",tblFLPrep[[#This Row],[Row size]]&gt;0),1,"")</f>
        <v>#VALUE!</v>
      </c>
    </row>
    <row r="75" spans="8:16" ht="15" customHeight="1">
      <c r="H75" t="e" cm="1">
        <f t="array" ref="H75">Requirement('Call Flow'!$D$4,tblFLPrep[[#This Row],[Answer]],tblFLPrep[[#This Row],[Fynding Type]])&amp;IF(tblFLPrep[[#This Row],[Add Missing]]="Yes","No","")</f>
        <v>#VALUE!</v>
      </c>
      <c r="I75" t="e">
        <f>_xlfn.IFS(tblFLPrep[[#This Row],[Add Missing]]="Yes","N/A",OR(tblFLPrep[[#This Row],[Follow Up Required]]="YES",tblFLPrep[[#This Row],[Follow Up Required]]="SI"),LocationInfo[Due Date],tblFLPrep[[#This Row],[Follow Up Required]]="NO*","N/A",tblFLPrep[[#This Row],[Follow Up Required]]="NO","N/A",tblFLPrep[[#This Row],[Follow Up Required]]="","")</f>
        <v>#VALUE!</v>
      </c>
      <c r="J75" t="e">
        <f>IF(((tblFLPrep[[#This Row],[Section]]&lt;&gt;"")*((tblFLPrep[[#This Row],[Follow Up Required]]="Yes")+(tblFLPrep[[#This Row],[Follow Up Required]]="No"))),"A","")</f>
        <v>#VALUE!</v>
      </c>
      <c r="L75" t="str">
        <f>IFERROR(IF(AND(COUNTIF($E$1:E75,tblFLPrep[[#This Row],[Section]])=1,E75&lt;&gt;0,D75=""),"Yes",""),"")</f>
        <v/>
      </c>
      <c r="N75" t="e">
        <f>IF(tblFLPrep[[#This Row],[Sorting]]="","",SUM($M$1:M131))</f>
        <v>#VALUE!</v>
      </c>
      <c r="O75" t="e">
        <f>_xlfn.IFS(P74="Numbering",1,AND(tblFLPrep[[#This Row],[Counting findings2]]&gt;=1,tblFLPrep[[#This Row],[Counting findings2]]&lt;=600),O74+P74,AND(tblFLPrep[[#This Row],[Counting findings2]]&gt;=601,tblFLPrep[[#This Row],[Counting findings2]]&lt;=1200),IF(AND(N74&lt;=600,N75&gt;=600),(12-O74),0)+O74+P74,AND(tblFLPrep[[#This Row],[Counting findings2]]&gt;=1201,tblFLPrep[[#This Row],[Counting findings2]]&lt;=1800),IF(AND(N74&lt;=1200,N75&gt;=1200),(24-O74),0)+O74+P74,AND(tblFLPrep[[#This Row],[Counting findings2]]&gt;=1801,tblFLPrep[[#This Row],[Counting findings2]]&lt;=2400),IF(AND(N74&lt;=1800,N75&gt;=1800),(36-O74),0)+O74+P74,AND(tblFLPrep[[#This Row],[Counting findings2]]&gt;=2401,tblFLPrep[[#This Row],[Counting findings2]]&lt;=3000),IF(AND(N74&lt;=2400,N75&gt;=2400),(48-O74),0)+O74+P74,AND(tblFLPrep[[#This Row],[Counting findings2]]&gt;=3001,tblFLPrep[[#This Row],[Counting findings2]]&lt;=3600),IF(AND(N74&lt;=3000,N75&gt;=3000),(60-O74),0)+O74+P74)</f>
        <v>#VALUE!</v>
      </c>
      <c r="P75" t="e">
        <f>IF(AND(tblFLPrep[[#This Row],[Sorting]]="A",tblFLPrep[[#This Row],[Row size]]&gt;0),1,"")</f>
        <v>#VALUE!</v>
      </c>
    </row>
    <row r="76" spans="8:16" ht="15" customHeight="1">
      <c r="H76" t="e" cm="1">
        <f t="array" ref="H76">Requirement('Call Flow'!$D$4,tblFLPrep[[#This Row],[Answer]],tblFLPrep[[#This Row],[Fynding Type]])&amp;IF(tblFLPrep[[#This Row],[Add Missing]]="Yes","No","")</f>
        <v>#VALUE!</v>
      </c>
      <c r="I76" t="e">
        <f>_xlfn.IFS(tblFLPrep[[#This Row],[Add Missing]]="Yes","N/A",OR(tblFLPrep[[#This Row],[Follow Up Required]]="YES",tblFLPrep[[#This Row],[Follow Up Required]]="SI"),LocationInfo[Due Date],tblFLPrep[[#This Row],[Follow Up Required]]="NO*","N/A",tblFLPrep[[#This Row],[Follow Up Required]]="NO","N/A",tblFLPrep[[#This Row],[Follow Up Required]]="","")</f>
        <v>#VALUE!</v>
      </c>
      <c r="J76" t="e">
        <f>IF(((tblFLPrep[[#This Row],[Section]]&lt;&gt;"")*((tblFLPrep[[#This Row],[Follow Up Required]]="Yes")+(tblFLPrep[[#This Row],[Follow Up Required]]="No"))),"A","")</f>
        <v>#VALUE!</v>
      </c>
      <c r="L76" t="str">
        <f>IFERROR(IF(AND(COUNTIF($E$1:E76,tblFLPrep[[#This Row],[Section]])=1,E76&lt;&gt;0,D76=""),"Yes",""),"")</f>
        <v/>
      </c>
      <c r="N76" t="e">
        <f>IF(tblFLPrep[[#This Row],[Sorting]]="","",SUM($M$1:M132))</f>
        <v>#VALUE!</v>
      </c>
      <c r="O76" t="e">
        <f>_xlfn.IFS(P75="Numbering",1,AND(tblFLPrep[[#This Row],[Counting findings2]]&gt;=1,tblFLPrep[[#This Row],[Counting findings2]]&lt;=600),O75+P75,AND(tblFLPrep[[#This Row],[Counting findings2]]&gt;=601,tblFLPrep[[#This Row],[Counting findings2]]&lt;=1200),IF(AND(N75&lt;=600,N76&gt;=600),(12-O75),0)+O75+P75,AND(tblFLPrep[[#This Row],[Counting findings2]]&gt;=1201,tblFLPrep[[#This Row],[Counting findings2]]&lt;=1800),IF(AND(N75&lt;=1200,N76&gt;=1200),(24-O75),0)+O75+P75,AND(tblFLPrep[[#This Row],[Counting findings2]]&gt;=1801,tblFLPrep[[#This Row],[Counting findings2]]&lt;=2400),IF(AND(N75&lt;=1800,N76&gt;=1800),(36-O75),0)+O75+P75,AND(tblFLPrep[[#This Row],[Counting findings2]]&gt;=2401,tblFLPrep[[#This Row],[Counting findings2]]&lt;=3000),IF(AND(N75&lt;=2400,N76&gt;=2400),(48-O75),0)+O75+P75,AND(tblFLPrep[[#This Row],[Counting findings2]]&gt;=3001,tblFLPrep[[#This Row],[Counting findings2]]&lt;=3600),IF(AND(N75&lt;=3000,N76&gt;=3000),(60-O75),0)+O75+P75)</f>
        <v>#VALUE!</v>
      </c>
      <c r="P76" t="e">
        <f>IF(AND(tblFLPrep[[#This Row],[Sorting]]="A",tblFLPrep[[#This Row],[Row size]]&gt;0),1,"")</f>
        <v>#VALUE!</v>
      </c>
    </row>
    <row r="77" spans="8:16" ht="15" customHeight="1">
      <c r="H77" t="e" cm="1">
        <f t="array" ref="H77">Requirement('Call Flow'!$D$4,tblFLPrep[[#This Row],[Answer]],tblFLPrep[[#This Row],[Fynding Type]])&amp;IF(tblFLPrep[[#This Row],[Add Missing]]="Yes","No","")</f>
        <v>#VALUE!</v>
      </c>
      <c r="I77" t="e">
        <f>_xlfn.IFS(tblFLPrep[[#This Row],[Add Missing]]="Yes","N/A",OR(tblFLPrep[[#This Row],[Follow Up Required]]="YES",tblFLPrep[[#This Row],[Follow Up Required]]="SI"),LocationInfo[Due Date],tblFLPrep[[#This Row],[Follow Up Required]]="NO*","N/A",tblFLPrep[[#This Row],[Follow Up Required]]="NO","N/A",tblFLPrep[[#This Row],[Follow Up Required]]="","")</f>
        <v>#VALUE!</v>
      </c>
      <c r="J77" t="e">
        <f>IF(((tblFLPrep[[#This Row],[Section]]&lt;&gt;"")*((tblFLPrep[[#This Row],[Follow Up Required]]="Yes")+(tblFLPrep[[#This Row],[Follow Up Required]]="No"))),"A","")</f>
        <v>#VALUE!</v>
      </c>
      <c r="L77" t="str">
        <f>IFERROR(IF(AND(COUNTIF($E$1:E77,tblFLPrep[[#This Row],[Section]])=1,E77&lt;&gt;0,D77=""),"Yes",""),"")</f>
        <v/>
      </c>
      <c r="N77" t="e">
        <f>IF(tblFLPrep[[#This Row],[Sorting]]="","",SUM($M$1:M133))</f>
        <v>#VALUE!</v>
      </c>
      <c r="O77" t="e">
        <f>_xlfn.IFS(P76="Numbering",1,AND(tblFLPrep[[#This Row],[Counting findings2]]&gt;=1,tblFLPrep[[#This Row],[Counting findings2]]&lt;=600),O76+P76,AND(tblFLPrep[[#This Row],[Counting findings2]]&gt;=601,tblFLPrep[[#This Row],[Counting findings2]]&lt;=1200),IF(AND(N76&lt;=600,N77&gt;=600),(12-O76),0)+O76+P76,AND(tblFLPrep[[#This Row],[Counting findings2]]&gt;=1201,tblFLPrep[[#This Row],[Counting findings2]]&lt;=1800),IF(AND(N76&lt;=1200,N77&gt;=1200),(24-O76),0)+O76+P76,AND(tblFLPrep[[#This Row],[Counting findings2]]&gt;=1801,tblFLPrep[[#This Row],[Counting findings2]]&lt;=2400),IF(AND(N76&lt;=1800,N77&gt;=1800),(36-O76),0)+O76+P76,AND(tblFLPrep[[#This Row],[Counting findings2]]&gt;=2401,tblFLPrep[[#This Row],[Counting findings2]]&lt;=3000),IF(AND(N76&lt;=2400,N77&gt;=2400),(48-O76),0)+O76+P76,AND(tblFLPrep[[#This Row],[Counting findings2]]&gt;=3001,tblFLPrep[[#This Row],[Counting findings2]]&lt;=3600),IF(AND(N76&lt;=3000,N77&gt;=3000),(60-O76),0)+O76+P76)</f>
        <v>#VALUE!</v>
      </c>
      <c r="P77" t="e">
        <f>IF(AND(tblFLPrep[[#This Row],[Sorting]]="A",tblFLPrep[[#This Row],[Row size]]&gt;0),1,"")</f>
        <v>#VALUE!</v>
      </c>
    </row>
    <row r="78" spans="8:16" ht="15" customHeight="1">
      <c r="H78" t="e" cm="1">
        <f t="array" ref="H78">Requirement('Call Flow'!$D$4,tblFLPrep[[#This Row],[Answer]],tblFLPrep[[#This Row],[Fynding Type]])&amp;IF(tblFLPrep[[#This Row],[Add Missing]]="Yes","No","")</f>
        <v>#VALUE!</v>
      </c>
      <c r="I78" t="e">
        <f>_xlfn.IFS(tblFLPrep[[#This Row],[Add Missing]]="Yes","N/A",OR(tblFLPrep[[#This Row],[Follow Up Required]]="YES",tblFLPrep[[#This Row],[Follow Up Required]]="SI"),LocationInfo[Due Date],tblFLPrep[[#This Row],[Follow Up Required]]="NO*","N/A",tblFLPrep[[#This Row],[Follow Up Required]]="NO","N/A",tblFLPrep[[#This Row],[Follow Up Required]]="","")</f>
        <v>#VALUE!</v>
      </c>
      <c r="J78" t="e">
        <f>IF(((tblFLPrep[[#This Row],[Section]]&lt;&gt;"")*((tblFLPrep[[#This Row],[Follow Up Required]]="Yes")+(tblFLPrep[[#This Row],[Follow Up Required]]="No"))),"A","")</f>
        <v>#VALUE!</v>
      </c>
      <c r="L78" t="str">
        <f>IFERROR(IF(AND(COUNTIF($E$1:E78,tblFLPrep[[#This Row],[Section]])=1,E78&lt;&gt;0,D78=""),"Yes",""),"")</f>
        <v/>
      </c>
      <c r="N78" t="e">
        <f>IF(tblFLPrep[[#This Row],[Sorting]]="","",SUM($M$1:M134))</f>
        <v>#VALUE!</v>
      </c>
      <c r="O78" t="e">
        <f>_xlfn.IFS(P77="Numbering",1,AND(tblFLPrep[[#This Row],[Counting findings2]]&gt;=1,tblFLPrep[[#This Row],[Counting findings2]]&lt;=600),O77+P77,AND(tblFLPrep[[#This Row],[Counting findings2]]&gt;=601,tblFLPrep[[#This Row],[Counting findings2]]&lt;=1200),IF(AND(N77&lt;=600,N78&gt;=600),(12-O77),0)+O77+P77,AND(tblFLPrep[[#This Row],[Counting findings2]]&gt;=1201,tblFLPrep[[#This Row],[Counting findings2]]&lt;=1800),IF(AND(N77&lt;=1200,N78&gt;=1200),(24-O77),0)+O77+P77,AND(tblFLPrep[[#This Row],[Counting findings2]]&gt;=1801,tblFLPrep[[#This Row],[Counting findings2]]&lt;=2400),IF(AND(N77&lt;=1800,N78&gt;=1800),(36-O77),0)+O77+P77,AND(tblFLPrep[[#This Row],[Counting findings2]]&gt;=2401,tblFLPrep[[#This Row],[Counting findings2]]&lt;=3000),IF(AND(N77&lt;=2400,N78&gt;=2400),(48-O77),0)+O77+P77,AND(tblFLPrep[[#This Row],[Counting findings2]]&gt;=3001,tblFLPrep[[#This Row],[Counting findings2]]&lt;=3600),IF(AND(N77&lt;=3000,N78&gt;=3000),(60-O77),0)+O77+P77)</f>
        <v>#VALUE!</v>
      </c>
      <c r="P78" t="e">
        <f>IF(AND(tblFLPrep[[#This Row],[Sorting]]="A",tblFLPrep[[#This Row],[Row size]]&gt;0),1,"")</f>
        <v>#VALUE!</v>
      </c>
    </row>
    <row r="79" spans="8:16" ht="15" customHeight="1">
      <c r="H79" t="e" cm="1">
        <f t="array" ref="H79">Requirement('Call Flow'!$D$4,tblFLPrep[[#This Row],[Answer]],tblFLPrep[[#This Row],[Fynding Type]])&amp;IF(tblFLPrep[[#This Row],[Add Missing]]="Yes","No","")</f>
        <v>#VALUE!</v>
      </c>
      <c r="I79" t="e">
        <f>_xlfn.IFS(tblFLPrep[[#This Row],[Add Missing]]="Yes","N/A",OR(tblFLPrep[[#This Row],[Follow Up Required]]="YES",tblFLPrep[[#This Row],[Follow Up Required]]="SI"),LocationInfo[Due Date],tblFLPrep[[#This Row],[Follow Up Required]]="NO*","N/A",tblFLPrep[[#This Row],[Follow Up Required]]="NO","N/A",tblFLPrep[[#This Row],[Follow Up Required]]="","")</f>
        <v>#VALUE!</v>
      </c>
      <c r="J79" t="e">
        <f>IF(((tblFLPrep[[#This Row],[Section]]&lt;&gt;"")*((tblFLPrep[[#This Row],[Follow Up Required]]="Yes")+(tblFLPrep[[#This Row],[Follow Up Required]]="No"))),"A","")</f>
        <v>#VALUE!</v>
      </c>
      <c r="L79" t="str">
        <f>IFERROR(IF(AND(COUNTIF($E$1:E79,tblFLPrep[[#This Row],[Section]])=1,E79&lt;&gt;0,D79=""),"Yes",""),"")</f>
        <v/>
      </c>
      <c r="N79" t="e">
        <f>IF(tblFLPrep[[#This Row],[Sorting]]="","",SUM($M$1:M135))</f>
        <v>#VALUE!</v>
      </c>
      <c r="O79" t="e">
        <f>_xlfn.IFS(P78="Numbering",1,AND(tblFLPrep[[#This Row],[Counting findings2]]&gt;=1,tblFLPrep[[#This Row],[Counting findings2]]&lt;=600),O78+P78,AND(tblFLPrep[[#This Row],[Counting findings2]]&gt;=601,tblFLPrep[[#This Row],[Counting findings2]]&lt;=1200),IF(AND(N78&lt;=600,N79&gt;=600),(12-O78),0)+O78+P78,AND(tblFLPrep[[#This Row],[Counting findings2]]&gt;=1201,tblFLPrep[[#This Row],[Counting findings2]]&lt;=1800),IF(AND(N78&lt;=1200,N79&gt;=1200),(24-O78),0)+O78+P78,AND(tblFLPrep[[#This Row],[Counting findings2]]&gt;=1801,tblFLPrep[[#This Row],[Counting findings2]]&lt;=2400),IF(AND(N78&lt;=1800,N79&gt;=1800),(36-O78),0)+O78+P78,AND(tblFLPrep[[#This Row],[Counting findings2]]&gt;=2401,tblFLPrep[[#This Row],[Counting findings2]]&lt;=3000),IF(AND(N78&lt;=2400,N79&gt;=2400),(48-O78),0)+O78+P78,AND(tblFLPrep[[#This Row],[Counting findings2]]&gt;=3001,tblFLPrep[[#This Row],[Counting findings2]]&lt;=3600),IF(AND(N78&lt;=3000,N79&gt;=3000),(60-O78),0)+O78+P78)</f>
        <v>#VALUE!</v>
      </c>
      <c r="P79" t="e">
        <f>IF(AND(tblFLPrep[[#This Row],[Sorting]]="A",tblFLPrep[[#This Row],[Row size]]&gt;0),1,"")</f>
        <v>#VALUE!</v>
      </c>
    </row>
    <row r="80" spans="8:16" ht="15" customHeight="1">
      <c r="H80" t="e" cm="1">
        <f t="array" ref="H80">Requirement('Call Flow'!$D$4,tblFLPrep[[#This Row],[Answer]],tblFLPrep[[#This Row],[Fynding Type]])&amp;IF(tblFLPrep[[#This Row],[Add Missing]]="Yes","No","")</f>
        <v>#VALUE!</v>
      </c>
      <c r="I80" t="e">
        <f>_xlfn.IFS(tblFLPrep[[#This Row],[Add Missing]]="Yes","N/A",OR(tblFLPrep[[#This Row],[Follow Up Required]]="YES",tblFLPrep[[#This Row],[Follow Up Required]]="SI"),LocationInfo[Due Date],tblFLPrep[[#This Row],[Follow Up Required]]="NO*","N/A",tblFLPrep[[#This Row],[Follow Up Required]]="NO","N/A",tblFLPrep[[#This Row],[Follow Up Required]]="","")</f>
        <v>#VALUE!</v>
      </c>
      <c r="J80" t="e">
        <f>IF(((tblFLPrep[[#This Row],[Section]]&lt;&gt;"")*((tblFLPrep[[#This Row],[Follow Up Required]]="Yes")+(tblFLPrep[[#This Row],[Follow Up Required]]="No"))),"A","")</f>
        <v>#VALUE!</v>
      </c>
      <c r="L80" t="str">
        <f>IFERROR(IF(AND(COUNTIF($E$1:E80,tblFLPrep[[#This Row],[Section]])=1,E80&lt;&gt;0,D80=""),"Yes",""),"")</f>
        <v/>
      </c>
      <c r="N80" t="e">
        <f>IF(tblFLPrep[[#This Row],[Sorting]]="","",SUM($M$1:M136))</f>
        <v>#VALUE!</v>
      </c>
      <c r="O80" t="e">
        <f>_xlfn.IFS(P79="Numbering",1,AND(tblFLPrep[[#This Row],[Counting findings2]]&gt;=1,tblFLPrep[[#This Row],[Counting findings2]]&lt;=600),O79+P79,AND(tblFLPrep[[#This Row],[Counting findings2]]&gt;=601,tblFLPrep[[#This Row],[Counting findings2]]&lt;=1200),IF(AND(N79&lt;=600,N80&gt;=600),(12-O79),0)+O79+P79,AND(tblFLPrep[[#This Row],[Counting findings2]]&gt;=1201,tblFLPrep[[#This Row],[Counting findings2]]&lt;=1800),IF(AND(N79&lt;=1200,N80&gt;=1200),(24-O79),0)+O79+P79,AND(tblFLPrep[[#This Row],[Counting findings2]]&gt;=1801,tblFLPrep[[#This Row],[Counting findings2]]&lt;=2400),IF(AND(N79&lt;=1800,N80&gt;=1800),(36-O79),0)+O79+P79,AND(tblFLPrep[[#This Row],[Counting findings2]]&gt;=2401,tblFLPrep[[#This Row],[Counting findings2]]&lt;=3000),IF(AND(N79&lt;=2400,N80&gt;=2400),(48-O79),0)+O79+P79,AND(tblFLPrep[[#This Row],[Counting findings2]]&gt;=3001,tblFLPrep[[#This Row],[Counting findings2]]&lt;=3600),IF(AND(N79&lt;=3000,N80&gt;=3000),(60-O79),0)+O79+P79)</f>
        <v>#VALUE!</v>
      </c>
      <c r="P80" t="e">
        <f>IF(AND(tblFLPrep[[#This Row],[Sorting]]="A",tblFLPrep[[#This Row],[Row size]]&gt;0),1,"")</f>
        <v>#VALUE!</v>
      </c>
    </row>
    <row r="81" spans="5:16" ht="15" customHeight="1">
      <c r="H81" t="e" cm="1">
        <f t="array" ref="H81">Requirement('Call Flow'!$D$4,tblFLPrep[[#This Row],[Answer]],tblFLPrep[[#This Row],[Fynding Type]])&amp;IF(tblFLPrep[[#This Row],[Add Missing]]="Yes","No","")</f>
        <v>#VALUE!</v>
      </c>
      <c r="I81" t="e">
        <f>_xlfn.IFS(tblFLPrep[[#This Row],[Add Missing]]="Yes","N/A",OR(tblFLPrep[[#This Row],[Follow Up Required]]="YES",tblFLPrep[[#This Row],[Follow Up Required]]="SI"),LocationInfo[Due Date],tblFLPrep[[#This Row],[Follow Up Required]]="NO*","N/A",tblFLPrep[[#This Row],[Follow Up Required]]="NO","N/A",tblFLPrep[[#This Row],[Follow Up Required]]="","")</f>
        <v>#VALUE!</v>
      </c>
      <c r="J81" t="e">
        <f>IF(((tblFLPrep[[#This Row],[Section]]&lt;&gt;"")*((tblFLPrep[[#This Row],[Follow Up Required]]="Yes")+(tblFLPrep[[#This Row],[Follow Up Required]]="No"))),"A","")</f>
        <v>#VALUE!</v>
      </c>
      <c r="L81" t="str">
        <f>IFERROR(IF(AND(COUNTIF($E$1:E81,tblFLPrep[[#This Row],[Section]])=1,E81&lt;&gt;0,D81=""),"Yes",""),"")</f>
        <v/>
      </c>
      <c r="N81" t="e">
        <f>IF(tblFLPrep[[#This Row],[Sorting]]="","",SUM($M$1:M137))</f>
        <v>#VALUE!</v>
      </c>
      <c r="O81" t="e">
        <f>_xlfn.IFS(P80="Numbering",1,AND(tblFLPrep[[#This Row],[Counting findings2]]&gt;=1,tblFLPrep[[#This Row],[Counting findings2]]&lt;=600),O80+P80,AND(tblFLPrep[[#This Row],[Counting findings2]]&gt;=601,tblFLPrep[[#This Row],[Counting findings2]]&lt;=1200),IF(AND(N80&lt;=600,N81&gt;=600),(12-O80),0)+O80+P80,AND(tblFLPrep[[#This Row],[Counting findings2]]&gt;=1201,tblFLPrep[[#This Row],[Counting findings2]]&lt;=1800),IF(AND(N80&lt;=1200,N81&gt;=1200),(24-O80),0)+O80+P80,AND(tblFLPrep[[#This Row],[Counting findings2]]&gt;=1801,tblFLPrep[[#This Row],[Counting findings2]]&lt;=2400),IF(AND(N80&lt;=1800,N81&gt;=1800),(36-O80),0)+O80+P80,AND(tblFLPrep[[#This Row],[Counting findings2]]&gt;=2401,tblFLPrep[[#This Row],[Counting findings2]]&lt;=3000),IF(AND(N80&lt;=2400,N81&gt;=2400),(48-O80),0)+O80+P80,AND(tblFLPrep[[#This Row],[Counting findings2]]&gt;=3001,tblFLPrep[[#This Row],[Counting findings2]]&lt;=3600),IF(AND(N80&lt;=3000,N81&gt;=3000),(60-O80),0)+O80+P80)</f>
        <v>#VALUE!</v>
      </c>
      <c r="P81" t="e">
        <f>IF(AND(tblFLPrep[[#This Row],[Sorting]]="A",tblFLPrep[[#This Row],[Row size]]&gt;0),1,"")</f>
        <v>#VALUE!</v>
      </c>
    </row>
    <row r="82" spans="5:16" ht="15" customHeight="1">
      <c r="H82" t="e" cm="1">
        <f t="array" ref="H82">Requirement('Call Flow'!$D$4,tblFLPrep[[#This Row],[Answer]],tblFLPrep[[#This Row],[Fynding Type]])&amp;IF(tblFLPrep[[#This Row],[Add Missing]]="Yes","No","")</f>
        <v>#VALUE!</v>
      </c>
      <c r="I82" t="e">
        <f>_xlfn.IFS(tblFLPrep[[#This Row],[Add Missing]]="Yes","N/A",OR(tblFLPrep[[#This Row],[Follow Up Required]]="YES",tblFLPrep[[#This Row],[Follow Up Required]]="SI"),LocationInfo[Due Date],tblFLPrep[[#This Row],[Follow Up Required]]="NO*","N/A",tblFLPrep[[#This Row],[Follow Up Required]]="NO","N/A",tblFLPrep[[#This Row],[Follow Up Required]]="","")</f>
        <v>#VALUE!</v>
      </c>
      <c r="J82" t="e">
        <f>IF(((tblFLPrep[[#This Row],[Section]]&lt;&gt;"")*((tblFLPrep[[#This Row],[Follow Up Required]]="Yes")+(tblFLPrep[[#This Row],[Follow Up Required]]="No"))),"A","")</f>
        <v>#VALUE!</v>
      </c>
      <c r="L82" t="str">
        <f>IFERROR(IF(AND(COUNTIF($E$1:E82,tblFLPrep[[#This Row],[Section]])=1,E82&lt;&gt;0,D82=""),"Yes",""),"")</f>
        <v/>
      </c>
      <c r="N82" t="e">
        <f>IF(tblFLPrep[[#This Row],[Sorting]]="","",SUM($M$1:M138))</f>
        <v>#VALUE!</v>
      </c>
      <c r="O82" t="e">
        <f>_xlfn.IFS(P81="Numbering",1,AND(tblFLPrep[[#This Row],[Counting findings2]]&gt;=1,tblFLPrep[[#This Row],[Counting findings2]]&lt;=600),O81+P81,AND(tblFLPrep[[#This Row],[Counting findings2]]&gt;=601,tblFLPrep[[#This Row],[Counting findings2]]&lt;=1200),IF(AND(N81&lt;=600,N82&gt;=600),(12-O81),0)+O81+P81,AND(tblFLPrep[[#This Row],[Counting findings2]]&gt;=1201,tblFLPrep[[#This Row],[Counting findings2]]&lt;=1800),IF(AND(N81&lt;=1200,N82&gt;=1200),(24-O81),0)+O81+P81,AND(tblFLPrep[[#This Row],[Counting findings2]]&gt;=1801,tblFLPrep[[#This Row],[Counting findings2]]&lt;=2400),IF(AND(N81&lt;=1800,N82&gt;=1800),(36-O81),0)+O81+P81,AND(tblFLPrep[[#This Row],[Counting findings2]]&gt;=2401,tblFLPrep[[#This Row],[Counting findings2]]&lt;=3000),IF(AND(N81&lt;=2400,N82&gt;=2400),(48-O81),0)+O81+P81,AND(tblFLPrep[[#This Row],[Counting findings2]]&gt;=3001,tblFLPrep[[#This Row],[Counting findings2]]&lt;=3600),IF(AND(N81&lt;=3000,N82&gt;=3000),(60-O81),0)+O81+P81)</f>
        <v>#VALUE!</v>
      </c>
      <c r="P82" t="e">
        <f>IF(AND(tblFLPrep[[#This Row],[Sorting]]="A",tblFLPrep[[#This Row],[Row size]]&gt;0),1,"")</f>
        <v>#VALUE!</v>
      </c>
    </row>
    <row r="83" spans="5:16" ht="15" customHeight="1">
      <c r="H83" t="e" cm="1">
        <f t="array" ref="H83">Requirement('Call Flow'!$D$4,tblFLPrep[[#This Row],[Answer]],tblFLPrep[[#This Row],[Fynding Type]])&amp;IF(tblFLPrep[[#This Row],[Add Missing]]="Yes","No","")</f>
        <v>#VALUE!</v>
      </c>
      <c r="I83" t="e">
        <f>_xlfn.IFS(tblFLPrep[[#This Row],[Add Missing]]="Yes","N/A",OR(tblFLPrep[[#This Row],[Follow Up Required]]="YES",tblFLPrep[[#This Row],[Follow Up Required]]="SI"),LocationInfo[Due Date],tblFLPrep[[#This Row],[Follow Up Required]]="NO*","N/A",tblFLPrep[[#This Row],[Follow Up Required]]="NO","N/A",tblFLPrep[[#This Row],[Follow Up Required]]="","")</f>
        <v>#VALUE!</v>
      </c>
      <c r="J83" t="e">
        <f>IF(((tblFLPrep[[#This Row],[Section]]&lt;&gt;"")*((tblFLPrep[[#This Row],[Follow Up Required]]="Yes")+(tblFLPrep[[#This Row],[Follow Up Required]]="No"))),"A","")</f>
        <v>#VALUE!</v>
      </c>
      <c r="L83" t="str">
        <f>IFERROR(IF(AND(COUNTIF($E$1:E83,tblFLPrep[[#This Row],[Section]])=1,E83&lt;&gt;0,D83=""),"Yes",""),"")</f>
        <v/>
      </c>
      <c r="N83" t="e">
        <f>IF(tblFLPrep[[#This Row],[Sorting]]="","",SUM($M$1:M139))</f>
        <v>#VALUE!</v>
      </c>
      <c r="O83" t="e">
        <f>_xlfn.IFS(P82="Numbering",1,AND(tblFLPrep[[#This Row],[Counting findings2]]&gt;=1,tblFLPrep[[#This Row],[Counting findings2]]&lt;=600),O82+P82,AND(tblFLPrep[[#This Row],[Counting findings2]]&gt;=601,tblFLPrep[[#This Row],[Counting findings2]]&lt;=1200),IF(AND(N82&lt;=600,N83&gt;=600),(12-O82),0)+O82+P82,AND(tblFLPrep[[#This Row],[Counting findings2]]&gt;=1201,tblFLPrep[[#This Row],[Counting findings2]]&lt;=1800),IF(AND(N82&lt;=1200,N83&gt;=1200),(24-O82),0)+O82+P82,AND(tblFLPrep[[#This Row],[Counting findings2]]&gt;=1801,tblFLPrep[[#This Row],[Counting findings2]]&lt;=2400),IF(AND(N82&lt;=1800,N83&gt;=1800),(36-O82),0)+O82+P82,AND(tblFLPrep[[#This Row],[Counting findings2]]&gt;=2401,tblFLPrep[[#This Row],[Counting findings2]]&lt;=3000),IF(AND(N82&lt;=2400,N83&gt;=2400),(48-O82),0)+O82+P82,AND(tblFLPrep[[#This Row],[Counting findings2]]&gt;=3001,tblFLPrep[[#This Row],[Counting findings2]]&lt;=3600),IF(AND(N82&lt;=3000,N83&gt;=3000),(60-O82),0)+O82+P82)</f>
        <v>#VALUE!</v>
      </c>
      <c r="P83" t="e">
        <f>IF(AND(tblFLPrep[[#This Row],[Sorting]]="A",tblFLPrep[[#This Row],[Row size]]&gt;0),1,"")</f>
        <v>#VALUE!</v>
      </c>
    </row>
    <row r="84" spans="5:16" ht="15" customHeight="1">
      <c r="H84" t="e" cm="1">
        <f t="array" ref="H84">Requirement('Call Flow'!$D$4,tblFLPrep[[#This Row],[Answer]],tblFLPrep[[#This Row],[Fynding Type]])&amp;IF(tblFLPrep[[#This Row],[Add Missing]]="Yes","No","")</f>
        <v>#VALUE!</v>
      </c>
      <c r="I84" t="e">
        <f>_xlfn.IFS(tblFLPrep[[#This Row],[Add Missing]]="Yes","N/A",OR(tblFLPrep[[#This Row],[Follow Up Required]]="YES",tblFLPrep[[#This Row],[Follow Up Required]]="SI"),LocationInfo[Due Date],tblFLPrep[[#This Row],[Follow Up Required]]="NO*","N/A",tblFLPrep[[#This Row],[Follow Up Required]]="NO","N/A",tblFLPrep[[#This Row],[Follow Up Required]]="","")</f>
        <v>#VALUE!</v>
      </c>
      <c r="J84" t="e">
        <f>IF(((tblFLPrep[[#This Row],[Section]]&lt;&gt;"")*((tblFLPrep[[#This Row],[Follow Up Required]]="Yes")+(tblFLPrep[[#This Row],[Follow Up Required]]="No"))),"A","")</f>
        <v>#VALUE!</v>
      </c>
      <c r="L84" t="str">
        <f>IFERROR(IF(AND(COUNTIF($E$1:E84,tblFLPrep[[#This Row],[Section]])=1,E84&lt;&gt;0,D84=""),"Yes",""),"")</f>
        <v/>
      </c>
      <c r="N84" t="e">
        <f>IF(tblFLPrep[[#This Row],[Sorting]]="","",SUM($M$1:M140))</f>
        <v>#VALUE!</v>
      </c>
      <c r="O84" t="e">
        <f>_xlfn.IFS(P83="Numbering",1,AND(tblFLPrep[[#This Row],[Counting findings2]]&gt;=1,tblFLPrep[[#This Row],[Counting findings2]]&lt;=600),O83+P83,AND(tblFLPrep[[#This Row],[Counting findings2]]&gt;=601,tblFLPrep[[#This Row],[Counting findings2]]&lt;=1200),IF(AND(N83&lt;=600,N84&gt;=600),(12-O83),0)+O83+P83,AND(tblFLPrep[[#This Row],[Counting findings2]]&gt;=1201,tblFLPrep[[#This Row],[Counting findings2]]&lt;=1800),IF(AND(N83&lt;=1200,N84&gt;=1200),(24-O83),0)+O83+P83,AND(tblFLPrep[[#This Row],[Counting findings2]]&gt;=1801,tblFLPrep[[#This Row],[Counting findings2]]&lt;=2400),IF(AND(N83&lt;=1800,N84&gt;=1800),(36-O83),0)+O83+P83,AND(tblFLPrep[[#This Row],[Counting findings2]]&gt;=2401,tblFLPrep[[#This Row],[Counting findings2]]&lt;=3000),IF(AND(N83&lt;=2400,N84&gt;=2400),(48-O83),0)+O83+P83,AND(tblFLPrep[[#This Row],[Counting findings2]]&gt;=3001,tblFLPrep[[#This Row],[Counting findings2]]&lt;=3600),IF(AND(N83&lt;=3000,N84&gt;=3000),(60-O83),0)+O83+P83)</f>
        <v>#VALUE!</v>
      </c>
      <c r="P84" t="e">
        <f>IF(AND(tblFLPrep[[#This Row],[Sorting]]="A",tblFLPrep[[#This Row],[Row size]]&gt;0),1,"")</f>
        <v>#VALUE!</v>
      </c>
    </row>
    <row r="85" spans="5:16" ht="15" customHeight="1">
      <c r="H85" t="e" cm="1">
        <f t="array" ref="H85">Requirement('Call Flow'!$D$4,tblFLPrep[[#This Row],[Answer]],tblFLPrep[[#This Row],[Fynding Type]])&amp;IF(tblFLPrep[[#This Row],[Add Missing]]="Yes","No","")</f>
        <v>#VALUE!</v>
      </c>
      <c r="I85" t="e">
        <f>_xlfn.IFS(tblFLPrep[[#This Row],[Add Missing]]="Yes","N/A",OR(tblFLPrep[[#This Row],[Follow Up Required]]="YES",tblFLPrep[[#This Row],[Follow Up Required]]="SI"),LocationInfo[Due Date],tblFLPrep[[#This Row],[Follow Up Required]]="NO*","N/A",tblFLPrep[[#This Row],[Follow Up Required]]="NO","N/A",tblFLPrep[[#This Row],[Follow Up Required]]="","")</f>
        <v>#VALUE!</v>
      </c>
      <c r="J85" t="e">
        <f>IF(((tblFLPrep[[#This Row],[Section]]&lt;&gt;"")*((tblFLPrep[[#This Row],[Follow Up Required]]="Yes")+(tblFLPrep[[#This Row],[Follow Up Required]]="No"))),"A","")</f>
        <v>#VALUE!</v>
      </c>
      <c r="L85" t="str">
        <f>IFERROR(IF(AND(COUNTIF($E$1:E85,tblFLPrep[[#This Row],[Section]])=1,E85&lt;&gt;0,D85=""),"Yes",""),"")</f>
        <v/>
      </c>
      <c r="N85" t="e">
        <f>IF(tblFLPrep[[#This Row],[Sorting]]="","",SUM($M$1:M141))</f>
        <v>#VALUE!</v>
      </c>
      <c r="O85" t="e">
        <f>_xlfn.IFS(P84="Numbering",1,AND(tblFLPrep[[#This Row],[Counting findings2]]&gt;=1,tblFLPrep[[#This Row],[Counting findings2]]&lt;=600),O84+P84,AND(tblFLPrep[[#This Row],[Counting findings2]]&gt;=601,tblFLPrep[[#This Row],[Counting findings2]]&lt;=1200),IF(AND(N84&lt;=600,N85&gt;=600),(12-O84),0)+O84+P84,AND(tblFLPrep[[#This Row],[Counting findings2]]&gt;=1201,tblFLPrep[[#This Row],[Counting findings2]]&lt;=1800),IF(AND(N84&lt;=1200,N85&gt;=1200),(24-O84),0)+O84+P84,AND(tblFLPrep[[#This Row],[Counting findings2]]&gt;=1801,tblFLPrep[[#This Row],[Counting findings2]]&lt;=2400),IF(AND(N84&lt;=1800,N85&gt;=1800),(36-O84),0)+O84+P84,AND(tblFLPrep[[#This Row],[Counting findings2]]&gt;=2401,tblFLPrep[[#This Row],[Counting findings2]]&lt;=3000),IF(AND(N84&lt;=2400,N85&gt;=2400),(48-O84),0)+O84+P84,AND(tblFLPrep[[#This Row],[Counting findings2]]&gt;=3001,tblFLPrep[[#This Row],[Counting findings2]]&lt;=3600),IF(AND(N84&lt;=3000,N85&gt;=3000),(60-O84),0)+O84+P84)</f>
        <v>#VALUE!</v>
      </c>
      <c r="P85" t="e">
        <f>IF(AND(tblFLPrep[[#This Row],[Sorting]]="A",tblFLPrep[[#This Row],[Row size]]&gt;0),1,"")</f>
        <v>#VALUE!</v>
      </c>
    </row>
    <row r="86" spans="5:16" ht="15" customHeight="1">
      <c r="H86" t="e" cm="1">
        <f t="array" ref="H86">Requirement('Call Flow'!$D$4,tblFLPrep[[#This Row],[Answer]],tblFLPrep[[#This Row],[Fynding Type]])&amp;IF(tblFLPrep[[#This Row],[Add Missing]]="Yes","No","")</f>
        <v>#VALUE!</v>
      </c>
      <c r="I86" t="e">
        <f>_xlfn.IFS(tblFLPrep[[#This Row],[Add Missing]]="Yes","N/A",OR(tblFLPrep[[#This Row],[Follow Up Required]]="YES",tblFLPrep[[#This Row],[Follow Up Required]]="SI"),LocationInfo[Due Date],tblFLPrep[[#This Row],[Follow Up Required]]="NO*","N/A",tblFLPrep[[#This Row],[Follow Up Required]]="NO","N/A",tblFLPrep[[#This Row],[Follow Up Required]]="","")</f>
        <v>#VALUE!</v>
      </c>
      <c r="J86" t="e">
        <f>IF(((tblFLPrep[[#This Row],[Section]]&lt;&gt;"")*((tblFLPrep[[#This Row],[Follow Up Required]]="Yes")+(tblFLPrep[[#This Row],[Follow Up Required]]="No"))),"A","")</f>
        <v>#VALUE!</v>
      </c>
      <c r="L86" t="str">
        <f>IFERROR(IF(AND(COUNTIF($E$1:E86,tblFLPrep[[#This Row],[Section]])=1,E86&lt;&gt;0,D86=""),"Yes",""),"")</f>
        <v/>
      </c>
      <c r="N86" t="e">
        <f>IF(tblFLPrep[[#This Row],[Sorting]]="","",SUM($M$1:M142))</f>
        <v>#VALUE!</v>
      </c>
      <c r="O86" t="e">
        <f>_xlfn.IFS(P85="Numbering",1,AND(tblFLPrep[[#This Row],[Counting findings2]]&gt;=1,tblFLPrep[[#This Row],[Counting findings2]]&lt;=600),O85+P85,AND(tblFLPrep[[#This Row],[Counting findings2]]&gt;=601,tblFLPrep[[#This Row],[Counting findings2]]&lt;=1200),IF(AND(N85&lt;=600,N86&gt;=600),(12-O85),0)+O85+P85,AND(tblFLPrep[[#This Row],[Counting findings2]]&gt;=1201,tblFLPrep[[#This Row],[Counting findings2]]&lt;=1800),IF(AND(N85&lt;=1200,N86&gt;=1200),(24-O85),0)+O85+P85,AND(tblFLPrep[[#This Row],[Counting findings2]]&gt;=1801,tblFLPrep[[#This Row],[Counting findings2]]&lt;=2400),IF(AND(N85&lt;=1800,N86&gt;=1800),(36-O85),0)+O85+P85,AND(tblFLPrep[[#This Row],[Counting findings2]]&gt;=2401,tblFLPrep[[#This Row],[Counting findings2]]&lt;=3000),IF(AND(N85&lt;=2400,N86&gt;=2400),(48-O85),0)+O85+P85,AND(tblFLPrep[[#This Row],[Counting findings2]]&gt;=3001,tblFLPrep[[#This Row],[Counting findings2]]&lt;=3600),IF(AND(N85&lt;=3000,N86&gt;=3000),(60-O85),0)+O85+P85)</f>
        <v>#VALUE!</v>
      </c>
      <c r="P86" t="e">
        <f>IF(AND(tblFLPrep[[#This Row],[Sorting]]="A",tblFLPrep[[#This Row],[Row size]]&gt;0),1,"")</f>
        <v>#VALUE!</v>
      </c>
    </row>
    <row r="87" spans="5:16" ht="15" customHeight="1">
      <c r="H87" t="e" cm="1">
        <f t="array" ref="H87">Requirement('Call Flow'!$D$4,tblFLPrep[[#This Row],[Answer]],tblFLPrep[[#This Row],[Fynding Type]])&amp;IF(tblFLPrep[[#This Row],[Add Missing]]="Yes","No","")</f>
        <v>#VALUE!</v>
      </c>
      <c r="I87" t="e">
        <f>_xlfn.IFS(tblFLPrep[[#This Row],[Add Missing]]="Yes","N/A",OR(tblFLPrep[[#This Row],[Follow Up Required]]="YES",tblFLPrep[[#This Row],[Follow Up Required]]="SI"),LocationInfo[Due Date],tblFLPrep[[#This Row],[Follow Up Required]]="NO*","N/A",tblFLPrep[[#This Row],[Follow Up Required]]="NO","N/A",tblFLPrep[[#This Row],[Follow Up Required]]="","")</f>
        <v>#VALUE!</v>
      </c>
      <c r="J87" t="e">
        <f>IF(((tblFLPrep[[#This Row],[Section]]&lt;&gt;"")*((tblFLPrep[[#This Row],[Follow Up Required]]="Yes")+(tblFLPrep[[#This Row],[Follow Up Required]]="No"))),"A","")</f>
        <v>#VALUE!</v>
      </c>
      <c r="L87" t="str">
        <f>IFERROR(IF(AND(COUNTIF($E$1:E87,tblFLPrep[[#This Row],[Section]])=1,E87&lt;&gt;0,D87=""),"Yes",""),"")</f>
        <v/>
      </c>
      <c r="N87" t="e">
        <f>IF(tblFLPrep[[#This Row],[Sorting]]="","",SUM($M$1:M143))</f>
        <v>#VALUE!</v>
      </c>
      <c r="O87" t="e">
        <f>_xlfn.IFS(P86="Numbering",1,AND(tblFLPrep[[#This Row],[Counting findings2]]&gt;=1,tblFLPrep[[#This Row],[Counting findings2]]&lt;=600),O86+P86,AND(tblFLPrep[[#This Row],[Counting findings2]]&gt;=601,tblFLPrep[[#This Row],[Counting findings2]]&lt;=1200),IF(AND(N86&lt;=600,N87&gt;=600),(12-O86),0)+O86+P86,AND(tblFLPrep[[#This Row],[Counting findings2]]&gt;=1201,tblFLPrep[[#This Row],[Counting findings2]]&lt;=1800),IF(AND(N86&lt;=1200,N87&gt;=1200),(24-O86),0)+O86+P86,AND(tblFLPrep[[#This Row],[Counting findings2]]&gt;=1801,tblFLPrep[[#This Row],[Counting findings2]]&lt;=2400),IF(AND(N86&lt;=1800,N87&gt;=1800),(36-O86),0)+O86+P86,AND(tblFLPrep[[#This Row],[Counting findings2]]&gt;=2401,tblFLPrep[[#This Row],[Counting findings2]]&lt;=3000),IF(AND(N86&lt;=2400,N87&gt;=2400),(48-O86),0)+O86+P86,AND(tblFLPrep[[#This Row],[Counting findings2]]&gt;=3001,tblFLPrep[[#This Row],[Counting findings2]]&lt;=3600),IF(AND(N86&lt;=3000,N87&gt;=3000),(60-O86),0)+O86+P86)</f>
        <v>#VALUE!</v>
      </c>
      <c r="P87" t="e">
        <f>IF(AND(tblFLPrep[[#This Row],[Sorting]]="A",tblFLPrep[[#This Row],[Row size]]&gt;0),1,"")</f>
        <v>#VALUE!</v>
      </c>
    </row>
    <row r="88" spans="5:16" ht="15" customHeight="1">
      <c r="H88" t="e" cm="1">
        <f t="array" ref="H88">Requirement('Call Flow'!$D$4,tblFLPrep[[#This Row],[Answer]],tblFLPrep[[#This Row],[Fynding Type]])&amp;IF(tblFLPrep[[#This Row],[Add Missing]]="Yes","No","")</f>
        <v>#VALUE!</v>
      </c>
      <c r="I88" t="e">
        <f>_xlfn.IFS(tblFLPrep[[#This Row],[Add Missing]]="Yes","N/A",OR(tblFLPrep[[#This Row],[Follow Up Required]]="YES",tblFLPrep[[#This Row],[Follow Up Required]]="SI"),LocationInfo[Due Date],tblFLPrep[[#This Row],[Follow Up Required]]="NO*","N/A",tblFLPrep[[#This Row],[Follow Up Required]]="NO","N/A",tblFLPrep[[#This Row],[Follow Up Required]]="","")</f>
        <v>#VALUE!</v>
      </c>
      <c r="J88" t="e">
        <f>IF(((tblFLPrep[[#This Row],[Section]]&lt;&gt;"")*((tblFLPrep[[#This Row],[Follow Up Required]]="Yes")+(tblFLPrep[[#This Row],[Follow Up Required]]="No"))),"A","")</f>
        <v>#VALUE!</v>
      </c>
      <c r="L88" t="str">
        <f>IFERROR(IF(AND(COUNTIF($E$1:E88,tblFLPrep[[#This Row],[Section]])=1,E88&lt;&gt;0,D88=""),"Yes",""),"")</f>
        <v/>
      </c>
      <c r="N88" t="e">
        <f>IF(tblFLPrep[[#This Row],[Sorting]]="","",SUM($M$1:M144))</f>
        <v>#VALUE!</v>
      </c>
      <c r="O88" t="e">
        <f>_xlfn.IFS(P87="Numbering",1,AND(tblFLPrep[[#This Row],[Counting findings2]]&gt;=1,tblFLPrep[[#This Row],[Counting findings2]]&lt;=600),O87+P87,AND(tblFLPrep[[#This Row],[Counting findings2]]&gt;=601,tblFLPrep[[#This Row],[Counting findings2]]&lt;=1200),IF(AND(N87&lt;=600,N88&gt;=600),(12-O87),0)+O87+P87,AND(tblFLPrep[[#This Row],[Counting findings2]]&gt;=1201,tblFLPrep[[#This Row],[Counting findings2]]&lt;=1800),IF(AND(N87&lt;=1200,N88&gt;=1200),(24-O87),0)+O87+P87,AND(tblFLPrep[[#This Row],[Counting findings2]]&gt;=1801,tblFLPrep[[#This Row],[Counting findings2]]&lt;=2400),IF(AND(N87&lt;=1800,N88&gt;=1800),(36-O87),0)+O87+P87,AND(tblFLPrep[[#This Row],[Counting findings2]]&gt;=2401,tblFLPrep[[#This Row],[Counting findings2]]&lt;=3000),IF(AND(N87&lt;=2400,N88&gt;=2400),(48-O87),0)+O87+P87,AND(tblFLPrep[[#This Row],[Counting findings2]]&gt;=3001,tblFLPrep[[#This Row],[Counting findings2]]&lt;=3600),IF(AND(N87&lt;=3000,N88&gt;=3000),(60-O87),0)+O87+P87)</f>
        <v>#VALUE!</v>
      </c>
      <c r="P88" t="e">
        <f>IF(AND(tblFLPrep[[#This Row],[Sorting]]="A",tblFLPrep[[#This Row],[Row size]]&gt;0),1,"")</f>
        <v>#VALUE!</v>
      </c>
    </row>
    <row r="89" spans="5:16" ht="15" customHeight="1">
      <c r="H89" t="e" cm="1">
        <f t="array" ref="H89">Requirement('Call Flow'!$D$4,tblFLPrep[[#This Row],[Answer]],tblFLPrep[[#This Row],[Fynding Type]])&amp;IF(tblFLPrep[[#This Row],[Add Missing]]="Yes","No","")</f>
        <v>#VALUE!</v>
      </c>
      <c r="I89" t="e">
        <f>_xlfn.IFS(tblFLPrep[[#This Row],[Add Missing]]="Yes","N/A",OR(tblFLPrep[[#This Row],[Follow Up Required]]="YES",tblFLPrep[[#This Row],[Follow Up Required]]="SI"),LocationInfo[Due Date],tblFLPrep[[#This Row],[Follow Up Required]]="NO*","N/A",tblFLPrep[[#This Row],[Follow Up Required]]="NO","N/A",tblFLPrep[[#This Row],[Follow Up Required]]="","")</f>
        <v>#VALUE!</v>
      </c>
      <c r="J89" t="e">
        <f>IF(((tblFLPrep[[#This Row],[Section]]&lt;&gt;"")*((tblFLPrep[[#This Row],[Follow Up Required]]="Yes")+(tblFLPrep[[#This Row],[Follow Up Required]]="No"))),"A","")</f>
        <v>#VALUE!</v>
      </c>
      <c r="L89" t="str">
        <f>IFERROR(IF(AND(COUNTIF($E$1:E89,tblFLPrep[[#This Row],[Section]])=1,E89&lt;&gt;0,D89=""),"Yes",""),"")</f>
        <v/>
      </c>
      <c r="N89" t="e">
        <f>IF(tblFLPrep[[#This Row],[Sorting]]="","",SUM($M$1:M145))</f>
        <v>#VALUE!</v>
      </c>
      <c r="O89" t="e">
        <f>_xlfn.IFS(P88="Numbering",1,AND(tblFLPrep[[#This Row],[Counting findings2]]&gt;=1,tblFLPrep[[#This Row],[Counting findings2]]&lt;=600),O88+P88,AND(tblFLPrep[[#This Row],[Counting findings2]]&gt;=601,tblFLPrep[[#This Row],[Counting findings2]]&lt;=1200),IF(AND(N88&lt;=600,N89&gt;=600),(12-O88),0)+O88+P88,AND(tblFLPrep[[#This Row],[Counting findings2]]&gt;=1201,tblFLPrep[[#This Row],[Counting findings2]]&lt;=1800),IF(AND(N88&lt;=1200,N89&gt;=1200),(24-O88),0)+O88+P88,AND(tblFLPrep[[#This Row],[Counting findings2]]&gt;=1801,tblFLPrep[[#This Row],[Counting findings2]]&lt;=2400),IF(AND(N88&lt;=1800,N89&gt;=1800),(36-O88),0)+O88+P88,AND(tblFLPrep[[#This Row],[Counting findings2]]&gt;=2401,tblFLPrep[[#This Row],[Counting findings2]]&lt;=3000),IF(AND(N88&lt;=2400,N89&gt;=2400),(48-O88),0)+O88+P88,AND(tblFLPrep[[#This Row],[Counting findings2]]&gt;=3001,tblFLPrep[[#This Row],[Counting findings2]]&lt;=3600),IF(AND(N88&lt;=3000,N89&gt;=3000),(60-O88),0)+O88+P88)</f>
        <v>#VALUE!</v>
      </c>
      <c r="P89" t="e">
        <f>IF(AND(tblFLPrep[[#This Row],[Sorting]]="A",tblFLPrep[[#This Row],[Row size]]&gt;0),1,"")</f>
        <v>#VALUE!</v>
      </c>
    </row>
    <row r="90" spans="5:16" ht="15" customHeight="1">
      <c r="H90" t="e" cm="1">
        <f t="array" ref="H90">Requirement('Call Flow'!$D$4,tblFLPrep[[#This Row],[Answer]],tblFLPrep[[#This Row],[Fynding Type]])&amp;IF(tblFLPrep[[#This Row],[Add Missing]]="Yes","No","")</f>
        <v>#VALUE!</v>
      </c>
      <c r="I90" t="e">
        <f>_xlfn.IFS(tblFLPrep[[#This Row],[Add Missing]]="Yes","N/A",OR(tblFLPrep[[#This Row],[Follow Up Required]]="YES",tblFLPrep[[#This Row],[Follow Up Required]]="SI"),LocationInfo[Due Date],tblFLPrep[[#This Row],[Follow Up Required]]="NO*","N/A",tblFLPrep[[#This Row],[Follow Up Required]]="NO","N/A",tblFLPrep[[#This Row],[Follow Up Required]]="","")</f>
        <v>#VALUE!</v>
      </c>
      <c r="J90" t="e">
        <f>IF(((tblFLPrep[[#This Row],[Section]]&lt;&gt;"")*((tblFLPrep[[#This Row],[Follow Up Required]]="Yes")+(tblFLPrep[[#This Row],[Follow Up Required]]="No"))),"A","")</f>
        <v>#VALUE!</v>
      </c>
      <c r="L90" t="str">
        <f>IFERROR(IF(AND(COUNTIF($E$1:E90,tblFLPrep[[#This Row],[Section]])=1,E90&lt;&gt;0,D90=""),"Yes",""),"")</f>
        <v/>
      </c>
      <c r="N90" t="e">
        <f>IF(tblFLPrep[[#This Row],[Sorting]]="","",SUM($M$1:M146))</f>
        <v>#VALUE!</v>
      </c>
      <c r="O90" t="e">
        <f>_xlfn.IFS(P89="Numbering",1,AND(tblFLPrep[[#This Row],[Counting findings2]]&gt;=1,tblFLPrep[[#This Row],[Counting findings2]]&lt;=600),O89+P89,AND(tblFLPrep[[#This Row],[Counting findings2]]&gt;=601,tblFLPrep[[#This Row],[Counting findings2]]&lt;=1200),IF(AND(N89&lt;=600,N90&gt;=600),(12-O89),0)+O89+P89,AND(tblFLPrep[[#This Row],[Counting findings2]]&gt;=1201,tblFLPrep[[#This Row],[Counting findings2]]&lt;=1800),IF(AND(N89&lt;=1200,N90&gt;=1200),(24-O89),0)+O89+P89,AND(tblFLPrep[[#This Row],[Counting findings2]]&gt;=1801,tblFLPrep[[#This Row],[Counting findings2]]&lt;=2400),IF(AND(N89&lt;=1800,N90&gt;=1800),(36-O89),0)+O89+P89,AND(tblFLPrep[[#This Row],[Counting findings2]]&gt;=2401,tblFLPrep[[#This Row],[Counting findings2]]&lt;=3000),IF(AND(N89&lt;=2400,N90&gt;=2400),(48-O89),0)+O89+P89,AND(tblFLPrep[[#This Row],[Counting findings2]]&gt;=3001,tblFLPrep[[#This Row],[Counting findings2]]&lt;=3600),IF(AND(N89&lt;=3000,N90&gt;=3000),(60-O89),0)+O89+P89)</f>
        <v>#VALUE!</v>
      </c>
      <c r="P90" t="e">
        <f>IF(AND(tblFLPrep[[#This Row],[Sorting]]="A",tblFLPrep[[#This Row],[Row size]]&gt;0),1,"")</f>
        <v>#VALUE!</v>
      </c>
    </row>
    <row r="91" spans="5:16" ht="15" customHeight="1">
      <c r="H91" t="e" cm="1">
        <f t="array" ref="H91">Requirement('Call Flow'!$D$4,tblFLPrep[[#This Row],[Answer]],tblFLPrep[[#This Row],[Fynding Type]])&amp;IF(tblFLPrep[[#This Row],[Add Missing]]="Yes","No","")</f>
        <v>#VALUE!</v>
      </c>
      <c r="I91" t="e">
        <f>_xlfn.IFS(tblFLPrep[[#This Row],[Add Missing]]="Yes","N/A",OR(tblFLPrep[[#This Row],[Follow Up Required]]="YES",tblFLPrep[[#This Row],[Follow Up Required]]="SI"),LocationInfo[Due Date],tblFLPrep[[#This Row],[Follow Up Required]]="NO*","N/A",tblFLPrep[[#This Row],[Follow Up Required]]="NO","N/A",tblFLPrep[[#This Row],[Follow Up Required]]="","")</f>
        <v>#VALUE!</v>
      </c>
      <c r="J91" t="e">
        <f>IF(((tblFLPrep[[#This Row],[Section]]&lt;&gt;"")*((tblFLPrep[[#This Row],[Follow Up Required]]="Yes")+(tblFLPrep[[#This Row],[Follow Up Required]]="No"))),"A","")</f>
        <v>#VALUE!</v>
      </c>
      <c r="L91" t="str">
        <f>IFERROR(IF(AND(COUNTIF($E$1:E91,tblFLPrep[[#This Row],[Section]])=1,E91&lt;&gt;0,D91=""),"Yes",""),"")</f>
        <v/>
      </c>
      <c r="N91" t="e">
        <f>IF(tblFLPrep[[#This Row],[Sorting]]="","",SUM($M$1:M147))</f>
        <v>#VALUE!</v>
      </c>
      <c r="O91" t="e">
        <f>_xlfn.IFS(P90="Numbering",1,AND(tblFLPrep[[#This Row],[Counting findings2]]&gt;=1,tblFLPrep[[#This Row],[Counting findings2]]&lt;=600),O90+P90,AND(tblFLPrep[[#This Row],[Counting findings2]]&gt;=601,tblFLPrep[[#This Row],[Counting findings2]]&lt;=1200),IF(AND(N90&lt;=600,N91&gt;=600),(12-O90),0)+O90+P90,AND(tblFLPrep[[#This Row],[Counting findings2]]&gt;=1201,tblFLPrep[[#This Row],[Counting findings2]]&lt;=1800),IF(AND(N90&lt;=1200,N91&gt;=1200),(24-O90),0)+O90+P90,AND(tblFLPrep[[#This Row],[Counting findings2]]&gt;=1801,tblFLPrep[[#This Row],[Counting findings2]]&lt;=2400),IF(AND(N90&lt;=1800,N91&gt;=1800),(36-O90),0)+O90+P90,AND(tblFLPrep[[#This Row],[Counting findings2]]&gt;=2401,tblFLPrep[[#This Row],[Counting findings2]]&lt;=3000),IF(AND(N90&lt;=2400,N91&gt;=2400),(48-O90),0)+O90+P90,AND(tblFLPrep[[#This Row],[Counting findings2]]&gt;=3001,tblFLPrep[[#This Row],[Counting findings2]]&lt;=3600),IF(AND(N90&lt;=3000,N91&gt;=3000),(60-O90),0)+O90+P90)</f>
        <v>#VALUE!</v>
      </c>
      <c r="P91" t="e">
        <f>IF(AND(tblFLPrep[[#This Row],[Sorting]]="A",tblFLPrep[[#This Row],[Row size]]&gt;0),1,"")</f>
        <v>#VALUE!</v>
      </c>
    </row>
    <row r="92" spans="5:16" ht="15" customHeight="1">
      <c r="H92" t="e" cm="1">
        <f t="array" ref="H92">Requirement('Call Flow'!$D$4,tblFLPrep[[#This Row],[Answer]],tblFLPrep[[#This Row],[Fynding Type]])&amp;IF(tblFLPrep[[#This Row],[Add Missing]]="Yes","No","")</f>
        <v>#VALUE!</v>
      </c>
      <c r="I92" t="e">
        <f>_xlfn.IFS(tblFLPrep[[#This Row],[Add Missing]]="Yes","N/A",OR(tblFLPrep[[#This Row],[Follow Up Required]]="YES",tblFLPrep[[#This Row],[Follow Up Required]]="SI"),LocationInfo[Due Date],tblFLPrep[[#This Row],[Follow Up Required]]="NO*","N/A",tblFLPrep[[#This Row],[Follow Up Required]]="NO","N/A",tblFLPrep[[#This Row],[Follow Up Required]]="","")</f>
        <v>#VALUE!</v>
      </c>
      <c r="J92" t="e">
        <f>IF(((tblFLPrep[[#This Row],[Section]]&lt;&gt;"")*((tblFLPrep[[#This Row],[Follow Up Required]]="Yes")+(tblFLPrep[[#This Row],[Follow Up Required]]="No"))),"A","")</f>
        <v>#VALUE!</v>
      </c>
      <c r="L92" t="str">
        <f>IFERROR(IF(AND(COUNTIF($E$1:E92,tblFLPrep[[#This Row],[Section]])=1,E92&lt;&gt;0,D92=""),"Yes",""),"")</f>
        <v/>
      </c>
      <c r="N92" t="e">
        <f>IF(tblFLPrep[[#This Row],[Sorting]]="","",SUM($M$1:M148))</f>
        <v>#VALUE!</v>
      </c>
      <c r="O92" t="e">
        <f>_xlfn.IFS(P91="Numbering",1,AND(tblFLPrep[[#This Row],[Counting findings2]]&gt;=1,tblFLPrep[[#This Row],[Counting findings2]]&lt;=600),O91+P91,AND(tblFLPrep[[#This Row],[Counting findings2]]&gt;=601,tblFLPrep[[#This Row],[Counting findings2]]&lt;=1200),IF(AND(N91&lt;=600,N92&gt;=600),(12-O91),0)+O91+P91,AND(tblFLPrep[[#This Row],[Counting findings2]]&gt;=1201,tblFLPrep[[#This Row],[Counting findings2]]&lt;=1800),IF(AND(N91&lt;=1200,N92&gt;=1200),(24-O91),0)+O91+P91,AND(tblFLPrep[[#This Row],[Counting findings2]]&gt;=1801,tblFLPrep[[#This Row],[Counting findings2]]&lt;=2400),IF(AND(N91&lt;=1800,N92&gt;=1800),(36-O91),0)+O91+P91,AND(tblFLPrep[[#This Row],[Counting findings2]]&gt;=2401,tblFLPrep[[#This Row],[Counting findings2]]&lt;=3000),IF(AND(N91&lt;=2400,N92&gt;=2400),(48-O91),0)+O91+P91,AND(tblFLPrep[[#This Row],[Counting findings2]]&gt;=3001,tblFLPrep[[#This Row],[Counting findings2]]&lt;=3600),IF(AND(N91&lt;=3000,N92&gt;=3000),(60-O91),0)+O91+P91)</f>
        <v>#VALUE!</v>
      </c>
      <c r="P92" t="e">
        <f>IF(AND(tblFLPrep[[#This Row],[Sorting]]="A",tblFLPrep[[#This Row],[Row size]]&gt;0),1,"")</f>
        <v>#VALUE!</v>
      </c>
    </row>
    <row r="93" spans="5:16" ht="15" customHeight="1">
      <c r="H93" t="e" cm="1">
        <f t="array" ref="H93">Requirement('Call Flow'!$D$4,tblFLPrep[[#This Row],[Answer]],tblFLPrep[[#This Row],[Fynding Type]])&amp;IF(tblFLPrep[[#This Row],[Add Missing]]="Yes","No","")</f>
        <v>#VALUE!</v>
      </c>
      <c r="I93" t="e">
        <f>_xlfn.IFS(tblFLPrep[[#This Row],[Add Missing]]="Yes","N/A",OR(tblFLPrep[[#This Row],[Follow Up Required]]="YES",tblFLPrep[[#This Row],[Follow Up Required]]="SI"),LocationInfo[Due Date],tblFLPrep[[#This Row],[Follow Up Required]]="NO*","N/A",tblFLPrep[[#This Row],[Follow Up Required]]="NO","N/A",tblFLPrep[[#This Row],[Follow Up Required]]="","")</f>
        <v>#VALUE!</v>
      </c>
      <c r="J93" t="e">
        <f>IF(((tblFLPrep[[#This Row],[Section]]&lt;&gt;"")*((tblFLPrep[[#This Row],[Follow Up Required]]="Yes")+(tblFLPrep[[#This Row],[Follow Up Required]]="No"))),"A","")</f>
        <v>#VALUE!</v>
      </c>
      <c r="L93" t="str">
        <f>IFERROR(IF(AND(COUNTIF($E$1:E93,tblFLPrep[[#This Row],[Section]])=1,E93&lt;&gt;0,D93=""),"Yes",""),"")</f>
        <v/>
      </c>
      <c r="N93" t="e">
        <f>IF(tblFLPrep[[#This Row],[Sorting]]="","",SUM($M$1:M149))</f>
        <v>#VALUE!</v>
      </c>
      <c r="O93" t="e">
        <f>_xlfn.IFS(P92="Numbering",1,AND(tblFLPrep[[#This Row],[Counting findings2]]&gt;=1,tblFLPrep[[#This Row],[Counting findings2]]&lt;=600),O92+P92,AND(tblFLPrep[[#This Row],[Counting findings2]]&gt;=601,tblFLPrep[[#This Row],[Counting findings2]]&lt;=1200),IF(AND(N92&lt;=600,N93&gt;=600),(12-O92),0)+O92+P92,AND(tblFLPrep[[#This Row],[Counting findings2]]&gt;=1201,tblFLPrep[[#This Row],[Counting findings2]]&lt;=1800),IF(AND(N92&lt;=1200,N93&gt;=1200),(24-O92),0)+O92+P92,AND(tblFLPrep[[#This Row],[Counting findings2]]&gt;=1801,tblFLPrep[[#This Row],[Counting findings2]]&lt;=2400),IF(AND(N92&lt;=1800,N93&gt;=1800),(36-O92),0)+O92+P92,AND(tblFLPrep[[#This Row],[Counting findings2]]&gt;=2401,tblFLPrep[[#This Row],[Counting findings2]]&lt;=3000),IF(AND(N92&lt;=2400,N93&gt;=2400),(48-O92),0)+O92+P92,AND(tblFLPrep[[#This Row],[Counting findings2]]&gt;=3001,tblFLPrep[[#This Row],[Counting findings2]]&lt;=3600),IF(AND(N92&lt;=3000,N93&gt;=3000),(60-O92),0)+O92+P92)</f>
        <v>#VALUE!</v>
      </c>
      <c r="P93" t="e">
        <f>IF(AND(tblFLPrep[[#This Row],[Sorting]]="A",tblFLPrep[[#This Row],[Row size]]&gt;0),1,"")</f>
        <v>#VALUE!</v>
      </c>
    </row>
    <row r="94" spans="5:16" ht="15" customHeight="1">
      <c r="H94" t="e" cm="1">
        <f t="array" ref="H94">Requirement('Call Flow'!$D$4,tblFLPrep[[#This Row],[Answer]],tblFLPrep[[#This Row],[Fynding Type]])&amp;IF(tblFLPrep[[#This Row],[Add Missing]]="Yes","No","")</f>
        <v>#VALUE!</v>
      </c>
      <c r="I94" t="e">
        <f>_xlfn.IFS(tblFLPrep[[#This Row],[Add Missing]]="Yes","N/A",OR(tblFLPrep[[#This Row],[Follow Up Required]]="YES",tblFLPrep[[#This Row],[Follow Up Required]]="SI"),LocationInfo[Due Date],tblFLPrep[[#This Row],[Follow Up Required]]="NO*","N/A",tblFLPrep[[#This Row],[Follow Up Required]]="NO","N/A",tblFLPrep[[#This Row],[Follow Up Required]]="","")</f>
        <v>#VALUE!</v>
      </c>
      <c r="J94" t="e">
        <f>IF(((tblFLPrep[[#This Row],[Section]]&lt;&gt;"")*((tblFLPrep[[#This Row],[Follow Up Required]]="Yes")+(tblFLPrep[[#This Row],[Follow Up Required]]="No"))),"A","")</f>
        <v>#VALUE!</v>
      </c>
      <c r="L94" t="str">
        <f>IFERROR(IF(AND(COUNTIF($E$1:E42,tblFLPrep[[#This Row],[Section]])=1,E94&lt;&gt;0,D94=""),"Yes",""),"")</f>
        <v/>
      </c>
      <c r="N94" t="e">
        <f>IF(tblFLPrep[[#This Row],[Sorting]]="","",SUM($M$1:M150))</f>
        <v>#VALUE!</v>
      </c>
      <c r="O94" t="e">
        <f>_xlfn.IFS(P93="Numbering",1,AND(tblFLPrep[[#This Row],[Counting findings2]]&gt;=1,tblFLPrep[[#This Row],[Counting findings2]]&lt;=600),O93+P93,AND(tblFLPrep[[#This Row],[Counting findings2]]&gt;=601,tblFLPrep[[#This Row],[Counting findings2]]&lt;=1200),IF(AND(N93&lt;=600,N94&gt;=600),(12-O93),0)+O93+P93,AND(tblFLPrep[[#This Row],[Counting findings2]]&gt;=1201,tblFLPrep[[#This Row],[Counting findings2]]&lt;=1800),IF(AND(N93&lt;=1200,N94&gt;=1200),(24-O93),0)+O93+P93,AND(tblFLPrep[[#This Row],[Counting findings2]]&gt;=1801,tblFLPrep[[#This Row],[Counting findings2]]&lt;=2400),IF(AND(N93&lt;=1800,N94&gt;=1800),(36-O93),0)+O93+P93,AND(tblFLPrep[[#This Row],[Counting findings2]]&gt;=2401,tblFLPrep[[#This Row],[Counting findings2]]&lt;=3000),IF(AND(N93&lt;=2400,N94&gt;=2400),(48-O93),0)+O93+P93,AND(tblFLPrep[[#This Row],[Counting findings2]]&gt;=3001,tblFLPrep[[#This Row],[Counting findings2]]&lt;=3600),IF(AND(N93&lt;=3000,N94&gt;=3000),(60-O93),0)+O93+P93)</f>
        <v>#VALUE!</v>
      </c>
      <c r="P94" t="e">
        <f>IF(AND(tblFLPrep[[#This Row],[Sorting]]="A",tblFLPrep[[#This Row],[Row size]]&gt;0),1,"")</f>
        <v>#VALUE!</v>
      </c>
    </row>
    <row r="95" spans="5:16" ht="15" customHeight="1">
      <c r="E95" t="s">
        <v>206</v>
      </c>
      <c r="H95" t="e" cm="1">
        <f t="array" ref="H95">Requirement('Call Flow'!$D$4,tblFLPrep[[#This Row],[Answer]],tblFLPrep[[#This Row],[Fynding Type]])&amp;IF(tblFLPrep[[#This Row],[Add Missing]]="Yes","No","")</f>
        <v>#VALUE!</v>
      </c>
      <c r="I95" t="e">
        <f>_xlfn.IFS(tblFLPrep[[#This Row],[Add Missing]]="Yes","N/A",OR(tblFLPrep[[#This Row],[Follow Up Required]]="YES",tblFLPrep[[#This Row],[Follow Up Required]]="SI"),LocationInfo[Due Date],tblFLPrep[[#This Row],[Follow Up Required]]="NO*","N/A",tblFLPrep[[#This Row],[Follow Up Required]]="NO","N/A",tblFLPrep[[#This Row],[Follow Up Required]]="","")</f>
        <v>#VALUE!</v>
      </c>
      <c r="J95" t="e">
        <f>IF(((tblFLPrep[[#This Row],[Section]]&lt;&gt;"")*((tblFLPrep[[#This Row],[Follow Up Required]]="Yes")+(tblFLPrep[[#This Row],[Follow Up Required]]="No"))),"A","")</f>
        <v>#VALUE!</v>
      </c>
      <c r="L95" t="str">
        <f>IFERROR(IF(AND(COUNTIF($E$1:E151,tblFLPrep[[#This Row],[Section]])=1,E95&lt;&gt;0,D95=""),"Yes",""),"")</f>
        <v/>
      </c>
      <c r="N95" t="e">
        <f>IF(tblFLPrep[[#This Row],[Sorting]]="","",SUM($M$1:M151))</f>
        <v>#VALUE!</v>
      </c>
      <c r="O95" t="e">
        <f>_xlfn.IFS(P94="Numbering",1,AND(tblFLPrep[[#This Row],[Counting findings2]]&gt;=1,tblFLPrep[[#This Row],[Counting findings2]]&lt;=600),O94+P94,AND(tblFLPrep[[#This Row],[Counting findings2]]&gt;=601,tblFLPrep[[#This Row],[Counting findings2]]&lt;=1200),IF(AND(N94&lt;=600,N95&gt;=600),(12-O94),0)+O94+P94,AND(tblFLPrep[[#This Row],[Counting findings2]]&gt;=1201,tblFLPrep[[#This Row],[Counting findings2]]&lt;=1800),IF(AND(N94&lt;=1200,N95&gt;=1200),(24-O94),0)+O94+P94,AND(tblFLPrep[[#This Row],[Counting findings2]]&gt;=1801,tblFLPrep[[#This Row],[Counting findings2]]&lt;=2400),IF(AND(N94&lt;=1800,N95&gt;=1800),(36-O94),0)+O94+P94,AND(tblFLPrep[[#This Row],[Counting findings2]]&gt;=2401,tblFLPrep[[#This Row],[Counting findings2]]&lt;=3000),IF(AND(N94&lt;=2400,N95&gt;=2400),(48-O94),0)+O94+P94,AND(tblFLPrep[[#This Row],[Counting findings2]]&gt;=3001,tblFLPrep[[#This Row],[Counting findings2]]&lt;=3600),IF(AND(N94&lt;=3000,N95&gt;=3000),(60-O94),0)+O94+P94)</f>
        <v>#VALUE!</v>
      </c>
      <c r="P95" t="e">
        <f>IF(AND(tblFLPrep[[#This Row],[Sorting]]="A",tblFLPrep[[#This Row],[Row size]]&gt;0),1,"")</f>
        <v>#VALUE!</v>
      </c>
    </row>
    <row r="96" spans="5:16" ht="15" customHeight="1">
      <c r="H96" t="e" cm="1">
        <f t="array" ref="H96">Requirement('Call Flow'!$D$4,tblFLPrep[[#This Row],[Answer]],tblFLPrep[[#This Row],[Fynding Type]])&amp;IF(tblFLPrep[[#This Row],[Add Missing]]="Yes","No","")</f>
        <v>#VALUE!</v>
      </c>
      <c r="I96" t="e">
        <f>_xlfn.IFS(tblFLPrep[[#This Row],[Add Missing]]="Yes","N/A",OR(tblFLPrep[[#This Row],[Follow Up Required]]="YES",tblFLPrep[[#This Row],[Follow Up Required]]="SI"),LocationInfo[Due Date],tblFLPrep[[#This Row],[Follow Up Required]]="NO*","N/A",tblFLPrep[[#This Row],[Follow Up Required]]="NO","N/A",tblFLPrep[[#This Row],[Follow Up Required]]="","")</f>
        <v>#VALUE!</v>
      </c>
      <c r="J96" t="e">
        <f>IF(((tblFLPrep[[#This Row],[Section]]&lt;&gt;"")*((tblFLPrep[[#This Row],[Follow Up Required]]="Yes")+(tblFLPrep[[#This Row],[Follow Up Required]]="No"))),"A","")</f>
        <v>#VALUE!</v>
      </c>
      <c r="L96" t="str">
        <f>IFERROR(IF(AND(COUNTIF($E$1:E152,tblFLPrep[[#This Row],[Section]])=1,E96&lt;&gt;0,D96=""),"Yes",""),"")</f>
        <v/>
      </c>
      <c r="N96" t="e">
        <f>IF(tblFLPrep[[#This Row],[Sorting]]="","",SUM($M$1:M152))</f>
        <v>#VALUE!</v>
      </c>
      <c r="O96" t="e">
        <f>_xlfn.IFS(P95="Numbering",1,AND(tblFLPrep[[#This Row],[Counting findings2]]&gt;=1,tblFLPrep[[#This Row],[Counting findings2]]&lt;=600),O95+P95,AND(tblFLPrep[[#This Row],[Counting findings2]]&gt;=601,tblFLPrep[[#This Row],[Counting findings2]]&lt;=1200),IF(AND(N95&lt;=600,N96&gt;=600),(12-O95),0)+O95+P95,AND(tblFLPrep[[#This Row],[Counting findings2]]&gt;=1201,tblFLPrep[[#This Row],[Counting findings2]]&lt;=1800),IF(AND(N95&lt;=1200,N96&gt;=1200),(24-O95),0)+O95+P95,AND(tblFLPrep[[#This Row],[Counting findings2]]&gt;=1801,tblFLPrep[[#This Row],[Counting findings2]]&lt;=2400),IF(AND(N95&lt;=1800,N96&gt;=1800),(36-O95),0)+O95+P95,AND(tblFLPrep[[#This Row],[Counting findings2]]&gt;=2401,tblFLPrep[[#This Row],[Counting findings2]]&lt;=3000),IF(AND(N95&lt;=2400,N96&gt;=2400),(48-O95),0)+O95+P95,AND(tblFLPrep[[#This Row],[Counting findings2]]&gt;=3001,tblFLPrep[[#This Row],[Counting findings2]]&lt;=3600),IF(AND(N95&lt;=3000,N96&gt;=3000),(60-O95),0)+O95+P95)</f>
        <v>#VALUE!</v>
      </c>
      <c r="P96" t="e">
        <f>IF(AND(tblFLPrep[[#This Row],[Sorting]]="A",tblFLPrep[[#This Row],[Row size]]&gt;0),1,"")</f>
        <v>#VALUE!</v>
      </c>
    </row>
  </sheetData>
  <mergeCells count="1">
    <mergeCell ref="AC2:AF2"/>
  </mergeCells>
  <pageMargins left="0.7" right="0.7" top="0.75" bottom="0.75" header="0.3" footer="0.3"/>
  <customProperties>
    <customPr name="workbookAdvencedSettings" r:id="rId1"/>
    <customPr name="workbookExecutionSettings" r:id="rId2"/>
    <customPr name="workbookGatewaySettings" r:id="rId3"/>
  </customProperties>
  <tableParts count="2">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A50319-8591-4A95-AE0B-38AD6B3B007D}">
  <sheetPr codeName="Sheet5"/>
  <dimension ref="A1:BY200"/>
  <sheetViews>
    <sheetView showGridLines="0" zoomScale="145" zoomScaleNormal="145" zoomScaleSheetLayoutView="85" workbookViewId="0">
      <selection sqref="A1:XFD1048576"/>
    </sheetView>
  </sheetViews>
  <sheetFormatPr defaultColWidth="8.54296875" defaultRowHeight="12"/>
  <cols>
    <col min="1" max="1" width="8.54296875" style="122" customWidth="1"/>
    <col min="2" max="2" width="15.453125" style="122" customWidth="1"/>
    <col min="3" max="3" width="20.453125" style="122" customWidth="1"/>
    <col min="4" max="4" width="29.453125" style="122" customWidth="1"/>
    <col min="5" max="5" width="11" style="122" customWidth="1"/>
    <col min="6" max="6" width="23.54296875" style="122" customWidth="1"/>
    <col min="7" max="7" width="2.453125" style="122" customWidth="1"/>
    <col min="8" max="8" width="0.54296875" style="122" customWidth="1"/>
    <col min="9" max="9" width="8.54296875" style="122" customWidth="1"/>
    <col min="10" max="10" width="15.453125" style="122" customWidth="1"/>
    <col min="11" max="11" width="20.453125" style="122" customWidth="1"/>
    <col min="12" max="12" width="29.453125" style="122" customWidth="1"/>
    <col min="13" max="13" width="9.453125" style="122" customWidth="1"/>
    <col min="14" max="14" width="24.54296875" style="122" customWidth="1"/>
    <col min="15" max="15" width="2.453125" style="122" customWidth="1"/>
    <col min="16" max="16" width="8.54296875" style="122" customWidth="1"/>
    <col min="17" max="17" width="15.453125" style="122" customWidth="1"/>
    <col min="18" max="18" width="20.453125" style="122" customWidth="1"/>
    <col min="19" max="19" width="29.54296875" style="122" customWidth="1"/>
    <col min="20" max="20" width="9.453125" style="122" customWidth="1"/>
    <col min="21" max="21" width="24.54296875" style="122" customWidth="1"/>
    <col min="22" max="22" width="2.54296875" style="122" customWidth="1"/>
    <col min="23" max="23" width="8.54296875" style="122" customWidth="1"/>
    <col min="24" max="24" width="15.453125" style="122" customWidth="1"/>
    <col min="25" max="25" width="20.453125" style="122" customWidth="1"/>
    <col min="26" max="26" width="29.453125" style="122" customWidth="1"/>
    <col min="27" max="27" width="9.453125" style="122" customWidth="1"/>
    <col min="28" max="28" width="24.54296875" style="122" customWidth="1"/>
    <col min="29" max="29" width="2.453125" style="122" customWidth="1"/>
    <col min="30" max="30" width="8.54296875" style="122" customWidth="1"/>
    <col min="31" max="31" width="15.453125" style="122" customWidth="1"/>
    <col min="32" max="32" width="20.453125" style="122" customWidth="1"/>
    <col min="33" max="33" width="29.54296875" style="122" customWidth="1"/>
    <col min="34" max="34" width="9.453125" style="122" customWidth="1"/>
    <col min="35" max="35" width="24.54296875" style="122" customWidth="1"/>
    <col min="36" max="36" width="2.54296875" style="122" customWidth="1"/>
    <col min="37" max="37" width="8.54296875" style="122" customWidth="1"/>
    <col min="38" max="38" width="15.453125" style="122" customWidth="1"/>
    <col min="39" max="39" width="20.453125" style="122" customWidth="1"/>
    <col min="40" max="40" width="29.453125" style="122" customWidth="1"/>
    <col min="41" max="41" width="9.453125" style="122" customWidth="1"/>
    <col min="42" max="42" width="24.54296875" style="122" customWidth="1"/>
    <col min="43" max="43" width="2.453125" style="122" customWidth="1"/>
    <col min="44" max="44" width="8.54296875" style="122" customWidth="1"/>
    <col min="45" max="45" width="15.453125" style="122" customWidth="1"/>
    <col min="46" max="46" width="20.453125" style="122" customWidth="1"/>
    <col min="47" max="47" width="29.54296875" style="122" customWidth="1"/>
    <col min="48" max="48" width="9.453125" style="122" customWidth="1"/>
    <col min="49" max="49" width="24.54296875" style="122" customWidth="1"/>
    <col min="50" max="50" width="2.54296875" style="122" customWidth="1"/>
    <col min="51" max="51" width="8.54296875" style="122" customWidth="1"/>
    <col min="52" max="52" width="15.453125" style="122" customWidth="1"/>
    <col min="53" max="53" width="20.453125" style="122" customWidth="1"/>
    <col min="54" max="54" width="29.453125" style="122" customWidth="1"/>
    <col min="55" max="55" width="9.453125" style="122" customWidth="1"/>
    <col min="56" max="56" width="24.54296875" style="122" customWidth="1"/>
    <col min="57" max="57" width="2.453125" style="122" customWidth="1"/>
    <col min="58" max="58" width="8.54296875" style="122" customWidth="1"/>
    <col min="59" max="59" width="15.453125" style="122" customWidth="1"/>
    <col min="60" max="60" width="20.453125" style="122" customWidth="1"/>
    <col min="61" max="61" width="29.54296875" style="122" customWidth="1"/>
    <col min="62" max="62" width="9.453125" style="122" customWidth="1"/>
    <col min="63" max="63" width="24.54296875" style="122" customWidth="1"/>
    <col min="64" max="64" width="2.54296875" style="122" customWidth="1"/>
    <col min="65" max="65" width="8.54296875" style="122" customWidth="1"/>
    <col min="66" max="66" width="15.453125" style="122" customWidth="1"/>
    <col min="67" max="67" width="20.453125" style="122" customWidth="1"/>
    <col min="68" max="68" width="29.453125" style="122" customWidth="1"/>
    <col min="69" max="69" width="9.453125" style="122" customWidth="1"/>
    <col min="70" max="70" width="24.54296875" style="122" customWidth="1"/>
    <col min="71" max="71" width="2.453125" style="122" customWidth="1"/>
    <col min="72" max="72" width="8.54296875" style="122" customWidth="1"/>
    <col min="73" max="73" width="15.453125" style="122" customWidth="1"/>
    <col min="74" max="74" width="20.453125" style="122" customWidth="1"/>
    <col min="75" max="75" width="29.54296875" style="122" customWidth="1"/>
    <col min="76" max="76" width="9.453125" style="122" customWidth="1"/>
    <col min="77" max="77" width="24.54296875" style="122" customWidth="1"/>
    <col min="78" max="16384" width="8.54296875" style="122"/>
  </cols>
  <sheetData>
    <row r="1" spans="1:77" ht="45.65" customHeight="1">
      <c r="A1" s="85"/>
      <c r="B1" s="514" t="str">
        <f ca="1">'Gen Info'!$Z$4</f>
        <v>Viernes 24 Octubre, 2025</v>
      </c>
      <c r="C1" s="514"/>
      <c r="D1" s="514"/>
      <c r="E1" s="514"/>
      <c r="F1" s="514"/>
      <c r="I1" s="474" t="s">
        <v>225</v>
      </c>
      <c r="J1" s="474"/>
      <c r="K1" s="474"/>
      <c r="L1" s="474"/>
      <c r="M1" s="474"/>
      <c r="N1" s="474"/>
      <c r="P1" s="474" t="s">
        <v>226</v>
      </c>
      <c r="Q1" s="474"/>
      <c r="R1" s="474"/>
      <c r="S1" s="474"/>
      <c r="T1" s="474"/>
      <c r="U1" s="474"/>
      <c r="W1" s="474" t="s">
        <v>227</v>
      </c>
      <c r="X1" s="474"/>
      <c r="Y1" s="474"/>
      <c r="Z1" s="474"/>
      <c r="AA1" s="474"/>
      <c r="AB1" s="474"/>
      <c r="AD1" s="474" t="s">
        <v>228</v>
      </c>
      <c r="AE1" s="474"/>
      <c r="AF1" s="474"/>
      <c r="AG1" s="474"/>
      <c r="AH1" s="474"/>
      <c r="AI1" s="474"/>
      <c r="AK1" s="474" t="s">
        <v>229</v>
      </c>
      <c r="AL1" s="474"/>
      <c r="AM1" s="474"/>
      <c r="AN1" s="474"/>
      <c r="AO1" s="474"/>
      <c r="AP1" s="474"/>
      <c r="AR1" s="474" t="s">
        <v>230</v>
      </c>
      <c r="AS1" s="474"/>
      <c r="AT1" s="474"/>
      <c r="AU1" s="474"/>
      <c r="AV1" s="474"/>
      <c r="AW1" s="474"/>
      <c r="AY1" s="474" t="s">
        <v>231</v>
      </c>
      <c r="AZ1" s="474"/>
      <c r="BA1" s="474"/>
      <c r="BB1" s="474"/>
      <c r="BC1" s="474"/>
      <c r="BD1" s="474"/>
      <c r="BF1" s="474" t="s">
        <v>232</v>
      </c>
      <c r="BG1" s="474"/>
      <c r="BH1" s="474"/>
      <c r="BI1" s="474"/>
      <c r="BJ1" s="474"/>
      <c r="BK1" s="474"/>
      <c r="BM1" s="474" t="s">
        <v>233</v>
      </c>
      <c r="BN1" s="474"/>
      <c r="BO1" s="474"/>
      <c r="BP1" s="474"/>
      <c r="BQ1" s="474"/>
      <c r="BR1" s="474"/>
      <c r="BT1" s="474" t="s">
        <v>234</v>
      </c>
      <c r="BU1" s="474"/>
      <c r="BV1" s="474"/>
      <c r="BW1" s="474"/>
      <c r="BX1" s="474"/>
      <c r="BY1" s="474"/>
    </row>
    <row r="2" spans="1:77" ht="11.9" customHeight="1">
      <c r="A2" s="513" t="str">
        <f>'Call Flow'!$D$3</f>
        <v>TIENDA MUEBLERIA EL BODEGON AY</v>
      </c>
      <c r="B2" s="513"/>
      <c r="C2" s="513"/>
      <c r="D2" s="513"/>
      <c r="E2" s="513"/>
      <c r="F2" s="513"/>
    </row>
    <row r="3" spans="1:77" ht="11.15" customHeight="1">
      <c r="A3" s="483" t="str">
        <f>'Gen Info'!P4&amp;", "&amp;'Gen Info'!$Q$4</f>
        <v>HIDALGO EJE ORIENTE 163, CENTRO</v>
      </c>
      <c r="B3" s="483"/>
      <c r="C3" s="483"/>
      <c r="D3" s="483"/>
      <c r="E3" s="483"/>
      <c r="F3" s="483"/>
    </row>
    <row r="4" spans="1:77" ht="12.65" customHeight="1">
      <c r="A4" s="483" t="str">
        <f>'Gen Info'!$R$4&amp;", "&amp;'Gen Info'!$S$4&amp;", "&amp;'Gen Info'!$U$4&amp;", "&amp;'Gen Info'!$T$4</f>
        <v>AYOTLAN, JALISCO, MX, 47930</v>
      </c>
      <c r="B4" s="483"/>
      <c r="C4" s="483"/>
      <c r="D4" s="483"/>
      <c r="E4" s="483"/>
      <c r="F4" s="483"/>
    </row>
    <row r="5" spans="1:77" ht="0.75" customHeight="1">
      <c r="A5" s="485"/>
      <c r="B5" s="485"/>
      <c r="C5" s="485"/>
      <c r="D5" s="485"/>
      <c r="E5" s="485"/>
      <c r="F5" s="485"/>
    </row>
    <row r="6" spans="1:77" ht="14.15" customHeight="1">
      <c r="A6" s="505"/>
      <c r="B6" s="505"/>
      <c r="C6" s="505"/>
      <c r="D6" s="505"/>
      <c r="E6" s="505"/>
      <c r="F6" s="505"/>
      <c r="I6" s="505" t="str">
        <f>"Dear Compliance Officer/Authorized Delegate:
Western Union conducted an Anti-Money Laundering (AML), Combating the Financing of Terrorism (CFT) and Anti-Fraud Program Review of "&amp;'Call Flow'!$D$3&amp;" on"&amp;'Gen Info'!$AC$4&amp;". This review was conducted to evaluate the adherence to the AML/CFT and Anti-Fraud Program relating exclusively to products and services provided by Western Union."</f>
        <v>Dear Compliance Officer/Authorized Delegate:
Western Union conducted an Anti-Money Laundering (AML), Combating the Financing of Terrorism (CFT) and Anti-Fraud Program Review of TIENDA MUEBLERIA EL BODEGON AY on Martes 2 Septiembre, 2025. This review was conducted to evaluate the adherence to the AML/CFT and Anti-Fraud Program relating exclusively to products and services provided by Western Union.</v>
      </c>
      <c r="J6" s="505"/>
      <c r="K6" s="505"/>
      <c r="L6" s="505"/>
      <c r="M6" s="505"/>
      <c r="N6" s="505"/>
      <c r="P6" s="517" t="str">
        <f>"Dear Compliance Officer/Authorized Delegate:
Western Union conducted an Anti-Money Laundering (AML), Combating the Financing of Terrorism (CFT) and Anti-Fraud Program Review of "&amp;'Call Flow'!$D$3&amp;" on"&amp;'Gen Info'!$AC$4&amp;". This review was conducted to evaluate the adherence to the AML/CFT and Anti-Fraud Program relating exclusively to products and services provided by Western Union. "</f>
        <v xml:space="preserve">Dear Compliance Officer/Authorized Delegate:
Western Union conducted an Anti-Money Laundering (AML), Combating the Financing of Terrorism (CFT) and Anti-Fraud Program Review of TIENDA MUEBLERIA EL BODEGON AY on Martes 2 Septiembre, 2025. This review was conducted to evaluate the adherence to the AML/CFT and Anti-Fraud Program relating exclusively to products and services provided by Western Union. </v>
      </c>
      <c r="Q6" s="517"/>
      <c r="R6" s="517"/>
      <c r="S6" s="517"/>
      <c r="T6" s="517"/>
      <c r="U6" s="517"/>
      <c r="W6" s="505" t="str">
        <f>"Estimado(a) Oficial de cumplimiento/Delegado(a) autorizado(a):
Western Union realizó una revisión de los programas Antifraude, Antilavado de dinero (ALD) y Combate al financiamiento del terrorismo (CFT) de "&amp;'Call Flow'!$D$3&amp;" el "&amp;'Gen Info'!$AC$4&amp;". Esta revisión se realizó para evaluar el cumplimiento del programa Antifraude y ALD/CFT relacionado exclusivamente con productos y servicios proporcionados por Western Union.
La revisión incluyó, pero no se limitó a, los siguientes componentes:"</f>
        <v>Estimado(a) Oficial de cumplimiento/Delegado(a) autorizado(a):
Western Union realizó una revisión de los programas Antifraude, Antilavado de dinero (ALD) y Combate al financiamiento del terrorismo (CFT) de TIENDA MUEBLERIA EL BODEGON AY el  Martes 2 Septiembre, 2025. Esta revisión se realizó para evaluar el cumplimiento del programa Antifraude y ALD/CFT relacionado exclusivamente con productos y servicios proporcionados por Western Union.
La revisión incluyó, pero no se limitó a, los siguientes componentes:</v>
      </c>
      <c r="X6" s="505"/>
      <c r="Y6" s="505"/>
      <c r="Z6" s="505"/>
      <c r="AA6" s="515"/>
      <c r="AB6" s="505"/>
      <c r="AD6" s="505" t="str">
        <f>"Estimado(a) Oficial de cumplimiento/Delegado(a) autorizado(a):
Western Union realizó una revisión de los programas Antifraude, Antilavado de dinero (ALD) y Combate al financiamiento del terrorismo (CFT) de "&amp;'Call Flow'!$D$3&amp;" el "&amp;'Gen Info'!$AC$4&amp;". Esta revisión se realizó para evaluar el cumplimiento del programa Antifraude y ALD/CFT relacionado exclusivamente con productos y servicios proporcionados por Western Union."</f>
        <v>Estimado(a) Oficial de cumplimiento/Delegado(a) autorizado(a):
Western Union realizó una revisión de los programas Antifraude, Antilavado de dinero (ALD) y Combate al financiamiento del terrorismo (CFT) de TIENDA MUEBLERIA EL BODEGON AY el  Martes 2 Septiembre, 2025. Esta revisión se realizó para evaluar el cumplimiento del programa Antifraude y ALD/CFT relacionado exclusivamente con productos y servicios proporcionados por Western Union.</v>
      </c>
      <c r="AE6" s="505"/>
      <c r="AF6" s="505"/>
      <c r="AG6" s="505"/>
      <c r="AH6" s="505"/>
      <c r="AI6" s="505"/>
      <c r="AK6" s="496" t="s">
        <v>235</v>
      </c>
      <c r="AL6" s="496"/>
      <c r="AM6" s="496"/>
      <c r="AN6" s="496"/>
      <c r="AO6" s="496"/>
      <c r="AP6" s="496"/>
      <c r="AR6" s="505" t="str">
        <f>"Cher Responsable de la conformité/Représentant d’agent agréé :
Western Union a effectué un examen du dispositif de lutte anti-blanchiment (LAB), lutte contre le financement du terrorisme (LFT) et contre la fraude de  "&amp;'Call Flow'!$D$3&amp;" le "&amp;'Gen Info'!$AC$4&amp;". Cet examen a été effectué pour évaluer son adhésion au programme LAB/LFT et antifraude, concernant exclusivement les produits et services fournis par Western Union."</f>
        <v>Cher Responsable de la conformité/Représentant d’agent agréé :
Western Union a effectué un examen du dispositif de lutte anti-blanchiment (LAB), lutte contre le financement du terrorisme (LFT) et contre la fraude de  TIENDA MUEBLERIA EL BODEGON AY le  Martes 2 Septiembre, 2025. Cet examen a été effectué pour évaluer son adhésion au programme LAB/LFT et antifraude, concernant exclusivement les produits et services fournis par Western Union.</v>
      </c>
      <c r="AS6" s="505"/>
      <c r="AT6" s="505"/>
      <c r="AU6" s="505"/>
      <c r="AV6" s="505"/>
      <c r="AW6" s="505"/>
      <c r="AY6" s="516" t="s">
        <v>236</v>
      </c>
      <c r="AZ6" s="516"/>
      <c r="BA6" s="516"/>
      <c r="BB6" s="516"/>
      <c r="BC6" s="516"/>
      <c r="BD6" s="516"/>
      <c r="BF6" s="485"/>
      <c r="BG6" s="485"/>
      <c r="BH6" s="485"/>
      <c r="BI6" s="485"/>
      <c r="BJ6" s="485"/>
      <c r="BK6" s="485"/>
      <c r="BM6" s="516" t="s">
        <v>237</v>
      </c>
      <c r="BN6" s="516"/>
      <c r="BO6" s="516"/>
      <c r="BP6" s="516"/>
      <c r="BQ6" s="516"/>
      <c r="BR6" s="516"/>
      <c r="BT6" s="485"/>
      <c r="BU6" s="485"/>
      <c r="BV6" s="485"/>
      <c r="BW6" s="485"/>
      <c r="BX6" s="485"/>
      <c r="BY6" s="485"/>
    </row>
    <row r="7" spans="1:77" ht="3.75" customHeight="1">
      <c r="A7" s="505"/>
      <c r="B7" s="505"/>
      <c r="C7" s="505"/>
      <c r="D7" s="505"/>
      <c r="E7" s="505"/>
      <c r="F7" s="505"/>
      <c r="I7" s="505"/>
      <c r="J7" s="505"/>
      <c r="K7" s="505"/>
      <c r="L7" s="505"/>
      <c r="M7" s="505"/>
      <c r="N7" s="505"/>
      <c r="P7" s="517"/>
      <c r="Q7" s="517"/>
      <c r="R7" s="517"/>
      <c r="S7" s="517"/>
      <c r="T7" s="517"/>
      <c r="U7" s="517"/>
      <c r="W7" s="505"/>
      <c r="X7" s="505"/>
      <c r="Y7" s="505"/>
      <c r="Z7" s="505"/>
      <c r="AA7" s="515"/>
      <c r="AB7" s="505"/>
      <c r="AD7" s="505"/>
      <c r="AE7" s="505"/>
      <c r="AF7" s="505"/>
      <c r="AG7" s="505"/>
      <c r="AH7" s="505"/>
      <c r="AI7" s="505"/>
      <c r="AK7" s="496"/>
      <c r="AL7" s="496"/>
      <c r="AM7" s="496"/>
      <c r="AN7" s="496"/>
      <c r="AO7" s="496"/>
      <c r="AP7" s="496"/>
      <c r="AR7" s="505"/>
      <c r="AS7" s="505"/>
      <c r="AT7" s="505"/>
      <c r="AU7" s="505"/>
      <c r="AV7" s="505"/>
      <c r="AW7" s="505"/>
      <c r="AY7" s="516"/>
      <c r="AZ7" s="516"/>
      <c r="BA7" s="516"/>
      <c r="BB7" s="516"/>
      <c r="BC7" s="516"/>
      <c r="BD7" s="516"/>
      <c r="BF7" s="485"/>
      <c r="BG7" s="485"/>
      <c r="BH7" s="485"/>
      <c r="BI7" s="485"/>
      <c r="BJ7" s="485"/>
      <c r="BK7" s="485"/>
      <c r="BM7" s="516"/>
      <c r="BN7" s="516"/>
      <c r="BO7" s="516"/>
      <c r="BP7" s="516"/>
      <c r="BQ7" s="516"/>
      <c r="BR7" s="516"/>
      <c r="BT7" s="485"/>
      <c r="BU7" s="485"/>
      <c r="BV7" s="485"/>
      <c r="BW7" s="485"/>
      <c r="BX7" s="485"/>
      <c r="BY7" s="485"/>
    </row>
    <row r="8" spans="1:77" ht="27" customHeight="1">
      <c r="A8" s="505"/>
      <c r="B8" s="505"/>
      <c r="C8" s="505"/>
      <c r="D8" s="505"/>
      <c r="E8" s="505"/>
      <c r="F8" s="505"/>
      <c r="I8" s="505"/>
      <c r="J8" s="505"/>
      <c r="K8" s="505"/>
      <c r="L8" s="505"/>
      <c r="M8" s="505"/>
      <c r="N8" s="505"/>
      <c r="P8" s="517"/>
      <c r="Q8" s="517"/>
      <c r="R8" s="517"/>
      <c r="S8" s="517"/>
      <c r="T8" s="517"/>
      <c r="U8" s="517"/>
      <c r="W8" s="505"/>
      <c r="X8" s="505"/>
      <c r="Y8" s="505"/>
      <c r="Z8" s="505"/>
      <c r="AA8" s="515"/>
      <c r="AB8" s="505"/>
      <c r="AD8" s="505"/>
      <c r="AE8" s="505"/>
      <c r="AF8" s="505"/>
      <c r="AG8" s="505"/>
      <c r="AH8" s="505"/>
      <c r="AI8" s="505"/>
      <c r="AK8" s="518" t="str">
        <f>"Western Union a effectué une revue du programme de lutte contre le blanchiment d'argent, le financement d'activités terroristes et la fraude de "&amp;'Call Flow'!$D$3&amp;" le "&amp;'Gen Info'!$AC$4&amp;"."</f>
        <v>Western Union a effectué une revue du programme de lutte contre le blanchiment d'argent, le financement d'activités terroristes et la fraude de TIENDA MUEBLERIA EL BODEGON AY le  Martes 2 Septiembre, 2025.</v>
      </c>
      <c r="AL8" s="518"/>
      <c r="AM8" s="518"/>
      <c r="AN8" s="518"/>
      <c r="AO8" s="518"/>
      <c r="AP8" s="518"/>
      <c r="AR8" s="505"/>
      <c r="AS8" s="505"/>
      <c r="AT8" s="505"/>
      <c r="AU8" s="505"/>
      <c r="AV8" s="505"/>
      <c r="AW8" s="505"/>
      <c r="AY8" s="500" t="str">
        <f>"A Western Union Corretora de Câmbio S.A. (Western Union) realizou em "&amp;'Gen Info'!$AC$4&amp;" uma revisão do programa de AML - Anti-Money Laundering (PLD – Prevenção à Lavagem de Dinheiro), CFT - Combating the Financing of Terrorism (CFT - Combate ao Financiamento do Terrorismo) e Prevenção à Fraude do(a) "&amp;'Call Flow'!$D$3&amp;". "</f>
        <v xml:space="preserve">A Western Union Corretora de Câmbio S.A. (Western Union) realizou em  Martes 2 Septiembre, 2025 uma revisão do programa de AML - Anti-Money Laundering (PLD – Prevenção à Lavagem de Dinheiro), CFT - Combating the Financing of Terrorism (CFT - Combate ao Financiamento do Terrorismo) e Prevenção à Fraude do(a) TIENDA MUEBLERIA EL BODEGON AY. </v>
      </c>
      <c r="AZ8" s="500"/>
      <c r="BA8" s="500"/>
      <c r="BB8" s="500"/>
      <c r="BC8" s="500"/>
      <c r="BD8" s="500"/>
      <c r="BF8" s="505" t="str">
        <f>"Prezado diretor responsável pelas atividades de Compliance:
A Western Union Corretora de Câmbio S.A. (Western Union) realizou em "&amp;'Gen Info'!$AC$4&amp;" uma revisão do programa de AML - Anti-Money Laundering (PLD – Prevenção à Lavagem de Dinheiro), CFT - Combating the Financing of Terrorism (CFT - Combate ao Financiamento do Terrorismo) e Prevenção à Fraude do(a) "&amp;'Call Flow'!$D$3&amp;"."</f>
        <v>Prezado diretor responsável pelas atividades de Compliance:
A Western Union Corretora de Câmbio S.A. (Western Union) realizou em  Martes 2 Septiembre, 2025 uma revisão do programa de AML - Anti-Money Laundering (PLD – Prevenção à Lavagem de Dinheiro), CFT - Combating the Financing of Terrorism (CFT - Combate ao Financiamento do Terrorismo) e Prevenção à Fraude do(a) TIENDA MUEBLERIA EL BODEGON AY.</v>
      </c>
      <c r="BG8" s="505"/>
      <c r="BH8" s="505"/>
      <c r="BI8" s="505"/>
      <c r="BJ8" s="505"/>
      <c r="BK8" s="505"/>
      <c r="BM8" s="505" t="str">
        <f>"A Western Union realizou uma Análise do Programa de Antibranqueamento de Capitais (AML), de Combate ao Financiamento do Terrorismo (CFT) e Antifraude de "&amp;'Call Flow'!$D$3&amp;" em "&amp;'Gen Info'!$AC$4&amp;"."</f>
        <v>A Western Union realizou uma Análise do Programa de Antibranqueamento de Capitais (AML), de Combate ao Financiamento do Terrorismo (CFT) e Antifraude de TIENDA MUEBLERIA EL BODEGON AY em  Martes 2 Septiembre, 2025.</v>
      </c>
      <c r="BN8" s="505"/>
      <c r="BO8" s="505"/>
      <c r="BP8" s="505"/>
      <c r="BQ8" s="505"/>
      <c r="BR8" s="505"/>
      <c r="BT8" s="505" t="str">
        <f>"Caro Responsável/Delegado de Compliance:
A Western Union realizou uma Análise do Programa de Antibranqueamento de Capitais (AML), de Combate ao Financiamento do Terrorismo (CFT) e Antifraude da "&amp;'Call Flow'!$D$3&amp;" de Sintra em "&amp;'Gen Info'!$AC$4&amp;"."</f>
        <v>Caro Responsável/Delegado de Compliance:
A Western Union realizou uma Análise do Programa de Antibranqueamento de Capitais (AML), de Combate ao Financiamento do Terrorismo (CFT) e Antifraude da TIENDA MUEBLERIA EL BODEGON AY de Sintra em  Martes 2 Septiembre, 2025.</v>
      </c>
      <c r="BU8" s="505"/>
      <c r="BV8" s="505"/>
      <c r="BW8" s="505"/>
      <c r="BX8" s="505"/>
      <c r="BY8" s="505"/>
    </row>
    <row r="9" spans="1:77" ht="12" customHeight="1">
      <c r="A9" s="505"/>
      <c r="B9" s="505"/>
      <c r="C9" s="505"/>
      <c r="D9" s="505"/>
      <c r="E9" s="505"/>
      <c r="F9" s="505"/>
      <c r="I9" s="505"/>
      <c r="J9" s="505"/>
      <c r="K9" s="505"/>
      <c r="L9" s="505"/>
      <c r="M9" s="505"/>
      <c r="N9" s="505"/>
      <c r="P9" s="517"/>
      <c r="Q9" s="517"/>
      <c r="R9" s="517"/>
      <c r="S9" s="517"/>
      <c r="T9" s="517"/>
      <c r="U9" s="517"/>
      <c r="W9" s="505"/>
      <c r="X9" s="505"/>
      <c r="Y9" s="505"/>
      <c r="Z9" s="505"/>
      <c r="AA9" s="515"/>
      <c r="AB9" s="505"/>
      <c r="AD9" s="505"/>
      <c r="AE9" s="505"/>
      <c r="AF9" s="505"/>
      <c r="AG9" s="505"/>
      <c r="AH9" s="505"/>
      <c r="AI9" s="505"/>
      <c r="AK9" s="506" t="s">
        <v>238</v>
      </c>
      <c r="AL9" s="506"/>
      <c r="AM9" s="506"/>
      <c r="AN9" s="506"/>
      <c r="AO9" s="506"/>
      <c r="AP9" s="506"/>
      <c r="AR9" s="505"/>
      <c r="AS9" s="505"/>
      <c r="AT9" s="505"/>
      <c r="AU9" s="505"/>
      <c r="AV9" s="505"/>
      <c r="AW9" s="505"/>
      <c r="AY9" s="500"/>
      <c r="AZ9" s="500"/>
      <c r="BA9" s="500"/>
      <c r="BB9" s="500"/>
      <c r="BC9" s="500"/>
      <c r="BD9" s="500"/>
      <c r="BF9" s="505"/>
      <c r="BG9" s="505"/>
      <c r="BH9" s="505"/>
      <c r="BI9" s="505"/>
      <c r="BJ9" s="505"/>
      <c r="BK9" s="505"/>
      <c r="BM9" s="505"/>
      <c r="BN9" s="505"/>
      <c r="BO9" s="505"/>
      <c r="BP9" s="505"/>
      <c r="BQ9" s="505"/>
      <c r="BR9" s="505"/>
      <c r="BT9" s="505"/>
      <c r="BU9" s="505"/>
      <c r="BV9" s="505"/>
      <c r="BW9" s="505"/>
      <c r="BX9" s="505"/>
      <c r="BY9" s="505"/>
    </row>
    <row r="10" spans="1:77" ht="32.15" customHeight="1">
      <c r="A10" s="505"/>
      <c r="B10" s="505"/>
      <c r="C10" s="505"/>
      <c r="D10" s="505"/>
      <c r="E10" s="505"/>
      <c r="F10" s="505"/>
      <c r="I10" s="505"/>
      <c r="J10" s="505"/>
      <c r="K10" s="505"/>
      <c r="L10" s="505"/>
      <c r="M10" s="505"/>
      <c r="N10" s="505"/>
      <c r="P10" s="517"/>
      <c r="Q10" s="517"/>
      <c r="R10" s="517"/>
      <c r="S10" s="517"/>
      <c r="T10" s="517"/>
      <c r="U10" s="517"/>
      <c r="W10" s="505"/>
      <c r="X10" s="505"/>
      <c r="Y10" s="505"/>
      <c r="Z10" s="505"/>
      <c r="AA10" s="515"/>
      <c r="AB10" s="505"/>
      <c r="AD10" s="505"/>
      <c r="AE10" s="505"/>
      <c r="AF10" s="505"/>
      <c r="AG10" s="505"/>
      <c r="AH10" s="505"/>
      <c r="AI10" s="505"/>
      <c r="AK10" s="506"/>
      <c r="AL10" s="506"/>
      <c r="AM10" s="506"/>
      <c r="AN10" s="506"/>
      <c r="AO10" s="506"/>
      <c r="AP10" s="506"/>
      <c r="AR10" s="505"/>
      <c r="AS10" s="505"/>
      <c r="AT10" s="505"/>
      <c r="AU10" s="505"/>
      <c r="AV10" s="505"/>
      <c r="AW10" s="505"/>
      <c r="AY10" s="500" t="s">
        <v>239</v>
      </c>
      <c r="AZ10" s="500"/>
      <c r="BA10" s="500"/>
      <c r="BB10" s="500"/>
      <c r="BC10" s="500"/>
      <c r="BD10" s="500"/>
      <c r="BF10" s="505"/>
      <c r="BG10" s="505"/>
      <c r="BH10" s="505"/>
      <c r="BI10" s="505"/>
      <c r="BJ10" s="505"/>
      <c r="BK10" s="505"/>
      <c r="BM10" s="499" t="s">
        <v>240</v>
      </c>
      <c r="BN10" s="499"/>
      <c r="BO10" s="499"/>
      <c r="BP10" s="499"/>
      <c r="BQ10" s="499"/>
      <c r="BR10" s="499"/>
      <c r="BT10" s="505"/>
      <c r="BU10" s="505"/>
      <c r="BV10" s="505"/>
      <c r="BW10" s="505"/>
      <c r="BX10" s="505"/>
      <c r="BY10" s="505"/>
    </row>
    <row r="11" spans="1:77" ht="27" customHeight="1">
      <c r="A11" s="519"/>
      <c r="B11" s="520"/>
      <c r="C11" s="520"/>
      <c r="D11" s="520"/>
      <c r="E11" s="520"/>
      <c r="F11" s="520"/>
      <c r="I11" s="519" t="s">
        <v>241</v>
      </c>
      <c r="J11" s="520"/>
      <c r="K11" s="520"/>
      <c r="L11" s="520"/>
      <c r="M11" s="520"/>
      <c r="N11" s="520"/>
      <c r="P11" s="507" t="s">
        <v>242</v>
      </c>
      <c r="Q11" s="507"/>
      <c r="R11" s="507"/>
      <c r="S11" s="507"/>
      <c r="T11" s="507"/>
      <c r="U11" s="507"/>
      <c r="W11" s="507" t="s">
        <v>243</v>
      </c>
      <c r="X11" s="507"/>
      <c r="Y11" s="507"/>
      <c r="Z11" s="507"/>
      <c r="AA11" s="521"/>
      <c r="AB11" s="507"/>
      <c r="AD11" s="522" t="s">
        <v>244</v>
      </c>
      <c r="AE11" s="522"/>
      <c r="AF11" s="522"/>
      <c r="AG11" s="522"/>
      <c r="AH11" s="522"/>
      <c r="AI11" s="522"/>
      <c r="AK11" s="509" t="s">
        <v>245</v>
      </c>
      <c r="AL11" s="509"/>
      <c r="AM11" s="509"/>
      <c r="AN11" s="509"/>
      <c r="AO11" s="509"/>
      <c r="AP11" s="509"/>
      <c r="AR11" s="500" t="s">
        <v>246</v>
      </c>
      <c r="AS11" s="500"/>
      <c r="AT11" s="500"/>
      <c r="AU11" s="500"/>
      <c r="AV11" s="500"/>
      <c r="AW11" s="500"/>
      <c r="AY11" s="507" t="s">
        <v>247</v>
      </c>
      <c r="AZ11" s="507"/>
      <c r="BA11" s="507"/>
      <c r="BB11" s="507"/>
      <c r="BC11" s="507"/>
      <c r="BD11" s="507"/>
      <c r="BF11" s="499" t="s">
        <v>248</v>
      </c>
      <c r="BG11" s="499"/>
      <c r="BH11" s="499"/>
      <c r="BI11" s="499"/>
      <c r="BJ11" s="499"/>
      <c r="BK11" s="499"/>
      <c r="BM11" s="508" t="s">
        <v>249</v>
      </c>
      <c r="BN11" s="508"/>
      <c r="BO11" s="508"/>
      <c r="BP11" s="508"/>
      <c r="BQ11" s="508"/>
      <c r="BR11" s="508"/>
      <c r="BT11" s="499" t="s">
        <v>250</v>
      </c>
      <c r="BU11" s="499"/>
      <c r="BV11" s="499"/>
      <c r="BW11" s="499"/>
      <c r="BX11" s="499"/>
      <c r="BY11" s="499"/>
    </row>
    <row r="12" spans="1:77" ht="27.65" customHeight="1">
      <c r="A12" s="520"/>
      <c r="B12" s="520"/>
      <c r="C12" s="520"/>
      <c r="D12" s="520"/>
      <c r="E12" s="520"/>
      <c r="F12" s="520"/>
      <c r="I12" s="520"/>
      <c r="J12" s="520"/>
      <c r="K12" s="520"/>
      <c r="L12" s="520"/>
      <c r="M12" s="520"/>
      <c r="N12" s="520"/>
      <c r="P12" s="507"/>
      <c r="Q12" s="507"/>
      <c r="R12" s="507"/>
      <c r="S12" s="507"/>
      <c r="T12" s="507"/>
      <c r="U12" s="507"/>
      <c r="W12" s="507"/>
      <c r="X12" s="507"/>
      <c r="Y12" s="507"/>
      <c r="Z12" s="507"/>
      <c r="AA12" s="521"/>
      <c r="AB12" s="507"/>
      <c r="AD12" s="522"/>
      <c r="AE12" s="522"/>
      <c r="AF12" s="522"/>
      <c r="AG12" s="522"/>
      <c r="AH12" s="522"/>
      <c r="AI12" s="522"/>
      <c r="AK12" s="509"/>
      <c r="AL12" s="509"/>
      <c r="AM12" s="509"/>
      <c r="AN12" s="509"/>
      <c r="AO12" s="509"/>
      <c r="AP12" s="509"/>
      <c r="AR12" s="500"/>
      <c r="AS12" s="500"/>
      <c r="AT12" s="500"/>
      <c r="AU12" s="500"/>
      <c r="AV12" s="500"/>
      <c r="AW12" s="500"/>
      <c r="AY12" s="507"/>
      <c r="AZ12" s="507"/>
      <c r="BA12" s="507"/>
      <c r="BB12" s="507"/>
      <c r="BC12" s="507"/>
      <c r="BD12" s="507"/>
      <c r="BF12" s="499"/>
      <c r="BG12" s="499"/>
      <c r="BH12" s="499"/>
      <c r="BI12" s="499"/>
      <c r="BJ12" s="499"/>
      <c r="BK12" s="499"/>
      <c r="BM12" s="508"/>
      <c r="BN12" s="508"/>
      <c r="BO12" s="508"/>
      <c r="BP12" s="508"/>
      <c r="BQ12" s="508"/>
      <c r="BR12" s="508"/>
      <c r="BT12" s="499"/>
      <c r="BU12" s="499"/>
      <c r="BV12" s="499"/>
      <c r="BW12" s="499"/>
      <c r="BX12" s="499"/>
      <c r="BY12" s="499"/>
    </row>
    <row r="13" spans="1:77" ht="51" customHeight="1">
      <c r="A13" s="520"/>
      <c r="B13" s="520"/>
      <c r="C13" s="520"/>
      <c r="D13" s="520"/>
      <c r="E13" s="520"/>
      <c r="F13" s="520"/>
      <c r="I13" s="520"/>
      <c r="J13" s="520"/>
      <c r="K13" s="520"/>
      <c r="L13" s="520"/>
      <c r="M13" s="520"/>
      <c r="N13" s="520"/>
      <c r="P13" s="507"/>
      <c r="Q13" s="507"/>
      <c r="R13" s="507"/>
      <c r="S13" s="507"/>
      <c r="T13" s="507"/>
      <c r="U13" s="507"/>
      <c r="W13" s="507"/>
      <c r="X13" s="507"/>
      <c r="Y13" s="507"/>
      <c r="Z13" s="507"/>
      <c r="AA13" s="521"/>
      <c r="AB13" s="507"/>
      <c r="AD13" s="522"/>
      <c r="AE13" s="522"/>
      <c r="AF13" s="522"/>
      <c r="AG13" s="522"/>
      <c r="AH13" s="522"/>
      <c r="AI13" s="522"/>
      <c r="AK13" s="509"/>
      <c r="AL13" s="509"/>
      <c r="AM13" s="509"/>
      <c r="AN13" s="509"/>
      <c r="AO13" s="509"/>
      <c r="AP13" s="509"/>
      <c r="AR13" s="500"/>
      <c r="AS13" s="500"/>
      <c r="AT13" s="500"/>
      <c r="AU13" s="500"/>
      <c r="AV13" s="500"/>
      <c r="AW13" s="500"/>
      <c r="AY13" s="507"/>
      <c r="AZ13" s="507"/>
      <c r="BA13" s="507"/>
      <c r="BB13" s="507"/>
      <c r="BC13" s="507"/>
      <c r="BD13" s="507"/>
      <c r="BF13" s="499"/>
      <c r="BG13" s="499"/>
      <c r="BH13" s="499"/>
      <c r="BI13" s="499"/>
      <c r="BJ13" s="499"/>
      <c r="BK13" s="499"/>
      <c r="BM13" s="508"/>
      <c r="BN13" s="508"/>
      <c r="BO13" s="508"/>
      <c r="BP13" s="508"/>
      <c r="BQ13" s="508"/>
      <c r="BR13" s="508"/>
      <c r="BT13" s="499"/>
      <c r="BU13" s="499"/>
      <c r="BV13" s="499"/>
      <c r="BW13" s="499"/>
      <c r="BX13" s="499"/>
      <c r="BY13" s="499"/>
    </row>
    <row r="14" spans="1:77" ht="53.25" customHeight="1">
      <c r="A14" s="520"/>
      <c r="B14" s="520"/>
      <c r="C14" s="520"/>
      <c r="D14" s="520"/>
      <c r="E14" s="520"/>
      <c r="F14" s="520"/>
      <c r="I14" s="520"/>
      <c r="J14" s="520"/>
      <c r="K14" s="520"/>
      <c r="L14" s="520"/>
      <c r="M14" s="520"/>
      <c r="N14" s="520"/>
      <c r="P14" s="507"/>
      <c r="Q14" s="507"/>
      <c r="R14" s="507"/>
      <c r="S14" s="507"/>
      <c r="T14" s="507"/>
      <c r="U14" s="507"/>
      <c r="W14" s="507"/>
      <c r="X14" s="507"/>
      <c r="Y14" s="507"/>
      <c r="Z14" s="507"/>
      <c r="AA14" s="521"/>
      <c r="AB14" s="507"/>
      <c r="AD14" s="522"/>
      <c r="AE14" s="522"/>
      <c r="AF14" s="522"/>
      <c r="AG14" s="522"/>
      <c r="AH14" s="522"/>
      <c r="AI14" s="522"/>
      <c r="AK14" s="509"/>
      <c r="AL14" s="509"/>
      <c r="AM14" s="509"/>
      <c r="AN14" s="509"/>
      <c r="AO14" s="509"/>
      <c r="AP14" s="509"/>
      <c r="AR14" s="500"/>
      <c r="AS14" s="500"/>
      <c r="AT14" s="500"/>
      <c r="AU14" s="500"/>
      <c r="AV14" s="500"/>
      <c r="AW14" s="500"/>
      <c r="AY14" s="507"/>
      <c r="AZ14" s="507"/>
      <c r="BA14" s="507"/>
      <c r="BB14" s="507"/>
      <c r="BC14" s="507"/>
      <c r="BD14" s="507"/>
      <c r="BF14" s="499"/>
      <c r="BG14" s="499"/>
      <c r="BH14" s="499"/>
      <c r="BI14" s="499"/>
      <c r="BJ14" s="499"/>
      <c r="BK14" s="499"/>
      <c r="BM14" s="508"/>
      <c r="BN14" s="508"/>
      <c r="BO14" s="508"/>
      <c r="BP14" s="508"/>
      <c r="BQ14" s="508"/>
      <c r="BR14" s="508"/>
      <c r="BT14" s="499"/>
      <c r="BU14" s="499"/>
      <c r="BV14" s="499"/>
      <c r="BW14" s="499"/>
      <c r="BX14" s="499"/>
      <c r="BY14" s="499"/>
    </row>
    <row r="15" spans="1:77" ht="28.4" customHeight="1">
      <c r="A15" s="520"/>
      <c r="B15" s="520"/>
      <c r="C15" s="520"/>
      <c r="D15" s="520"/>
      <c r="E15" s="520"/>
      <c r="F15" s="520"/>
      <c r="I15" s="520"/>
      <c r="J15" s="520"/>
      <c r="K15" s="520"/>
      <c r="L15" s="520"/>
      <c r="M15" s="520"/>
      <c r="N15" s="520"/>
      <c r="P15" s="507"/>
      <c r="Q15" s="507"/>
      <c r="R15" s="507"/>
      <c r="S15" s="507"/>
      <c r="T15" s="507"/>
      <c r="U15" s="507"/>
      <c r="W15" s="507"/>
      <c r="X15" s="507"/>
      <c r="Y15" s="507"/>
      <c r="Z15" s="507"/>
      <c r="AA15" s="521"/>
      <c r="AB15" s="507"/>
      <c r="AD15" s="522"/>
      <c r="AE15" s="522"/>
      <c r="AF15" s="522"/>
      <c r="AG15" s="522"/>
      <c r="AH15" s="522"/>
      <c r="AI15" s="522"/>
      <c r="AK15" s="509"/>
      <c r="AL15" s="509"/>
      <c r="AM15" s="509"/>
      <c r="AN15" s="509"/>
      <c r="AO15" s="509"/>
      <c r="AP15" s="509"/>
      <c r="AR15" s="500"/>
      <c r="AS15" s="500"/>
      <c r="AT15" s="500"/>
      <c r="AU15" s="500"/>
      <c r="AV15" s="500"/>
      <c r="AW15" s="500"/>
      <c r="AY15" s="507"/>
      <c r="AZ15" s="507"/>
      <c r="BA15" s="507"/>
      <c r="BB15" s="507"/>
      <c r="BC15" s="507"/>
      <c r="BD15" s="507"/>
      <c r="BF15" s="499"/>
      <c r="BG15" s="499"/>
      <c r="BH15" s="499"/>
      <c r="BI15" s="499"/>
      <c r="BJ15" s="499"/>
      <c r="BK15" s="499"/>
      <c r="BM15" s="508"/>
      <c r="BN15" s="508"/>
      <c r="BO15" s="508"/>
      <c r="BP15" s="508"/>
      <c r="BQ15" s="508"/>
      <c r="BR15" s="508"/>
      <c r="BT15" s="499"/>
      <c r="BU15" s="499"/>
      <c r="BV15" s="499"/>
      <c r="BW15" s="499"/>
      <c r="BX15" s="499"/>
      <c r="BY15" s="499"/>
    </row>
    <row r="16" spans="1:77" ht="28.4" customHeight="1">
      <c r="A16" s="520"/>
      <c r="B16" s="520"/>
      <c r="C16" s="520"/>
      <c r="D16" s="520"/>
      <c r="E16" s="520"/>
      <c r="F16" s="520"/>
      <c r="I16" s="520"/>
      <c r="J16" s="520"/>
      <c r="K16" s="520"/>
      <c r="L16" s="520"/>
      <c r="M16" s="520"/>
      <c r="N16" s="520"/>
      <c r="P16" s="507"/>
      <c r="Q16" s="507"/>
      <c r="R16" s="507"/>
      <c r="S16" s="507"/>
      <c r="T16" s="507"/>
      <c r="U16" s="507"/>
      <c r="W16" s="507"/>
      <c r="X16" s="507"/>
      <c r="Y16" s="507"/>
      <c r="Z16" s="507"/>
      <c r="AA16" s="521"/>
      <c r="AB16" s="507"/>
      <c r="AD16" s="522"/>
      <c r="AE16" s="522"/>
      <c r="AF16" s="522"/>
      <c r="AG16" s="522"/>
      <c r="AH16" s="522"/>
      <c r="AI16" s="522"/>
      <c r="AK16" s="509"/>
      <c r="AL16" s="509"/>
      <c r="AM16" s="509"/>
      <c r="AN16" s="509"/>
      <c r="AO16" s="509"/>
      <c r="AP16" s="509"/>
      <c r="AR16" s="500"/>
      <c r="AS16" s="500"/>
      <c r="AT16" s="500"/>
      <c r="AU16" s="500"/>
      <c r="AV16" s="500"/>
      <c r="AW16" s="500"/>
      <c r="AY16" s="507"/>
      <c r="AZ16" s="507"/>
      <c r="BA16" s="507"/>
      <c r="BB16" s="507"/>
      <c r="BC16" s="507"/>
      <c r="BD16" s="507"/>
      <c r="BF16" s="499"/>
      <c r="BG16" s="499"/>
      <c r="BH16" s="499"/>
      <c r="BI16" s="499"/>
      <c r="BJ16" s="499"/>
      <c r="BK16" s="499"/>
      <c r="BM16" s="508"/>
      <c r="BN16" s="508"/>
      <c r="BO16" s="508"/>
      <c r="BP16" s="508"/>
      <c r="BQ16" s="508"/>
      <c r="BR16" s="508"/>
      <c r="BT16" s="499"/>
      <c r="BU16" s="499"/>
      <c r="BV16" s="499"/>
      <c r="BW16" s="499"/>
      <c r="BX16" s="499"/>
      <c r="BY16" s="499"/>
    </row>
    <row r="17" spans="1:77" ht="27.75" customHeight="1">
      <c r="A17" s="520"/>
      <c r="B17" s="520"/>
      <c r="C17" s="520"/>
      <c r="D17" s="520"/>
      <c r="E17" s="520"/>
      <c r="F17" s="520"/>
      <c r="I17" s="520"/>
      <c r="J17" s="520"/>
      <c r="K17" s="520"/>
      <c r="L17" s="520"/>
      <c r="M17" s="520"/>
      <c r="N17" s="520"/>
      <c r="P17" s="507" t="str">
        <f>"The Program review resulted in proprietary findings and/or violations to "&amp;IF('Call Flow'!$F$5="India_FTF","India",'Call Flow'!$F$5)&amp;" law and/or applicable Western Union compliance policies and procedures as detailed in the attached."</f>
        <v>The Program review resulted in proprietary findings and/or violations to Mexico law and/or applicable Western Union compliance policies and procedures as detailed in the attached.</v>
      </c>
      <c r="Q17" s="507"/>
      <c r="R17" s="507"/>
      <c r="S17" s="507"/>
      <c r="T17" s="507"/>
      <c r="U17" s="507"/>
      <c r="W17" s="507"/>
      <c r="X17" s="507"/>
      <c r="Y17" s="507"/>
      <c r="Z17" s="507"/>
      <c r="AA17" s="521"/>
      <c r="AB17" s="507"/>
      <c r="AD17" s="499" t="str">
        <f>"La revisión del programa dio como resultado hallazgos/infracciones de propiedad de la ley en  "&amp;'Call Flow'!$F$5&amp;" /políticas y procedimientos de cumplimiento aplicables de Western Union, tal y como se especifica en el adjunto. "</f>
        <v xml:space="preserve">La revisión del programa dio como resultado hallazgos/infracciones de propiedad de la ley en  Mexico /políticas y procedimientos de cumplimiento aplicables de Western Union, tal y como se especifica en el adjunto. </v>
      </c>
      <c r="AE17" s="499"/>
      <c r="AF17" s="499"/>
      <c r="AG17" s="499"/>
      <c r="AH17" s="499"/>
      <c r="AI17" s="499"/>
      <c r="AK17" s="509"/>
      <c r="AL17" s="509"/>
      <c r="AM17" s="509"/>
      <c r="AN17" s="509"/>
      <c r="AO17" s="509"/>
      <c r="AP17" s="509"/>
      <c r="AR17" s="500"/>
      <c r="AS17" s="500"/>
      <c r="AT17" s="500"/>
      <c r="AU17" s="500"/>
      <c r="AV17" s="500"/>
      <c r="AW17" s="500"/>
      <c r="AY17" s="507"/>
      <c r="AZ17" s="507"/>
      <c r="BA17" s="507"/>
      <c r="BB17" s="507"/>
      <c r="BC17" s="507"/>
      <c r="BD17" s="507"/>
      <c r="BF17" s="499"/>
      <c r="BG17" s="499"/>
      <c r="BH17" s="499"/>
      <c r="BI17" s="499"/>
      <c r="BJ17" s="499"/>
      <c r="BK17" s="499"/>
      <c r="BM17" s="508"/>
      <c r="BN17" s="508"/>
      <c r="BO17" s="508"/>
      <c r="BP17" s="508"/>
      <c r="BQ17" s="508"/>
      <c r="BR17" s="508"/>
      <c r="BT17" s="499"/>
      <c r="BU17" s="499"/>
      <c r="BV17" s="499"/>
      <c r="BW17" s="499"/>
      <c r="BX17" s="499"/>
      <c r="BY17" s="499"/>
    </row>
    <row r="18" spans="1:77" ht="40.5" customHeight="1">
      <c r="A18" s="520"/>
      <c r="B18" s="520"/>
      <c r="C18" s="520"/>
      <c r="D18" s="520"/>
      <c r="E18" s="520"/>
      <c r="F18" s="520"/>
      <c r="I18" s="520"/>
      <c r="J18" s="520"/>
      <c r="K18" s="520"/>
      <c r="L18" s="520"/>
      <c r="M18" s="520"/>
      <c r="N18" s="520"/>
      <c r="P18" s="501" t="s">
        <v>251</v>
      </c>
      <c r="Q18" s="501"/>
      <c r="R18" s="501"/>
      <c r="S18" s="501"/>
      <c r="T18" s="501"/>
      <c r="U18" s="501"/>
      <c r="W18" s="507"/>
      <c r="X18" s="507"/>
      <c r="Y18" s="507"/>
      <c r="Z18" s="507"/>
      <c r="AA18" s="521"/>
      <c r="AB18" s="507"/>
      <c r="AD18" s="523" t="s">
        <v>252</v>
      </c>
      <c r="AE18" s="523"/>
      <c r="AF18" s="523"/>
      <c r="AG18" s="523"/>
      <c r="AH18" s="523"/>
      <c r="AI18" s="523"/>
      <c r="AK18" s="509"/>
      <c r="AL18" s="509"/>
      <c r="AM18" s="509"/>
      <c r="AN18" s="509"/>
      <c r="AO18" s="509"/>
      <c r="AP18" s="509"/>
      <c r="AR18" s="510" t="str">
        <f>"La revue du programme a dévoilé des résultats confidentiels et/ou violations aux lois du et/ou "&amp;'Call Flow'!$F$5&amp;" ou aux politiques et procédures en vigueur de Western Union en matière de conformité selon les détails ci-joints."</f>
        <v>La revue du programme a dévoilé des résultats confidentiels et/ou violations aux lois du et/ou Mexico ou aux politiques et procédures en vigueur de Western Union en matière de conformité selon les détails ci-joints.</v>
      </c>
      <c r="AS18" s="510"/>
      <c r="AT18" s="510"/>
      <c r="AU18" s="510"/>
      <c r="AV18" s="510"/>
      <c r="AW18" s="510"/>
      <c r="AY18" s="507"/>
      <c r="AZ18" s="507"/>
      <c r="BA18" s="507"/>
      <c r="BB18" s="507"/>
      <c r="BC18" s="507"/>
      <c r="BD18" s="507"/>
      <c r="BF18" s="507" t="str">
        <f>"Durante a revisão foram identificados os seguintes itens e/ou violações da legislação e/ou políticas e procedimentos de Compliance da Western Union, aplicáveis ao  "&amp;'Call Flow'!$F$5&amp;" conforme detalhado no anexo."</f>
        <v>Durante a revisão foram identificados os seguintes itens e/ou violações da legislação e/ou políticas e procedimentos de Compliance da Western Union, aplicáveis ao  Mexico conforme detalhado no anexo.</v>
      </c>
      <c r="BG18" s="507"/>
      <c r="BH18" s="507"/>
      <c r="BI18" s="507"/>
      <c r="BJ18" s="507"/>
      <c r="BK18" s="507"/>
      <c r="BM18" s="508"/>
      <c r="BN18" s="508"/>
      <c r="BO18" s="508"/>
      <c r="BP18" s="508"/>
      <c r="BQ18" s="508"/>
      <c r="BR18" s="508"/>
      <c r="BT18" s="511" t="str">
        <f>"A revisão do Programa resultou em incidências relativas à lei de "&amp;'Call Flow'!$F$5&amp;" e / ou políticas e procedimentos de Compliance da Western Union, conforme detalhado no anexo."</f>
        <v>A revisão do Programa resultou em incidências relativas à lei de Mexico e / ou políticas e procedimentos de Compliance da Western Union, conforme detalhado no anexo.</v>
      </c>
      <c r="BU18" s="511"/>
      <c r="BV18" s="511"/>
      <c r="BW18" s="511"/>
      <c r="BX18" s="511"/>
      <c r="BY18" s="511"/>
    </row>
    <row r="19" spans="1:77" ht="27" customHeight="1">
      <c r="A19" s="520"/>
      <c r="B19" s="520"/>
      <c r="C19" s="520"/>
      <c r="D19" s="520"/>
      <c r="E19" s="520"/>
      <c r="F19" s="520"/>
      <c r="I19" s="520"/>
      <c r="J19" s="520"/>
      <c r="K19" s="520"/>
      <c r="L19" s="520"/>
      <c r="M19" s="520"/>
      <c r="N19" s="520"/>
      <c r="P19" s="501"/>
      <c r="Q19" s="501"/>
      <c r="R19" s="501"/>
      <c r="S19" s="501"/>
      <c r="T19" s="501"/>
      <c r="U19" s="501"/>
      <c r="W19" s="507"/>
      <c r="X19" s="507"/>
      <c r="Y19" s="507"/>
      <c r="Z19" s="507"/>
      <c r="AA19" s="521"/>
      <c r="AB19" s="507"/>
      <c r="AD19" s="523"/>
      <c r="AE19" s="523"/>
      <c r="AF19" s="523"/>
      <c r="AG19" s="523"/>
      <c r="AH19" s="523"/>
      <c r="AI19" s="523"/>
      <c r="AK19" s="509"/>
      <c r="AL19" s="509"/>
      <c r="AM19" s="509"/>
      <c r="AN19" s="509"/>
      <c r="AO19" s="509"/>
      <c r="AP19" s="509"/>
      <c r="AR19" s="501" t="s">
        <v>253</v>
      </c>
      <c r="AS19" s="501"/>
      <c r="AT19" s="501"/>
      <c r="AU19" s="501"/>
      <c r="AV19" s="501"/>
      <c r="AW19" s="501"/>
      <c r="AY19" s="507"/>
      <c r="AZ19" s="507"/>
      <c r="BA19" s="507"/>
      <c r="BB19" s="507"/>
      <c r="BC19" s="507"/>
      <c r="BD19" s="507"/>
      <c r="BF19" s="499" t="s">
        <v>254</v>
      </c>
      <c r="BG19" s="499"/>
      <c r="BH19" s="499"/>
      <c r="BI19" s="499"/>
      <c r="BJ19" s="499"/>
      <c r="BK19" s="499"/>
      <c r="BM19" s="508"/>
      <c r="BN19" s="508"/>
      <c r="BO19" s="508"/>
      <c r="BP19" s="508"/>
      <c r="BQ19" s="508"/>
      <c r="BR19" s="508"/>
      <c r="BT19" s="499" t="s">
        <v>255</v>
      </c>
      <c r="BU19" s="499"/>
      <c r="BV19" s="499"/>
      <c r="BW19" s="499"/>
      <c r="BX19" s="499"/>
      <c r="BY19" s="499"/>
    </row>
    <row r="20" spans="1:77" ht="12.75" customHeight="1">
      <c r="A20" s="520"/>
      <c r="B20" s="520"/>
      <c r="C20" s="520"/>
      <c r="D20" s="520"/>
      <c r="E20" s="520"/>
      <c r="F20" s="520"/>
      <c r="I20" s="520"/>
      <c r="J20" s="520"/>
      <c r="K20" s="520"/>
      <c r="L20" s="520"/>
      <c r="M20" s="520"/>
      <c r="N20" s="520"/>
      <c r="P20" s="501"/>
      <c r="Q20" s="501"/>
      <c r="R20" s="501"/>
      <c r="S20" s="501"/>
      <c r="T20" s="501"/>
      <c r="U20" s="501"/>
      <c r="W20" s="507"/>
      <c r="X20" s="507"/>
      <c r="Y20" s="507"/>
      <c r="Z20" s="507"/>
      <c r="AA20" s="521"/>
      <c r="AB20" s="507"/>
      <c r="AD20" s="523"/>
      <c r="AE20" s="523"/>
      <c r="AF20" s="523"/>
      <c r="AG20" s="523"/>
      <c r="AH20" s="523"/>
      <c r="AI20" s="523"/>
      <c r="AK20" s="509"/>
      <c r="AL20" s="509"/>
      <c r="AM20" s="509"/>
      <c r="AN20" s="509"/>
      <c r="AO20" s="509"/>
      <c r="AP20" s="509"/>
      <c r="AR20" s="501"/>
      <c r="AS20" s="501"/>
      <c r="AT20" s="501"/>
      <c r="AU20" s="501"/>
      <c r="AV20" s="501"/>
      <c r="AW20" s="501"/>
      <c r="AY20" s="507"/>
      <c r="AZ20" s="507"/>
      <c r="BA20" s="507"/>
      <c r="BB20" s="507"/>
      <c r="BC20" s="507"/>
      <c r="BD20" s="507"/>
      <c r="BF20" s="499"/>
      <c r="BG20" s="499"/>
      <c r="BH20" s="499"/>
      <c r="BI20" s="499"/>
      <c r="BJ20" s="499"/>
      <c r="BK20" s="499"/>
      <c r="BM20" s="508"/>
      <c r="BN20" s="508"/>
      <c r="BO20" s="508"/>
      <c r="BP20" s="508"/>
      <c r="BQ20" s="508"/>
      <c r="BR20" s="508"/>
      <c r="BT20" s="499"/>
      <c r="BU20" s="499"/>
      <c r="BV20" s="499"/>
      <c r="BW20" s="499"/>
      <c r="BX20" s="499"/>
      <c r="BY20" s="499"/>
    </row>
    <row r="21" spans="1:77" ht="13.5" customHeight="1">
      <c r="A21" s="520"/>
      <c r="B21" s="520"/>
      <c r="C21" s="520"/>
      <c r="D21" s="520"/>
      <c r="E21" s="520"/>
      <c r="F21" s="520"/>
      <c r="I21" s="520"/>
      <c r="J21" s="520"/>
      <c r="K21" s="520"/>
      <c r="L21" s="520"/>
      <c r="M21" s="520"/>
      <c r="N21" s="520"/>
      <c r="P21" s="501"/>
      <c r="Q21" s="501"/>
      <c r="R21" s="501"/>
      <c r="S21" s="501"/>
      <c r="T21" s="501"/>
      <c r="U21" s="501"/>
      <c r="W21" s="507"/>
      <c r="X21" s="507"/>
      <c r="Y21" s="507"/>
      <c r="Z21" s="507"/>
      <c r="AA21" s="521"/>
      <c r="AB21" s="507"/>
      <c r="AD21" s="523"/>
      <c r="AE21" s="523"/>
      <c r="AF21" s="523"/>
      <c r="AG21" s="523"/>
      <c r="AH21" s="523"/>
      <c r="AI21" s="523"/>
      <c r="AK21" s="509"/>
      <c r="AL21" s="509"/>
      <c r="AM21" s="509"/>
      <c r="AN21" s="509"/>
      <c r="AO21" s="509"/>
      <c r="AP21" s="509"/>
      <c r="AR21" s="501"/>
      <c r="AS21" s="501"/>
      <c r="AT21" s="501"/>
      <c r="AU21" s="501"/>
      <c r="AV21" s="501"/>
      <c r="AW21" s="501"/>
      <c r="AY21" s="507"/>
      <c r="AZ21" s="507"/>
      <c r="BA21" s="507"/>
      <c r="BB21" s="507"/>
      <c r="BC21" s="507"/>
      <c r="BD21" s="507"/>
      <c r="BF21" s="499"/>
      <c r="BG21" s="499"/>
      <c r="BH21" s="499"/>
      <c r="BI21" s="499"/>
      <c r="BJ21" s="499"/>
      <c r="BK21" s="499"/>
      <c r="BM21" s="508"/>
      <c r="BN21" s="508"/>
      <c r="BO21" s="508"/>
      <c r="BP21" s="508"/>
      <c r="BQ21" s="508"/>
      <c r="BR21" s="508"/>
      <c r="BT21" s="499"/>
      <c r="BU21" s="499"/>
      <c r="BV21" s="499"/>
      <c r="BW21" s="499"/>
      <c r="BX21" s="499"/>
      <c r="BY21" s="499"/>
    </row>
    <row r="22" spans="1:77" ht="26.9" customHeight="1">
      <c r="A22" s="524"/>
      <c r="B22" s="524"/>
      <c r="C22" s="524"/>
      <c r="D22" s="524"/>
      <c r="E22" s="524"/>
      <c r="F22" s="524"/>
      <c r="I22" s="524" t="str">
        <f>"The Program review resulted in proprietary findings and/or violations to "&amp;'Call Flow'!$F$5&amp;" law and/or applicable Western Union compliance policies and procedures as detailed in the attached.  "</f>
        <v xml:space="preserve">The Program review resulted in proprietary findings and/or violations to Mexico law and/or applicable Western Union compliance policies and procedures as detailed in the attached.  </v>
      </c>
      <c r="J22" s="524"/>
      <c r="K22" s="524"/>
      <c r="L22" s="524"/>
      <c r="M22" s="524"/>
      <c r="N22" s="524"/>
      <c r="P22" s="501"/>
      <c r="Q22" s="501"/>
      <c r="R22" s="501"/>
      <c r="S22" s="501"/>
      <c r="T22" s="501"/>
      <c r="U22" s="501"/>
      <c r="W22" s="524" t="str">
        <f>"La revisión del programa dio como resultado hallazgos y/o infracciones de propiedad de la ley en "&amp;'Call Flow'!$F$5&amp;" y/o políticas y procedimientos de cumplimiento aplicables de Western Union, tal y como se especifica en el adjunto. "</f>
        <v xml:space="preserve">La revisión del programa dio como resultado hallazgos y/o infracciones de propiedad de la ley en Mexico y/o políticas y procedimientos de cumplimiento aplicables de Western Union, tal y como se especifica en el adjunto. </v>
      </c>
      <c r="X22" s="524"/>
      <c r="Y22" s="524"/>
      <c r="Z22" s="524"/>
      <c r="AA22" s="525"/>
      <c r="AB22" s="524"/>
      <c r="AD22" s="523"/>
      <c r="AE22" s="523"/>
      <c r="AF22" s="523"/>
      <c r="AG22" s="523"/>
      <c r="AH22" s="523"/>
      <c r="AI22" s="523"/>
      <c r="AK22" s="504" t="str">
        <f>"La revue du programme a dévoilé des résultats confidentiels et/ou violations aux lois du et/ou "&amp;'Call Flow'!$F$5&amp;" ou aux politiques et procédures en vigueur de Western Union en matière de conformité selon les détails ci-joints."</f>
        <v>La revue du programme a dévoilé des résultats confidentiels et/ou violations aux lois du et/ou Mexico ou aux politiques et procédures en vigueur de Western Union en matière de conformité selon les détails ci-joints.</v>
      </c>
      <c r="AL22" s="504"/>
      <c r="AM22" s="504"/>
      <c r="AN22" s="504"/>
      <c r="AO22" s="504"/>
      <c r="AP22" s="504"/>
      <c r="AR22" s="501"/>
      <c r="AS22" s="501"/>
      <c r="AT22" s="501"/>
      <c r="AU22" s="501"/>
      <c r="AV22" s="501"/>
      <c r="AW22" s="501"/>
      <c r="AY22" s="505" t="str">
        <f>"Durante a revisão foram identificados os seguintes itens e/ou violações da legislação e/ou políticas e procedimentos de Compliance da Western Union, aplicáveis ao  "&amp;'Call Flow'!$F$5&amp;" conforme detalhado no anexo."</f>
        <v>Durante a revisão foram identificados os seguintes itens e/ou violações da legislação e/ou políticas e procedimentos de Compliance da Western Union, aplicáveis ao  Mexico conforme detalhado no anexo.</v>
      </c>
      <c r="AZ22" s="505"/>
      <c r="BA22" s="505"/>
      <c r="BB22" s="505"/>
      <c r="BC22" s="505"/>
      <c r="BD22" s="505"/>
      <c r="BF22" s="499"/>
      <c r="BG22" s="499"/>
      <c r="BH22" s="499"/>
      <c r="BI22" s="499"/>
      <c r="BJ22" s="499"/>
      <c r="BK22" s="499"/>
      <c r="BM22" s="505" t="str">
        <f>"A revisão do Programa resultou em incidências e / ou violações à lei de "&amp;'Call Flow'!$F$5&amp;" e / ou políticas e procedimentos de Compliance da Western Union, conforme detalhado no anexo."</f>
        <v>A revisão do Programa resultou em incidências e / ou violações à lei de Mexico e / ou políticas e procedimentos de Compliance da Western Union, conforme detalhado no anexo.</v>
      </c>
      <c r="BN22" s="505"/>
      <c r="BO22" s="505"/>
      <c r="BP22" s="505"/>
      <c r="BQ22" s="505"/>
      <c r="BR22" s="505"/>
      <c r="BT22" s="499"/>
      <c r="BU22" s="499"/>
      <c r="BV22" s="499"/>
      <c r="BW22" s="499"/>
      <c r="BX22" s="499"/>
      <c r="BY22" s="499"/>
    </row>
    <row r="23" spans="1:77" ht="71.900000000000006" customHeight="1">
      <c r="A23" s="500"/>
      <c r="B23" s="500"/>
      <c r="C23" s="500"/>
      <c r="D23" s="500"/>
      <c r="E23" s="500"/>
      <c r="F23" s="500"/>
      <c r="I23" s="500" t="s">
        <v>256</v>
      </c>
      <c r="J23" s="500"/>
      <c r="K23" s="500"/>
      <c r="L23" s="500"/>
      <c r="M23" s="500"/>
      <c r="N23" s="500"/>
      <c r="P23" s="501" t="str">
        <f>"You may contact us"&amp;IF(OR('Gen Info'!$E$4="United_States",'Gen Info'!$E$4="Canada")," at 1-866-633-2247 (Option 2) ","")&amp;" to discuss any additional questions that you may have regarding the results of the review, to help develop any corrective actions that may be required."</f>
        <v>You may contact us to discuss any additional questions that you may have regarding the results of the review, to help develop any corrective actions that may be required.</v>
      </c>
      <c r="Q23" s="501"/>
      <c r="R23" s="501"/>
      <c r="S23" s="501"/>
      <c r="T23" s="501"/>
      <c r="U23" s="501"/>
      <c r="W23" s="502" t="s">
        <v>257</v>
      </c>
      <c r="X23" s="502"/>
      <c r="Y23" s="502"/>
      <c r="Z23" s="502"/>
      <c r="AA23" s="503"/>
      <c r="AB23" s="502"/>
      <c r="AD23" s="501" t="str">
        <f>"Puede comunicarse con nosotros "&amp;IF(OR('Gen Info'!$E$4="United_States",'Gen Info'!$E$4="Canada")," llamando al 1-866-633-2247 (Opción 2) ","")&amp;"para discutir cualquier pregunta adicional respecto a los resultados de la revisión, para ayudarlo a desarrollar cualquier medida correctiva que pueda ser necesaria."</f>
        <v>Puede comunicarse con nosotros para discutir cualquier pregunta adicional respecto a los resultados de la revisión, para ayudarlo a desarrollar cualquier medida correctiva que pueda ser necesaria.</v>
      </c>
      <c r="AE23" s="501"/>
      <c r="AF23" s="501"/>
      <c r="AG23" s="501"/>
      <c r="AH23" s="501"/>
      <c r="AI23" s="501"/>
      <c r="AK23" s="504" t="s">
        <v>258</v>
      </c>
      <c r="AL23" s="504"/>
      <c r="AM23" s="504"/>
      <c r="AN23" s="504"/>
      <c r="AO23" s="504"/>
      <c r="AP23" s="504"/>
      <c r="AR23" s="510" t="s">
        <v>259</v>
      </c>
      <c r="AS23" s="510"/>
      <c r="AT23" s="510"/>
      <c r="AU23" s="510"/>
      <c r="AV23" s="510"/>
      <c r="AW23" s="510"/>
      <c r="AY23" s="499" t="s">
        <v>260</v>
      </c>
      <c r="AZ23" s="499"/>
      <c r="BA23" s="499"/>
      <c r="BB23" s="499"/>
      <c r="BC23" s="499"/>
      <c r="BD23" s="499"/>
      <c r="BF23" s="499"/>
      <c r="BG23" s="499"/>
      <c r="BH23" s="499"/>
      <c r="BI23" s="499"/>
      <c r="BJ23" s="499"/>
      <c r="BK23" s="499"/>
      <c r="BM23" s="499" t="s">
        <v>261</v>
      </c>
      <c r="BN23" s="499"/>
      <c r="BO23" s="499"/>
      <c r="BP23" s="499"/>
      <c r="BQ23" s="499"/>
      <c r="BR23" s="499"/>
      <c r="BT23" s="499"/>
      <c r="BU23" s="499"/>
      <c r="BV23" s="499"/>
      <c r="BW23" s="499"/>
      <c r="BX23" s="499"/>
      <c r="BY23" s="499"/>
    </row>
    <row r="24" spans="1:77" ht="69.650000000000006" customHeight="1">
      <c r="A24" s="499"/>
      <c r="B24" s="499"/>
      <c r="C24" s="499"/>
      <c r="D24" s="499"/>
      <c r="E24" s="499"/>
      <c r="F24" s="499"/>
      <c r="I24" s="499" t="str">
        <f>$I37&amp;"
"&amp;$J37</f>
        <v>We look forward to your continued cooperation as you complete the action items on the attached list. We are committed to strengthening our business relationship and sharing information that will help you to continually enhance your Compliance Program. 
You may contact us  to discuss any additional questions that you may have regarding the results of the review, to help develop any corrective actions that may be required.</v>
      </c>
      <c r="J24" s="499"/>
      <c r="K24" s="499"/>
      <c r="L24" s="499"/>
      <c r="M24" s="499"/>
      <c r="N24" s="499"/>
      <c r="P24" s="499"/>
      <c r="Q24" s="499"/>
      <c r="R24" s="499"/>
      <c r="S24" s="499"/>
      <c r="T24" s="499"/>
      <c r="U24" s="499"/>
      <c r="W24" s="524" t="str">
        <f>$W$37&amp;$X$37</f>
        <v>Le agradecemos su tiempo y apoyo para ayudar a Western Union a realizar esta revisión.  Esperamos contar con su cooperación continua a medida que completa los elementos de acción que se encuentran en la lista adjunta.  Nos comprometemos a fortalecer nuestra relación comercial y a compartir información que lo ayudará a mejorar continuamente su programa de cumplimiento. Puede comunicarse con nosotros para discutir cualquier pregunta adicional respecto a los resultados de la revisión, para ayudarlo a desarrollar cualquier medida correctiva que pueda ser necesaria.</v>
      </c>
      <c r="X24" s="524"/>
      <c r="Y24" s="524"/>
      <c r="Z24" s="524"/>
      <c r="AA24" s="525"/>
      <c r="AB24" s="524"/>
      <c r="AD24" s="499"/>
      <c r="AE24" s="499"/>
      <c r="AF24" s="499"/>
      <c r="AG24" s="499"/>
      <c r="AH24" s="499"/>
      <c r="AI24" s="499"/>
      <c r="AK24" s="512" t="str">
        <f>$AK$37&amp;$AK$38</f>
        <v>Nous vous remercions pour votre temps et votre aide dans le cadre de cette revue de Western Union. Nous vous remercions à l’avance de votre collaboration continue afin de réaliser les éléments de la liste jointe. Nous sommes déterminés à renforcer notre relation d’affaires et à vous faire part des renseignements qui vous aideront à améliorer de manière permanente votre programme de conformité. N’hésitez pas à communiquer avec nous pour discuter de toute question supplémentaire que vous pourriez vous poser sur les résultats de la revue, pour vous aider à élaborer les mesures correctives qui pourraient s’avérer nécessaires.</v>
      </c>
      <c r="AL24" s="512"/>
      <c r="AM24" s="512"/>
      <c r="AN24" s="512"/>
      <c r="AO24" s="512"/>
      <c r="AP24" s="512"/>
      <c r="AR24" s="502" t="str">
        <f>IF(OR('Gen Info'!$E$4="United_States",'Gen Info'!$E$4="Canada"),"Contactez-nous à 1-866-633-2247 (option 2) pour discuter de toute question supplémentaire que vous pourriez vous poser sur les résultats de la revue et pour vous aider à élaborer les mesures correctives qui pourraient s'avérer nécessaires. ","N'hésitez pas à communiquer avec nous pour discuter de toute question supplémentaire que vous pourriez vous poser sur les résultats de la revue, pour vous aider à élaborer les mesures correctives qui pourraient s'avérer nécessaires.")</f>
        <v>N'hésitez pas à communiquer avec nous pour discuter de toute question supplémentaire que vous pourriez vous poser sur les résultats de la revue, pour vous aider à élaborer les mesures correctives qui pourraient s'avérer nécessaires.</v>
      </c>
      <c r="AS24" s="502"/>
      <c r="AT24" s="502"/>
      <c r="AU24" s="502"/>
      <c r="AV24" s="502"/>
      <c r="AW24" s="502"/>
      <c r="AY24" s="499" t="s">
        <v>262</v>
      </c>
      <c r="AZ24" s="499"/>
      <c r="BA24" s="499"/>
      <c r="BB24" s="499"/>
      <c r="BC24" s="499"/>
      <c r="BD24" s="499"/>
      <c r="BF24" s="499"/>
      <c r="BG24" s="499"/>
      <c r="BH24" s="499"/>
      <c r="BI24" s="499"/>
      <c r="BJ24" s="499"/>
      <c r="BK24" s="499"/>
      <c r="BM24" s="499" t="s">
        <v>263</v>
      </c>
      <c r="BN24" s="499"/>
      <c r="BO24" s="499"/>
      <c r="BP24" s="499"/>
      <c r="BQ24" s="499"/>
      <c r="BR24" s="499"/>
      <c r="BT24" s="499"/>
      <c r="BU24" s="499"/>
      <c r="BV24" s="499"/>
      <c r="BW24" s="499"/>
      <c r="BX24" s="499"/>
      <c r="BY24" s="499"/>
    </row>
    <row r="25" spans="1:77" ht="3.65" customHeight="1">
      <c r="A25" s="485"/>
      <c r="B25" s="485"/>
      <c r="C25" s="485"/>
      <c r="D25" s="485"/>
      <c r="E25" s="485"/>
      <c r="F25" s="485"/>
      <c r="I25" s="485"/>
      <c r="J25" s="485"/>
      <c r="K25" s="485"/>
      <c r="L25" s="485"/>
      <c r="M25" s="485"/>
      <c r="N25" s="485"/>
      <c r="P25" s="485"/>
      <c r="Q25" s="485"/>
      <c r="R25" s="485"/>
      <c r="S25" s="485"/>
      <c r="T25" s="485"/>
      <c r="U25" s="485"/>
      <c r="W25" s="485"/>
      <c r="X25" s="485"/>
      <c r="Y25" s="485"/>
      <c r="Z25" s="485"/>
      <c r="AA25" s="497"/>
      <c r="AB25" s="485"/>
      <c r="AD25" s="485"/>
      <c r="AE25" s="485"/>
      <c r="AF25" s="485"/>
      <c r="AG25" s="485"/>
      <c r="AH25" s="485"/>
      <c r="AI25" s="485"/>
      <c r="AK25" s="512"/>
      <c r="AL25" s="512"/>
      <c r="AM25" s="512"/>
      <c r="AN25" s="512"/>
      <c r="AO25" s="512"/>
      <c r="AP25" s="512"/>
      <c r="AR25" s="485"/>
      <c r="AS25" s="485"/>
      <c r="AT25" s="485"/>
      <c r="AU25" s="485"/>
      <c r="AV25" s="485"/>
      <c r="AW25" s="485"/>
      <c r="AY25" s="485"/>
      <c r="AZ25" s="485"/>
      <c r="BA25" s="485"/>
      <c r="BB25" s="485"/>
      <c r="BC25" s="485"/>
      <c r="BD25" s="485"/>
      <c r="BF25" s="485"/>
      <c r="BG25" s="485"/>
      <c r="BH25" s="485"/>
      <c r="BI25" s="485"/>
      <c r="BJ25" s="485"/>
      <c r="BK25" s="485"/>
      <c r="BM25" s="485"/>
      <c r="BN25" s="485"/>
      <c r="BO25" s="485"/>
      <c r="BP25" s="485"/>
      <c r="BQ25" s="485"/>
      <c r="BR25" s="485"/>
      <c r="BT25" s="485"/>
      <c r="BU25" s="485"/>
      <c r="BV25" s="485"/>
      <c r="BW25" s="485"/>
      <c r="BX25" s="485"/>
      <c r="BY25" s="485"/>
    </row>
    <row r="26" spans="1:77" ht="11.15" customHeight="1">
      <c r="A26" s="478"/>
      <c r="B26" s="478"/>
      <c r="C26" s="478"/>
      <c r="D26" s="478"/>
      <c r="E26" s="478"/>
      <c r="F26" s="478"/>
      <c r="I26" s="478" t="s">
        <v>264</v>
      </c>
      <c r="J26" s="478"/>
      <c r="K26" s="478"/>
      <c r="L26" s="478"/>
      <c r="M26" s="478"/>
      <c r="N26" s="478"/>
      <c r="P26" s="478" t="s">
        <v>264</v>
      </c>
      <c r="Q26" s="478"/>
      <c r="R26" s="478"/>
      <c r="S26" s="478"/>
      <c r="T26" s="478"/>
      <c r="U26" s="478"/>
      <c r="W26" s="494" t="s">
        <v>265</v>
      </c>
      <c r="X26" s="494"/>
      <c r="Y26" s="494"/>
      <c r="Z26" s="494"/>
      <c r="AA26" s="495"/>
      <c r="AB26" s="494"/>
      <c r="AD26" s="494" t="s">
        <v>265</v>
      </c>
      <c r="AE26" s="494"/>
      <c r="AF26" s="494"/>
      <c r="AG26" s="494"/>
      <c r="AH26" s="494"/>
      <c r="AI26" s="494"/>
      <c r="AK26" s="496" t="s">
        <v>266</v>
      </c>
      <c r="AL26" s="496"/>
      <c r="AM26" s="496"/>
      <c r="AN26" s="496"/>
      <c r="AO26" s="496"/>
      <c r="AP26" s="496"/>
      <c r="AR26" s="494" t="s">
        <v>267</v>
      </c>
      <c r="AS26" s="494"/>
      <c r="AT26" s="494"/>
      <c r="AU26" s="494"/>
      <c r="AV26" s="494"/>
      <c r="AW26" s="494"/>
      <c r="AY26" s="494" t="s">
        <v>268</v>
      </c>
      <c r="AZ26" s="494"/>
      <c r="BA26" s="494"/>
      <c r="BB26" s="494"/>
      <c r="BC26" s="494"/>
      <c r="BD26" s="494"/>
      <c r="BF26" s="494" t="s">
        <v>268</v>
      </c>
      <c r="BG26" s="494"/>
      <c r="BH26" s="494"/>
      <c r="BI26" s="494"/>
      <c r="BJ26" s="494"/>
      <c r="BK26" s="494"/>
      <c r="BM26" s="494" t="s">
        <v>269</v>
      </c>
      <c r="BN26" s="494"/>
      <c r="BO26" s="494"/>
      <c r="BP26" s="494"/>
      <c r="BQ26" s="494"/>
      <c r="BR26" s="494"/>
      <c r="BT26" s="494" t="s">
        <v>269</v>
      </c>
      <c r="BU26" s="494"/>
      <c r="BV26" s="494"/>
      <c r="BW26" s="494"/>
      <c r="BX26" s="494"/>
      <c r="BY26" s="494"/>
    </row>
    <row r="27" spans="1:77" ht="4.5" customHeight="1">
      <c r="A27" s="478"/>
      <c r="B27" s="478"/>
      <c r="C27" s="478"/>
      <c r="D27" s="478"/>
      <c r="E27" s="478"/>
      <c r="F27" s="478"/>
      <c r="I27" s="478"/>
      <c r="J27" s="478"/>
      <c r="K27" s="478"/>
      <c r="L27" s="478"/>
      <c r="M27" s="478"/>
      <c r="N27" s="478"/>
      <c r="P27" s="478"/>
      <c r="Q27" s="478"/>
      <c r="R27" s="478"/>
      <c r="S27" s="478"/>
      <c r="T27" s="478"/>
      <c r="U27" s="478"/>
      <c r="W27" s="474"/>
      <c r="X27" s="474"/>
      <c r="Y27" s="474"/>
      <c r="Z27" s="474"/>
      <c r="AA27" s="498"/>
      <c r="AB27" s="474"/>
      <c r="AD27" s="474"/>
      <c r="AE27" s="474"/>
      <c r="AF27" s="474"/>
      <c r="AG27" s="474"/>
      <c r="AH27" s="474"/>
      <c r="AI27" s="474"/>
      <c r="AK27" s="496"/>
      <c r="AL27" s="496"/>
      <c r="AM27" s="496"/>
      <c r="AN27" s="496"/>
      <c r="AO27" s="496"/>
      <c r="AP27" s="496"/>
      <c r="AR27" s="474"/>
      <c r="AS27" s="474"/>
      <c r="AT27" s="474"/>
      <c r="AU27" s="474"/>
      <c r="AV27" s="474"/>
      <c r="AW27" s="474"/>
      <c r="AY27" s="474"/>
      <c r="AZ27" s="474"/>
      <c r="BA27" s="474"/>
      <c r="BB27" s="474"/>
      <c r="BC27" s="474"/>
      <c r="BD27" s="474"/>
      <c r="BF27" s="493"/>
      <c r="BG27" s="493"/>
      <c r="BH27" s="493"/>
      <c r="BI27" s="493"/>
      <c r="BJ27" s="493"/>
      <c r="BK27" s="493"/>
      <c r="BM27" s="474"/>
      <c r="BN27" s="474"/>
      <c r="BO27" s="474"/>
      <c r="BP27" s="474"/>
      <c r="BQ27" s="474"/>
      <c r="BR27" s="474"/>
      <c r="BT27" s="493"/>
      <c r="BU27" s="493"/>
      <c r="BV27" s="493"/>
      <c r="BW27" s="493"/>
      <c r="BX27" s="493"/>
      <c r="BY27" s="493"/>
    </row>
    <row r="28" spans="1:77" ht="11.15" customHeight="1">
      <c r="A28" s="487"/>
      <c r="B28" s="487"/>
      <c r="C28" s="487"/>
      <c r="D28" s="487"/>
      <c r="E28" s="487"/>
      <c r="F28" s="487"/>
      <c r="I28" s="487" t="str">
        <f>'Gen Info'!$H$4</f>
        <v>enter manually</v>
      </c>
      <c r="J28" s="487"/>
      <c r="K28" s="487"/>
      <c r="L28" s="487"/>
      <c r="M28" s="487"/>
      <c r="N28" s="487"/>
      <c r="P28" s="487" t="str">
        <f>'Gen Info'!$H$4</f>
        <v>enter manually</v>
      </c>
      <c r="Q28" s="487"/>
      <c r="R28" s="487"/>
      <c r="S28" s="487"/>
      <c r="T28" s="487"/>
      <c r="U28" s="487"/>
      <c r="W28" s="487" t="str">
        <f>'Gen Info'!$H$4</f>
        <v>enter manually</v>
      </c>
      <c r="X28" s="487"/>
      <c r="Y28" s="487"/>
      <c r="Z28" s="487"/>
      <c r="AA28" s="489"/>
      <c r="AB28" s="487"/>
      <c r="AD28" s="487" t="str">
        <f>'Gen Info'!$H$4</f>
        <v>enter manually</v>
      </c>
      <c r="AE28" s="487"/>
      <c r="AF28" s="487"/>
      <c r="AG28" s="487"/>
      <c r="AH28" s="487"/>
      <c r="AI28" s="487"/>
      <c r="AK28" s="490" t="str">
        <f>'Gen Info'!$H$4</f>
        <v>enter manually</v>
      </c>
      <c r="AL28" s="490"/>
      <c r="AM28" s="490"/>
      <c r="AN28" s="490"/>
      <c r="AO28" s="490"/>
      <c r="AP28" s="490"/>
      <c r="AR28" s="487" t="str">
        <f>'Gen Info'!$H$4</f>
        <v>enter manually</v>
      </c>
      <c r="AS28" s="487"/>
      <c r="AT28" s="487"/>
      <c r="AU28" s="487"/>
      <c r="AV28" s="487"/>
      <c r="AW28" s="487"/>
      <c r="AY28" s="487" t="str">
        <f>'Gen Info'!$H$4</f>
        <v>enter manually</v>
      </c>
      <c r="AZ28" s="487"/>
      <c r="BA28" s="487"/>
      <c r="BB28" s="487"/>
      <c r="BC28" s="487"/>
      <c r="BD28" s="487"/>
      <c r="BF28" s="487" t="str">
        <f>'Gen Info'!$H$4</f>
        <v>enter manually</v>
      </c>
      <c r="BG28" s="487"/>
      <c r="BH28" s="487"/>
      <c r="BI28" s="487"/>
      <c r="BJ28" s="487"/>
      <c r="BK28" s="487"/>
      <c r="BM28" s="487" t="str">
        <f>'Gen Info'!$H$4</f>
        <v>enter manually</v>
      </c>
      <c r="BN28" s="487"/>
      <c r="BO28" s="487"/>
      <c r="BP28" s="487"/>
      <c r="BQ28" s="487"/>
      <c r="BR28" s="487"/>
      <c r="BT28" s="487" t="str">
        <f>'Gen Info'!$H$4</f>
        <v>enter manually</v>
      </c>
      <c r="BU28" s="487"/>
      <c r="BV28" s="487"/>
      <c r="BW28" s="487"/>
      <c r="BX28" s="487"/>
      <c r="BY28" s="487"/>
    </row>
    <row r="29" spans="1:77" ht="11.15" customHeight="1">
      <c r="A29" s="487"/>
      <c r="B29" s="487"/>
      <c r="C29" s="487"/>
      <c r="D29" s="487"/>
      <c r="E29" s="487"/>
      <c r="F29" s="487"/>
      <c r="I29" s="487" t="str">
        <f>'Gen Info'!$I$4</f>
        <v>enter manually</v>
      </c>
      <c r="J29" s="487"/>
      <c r="K29" s="487"/>
      <c r="L29" s="487"/>
      <c r="M29" s="487"/>
      <c r="N29" s="487"/>
      <c r="P29" s="487" t="str">
        <f>'Gen Info'!$I$4</f>
        <v>enter manually</v>
      </c>
      <c r="Q29" s="487"/>
      <c r="R29" s="487"/>
      <c r="S29" s="487"/>
      <c r="T29" s="487"/>
      <c r="U29" s="487"/>
      <c r="W29" s="487" t="str">
        <f>'Gen Info'!$I$4</f>
        <v>enter manually</v>
      </c>
      <c r="X29" s="487"/>
      <c r="Y29" s="487"/>
      <c r="Z29" s="487"/>
      <c r="AA29" s="489"/>
      <c r="AB29" s="487"/>
      <c r="AD29" s="487" t="str">
        <f>'Gen Info'!$I$4</f>
        <v>enter manually</v>
      </c>
      <c r="AE29" s="487"/>
      <c r="AF29" s="487"/>
      <c r="AG29" s="487"/>
      <c r="AH29" s="487"/>
      <c r="AI29" s="487"/>
      <c r="AK29" s="490" t="str">
        <f>'Gen Info'!$I$4</f>
        <v>enter manually</v>
      </c>
      <c r="AL29" s="490"/>
      <c r="AM29" s="490"/>
      <c r="AN29" s="490"/>
      <c r="AO29" s="490"/>
      <c r="AP29" s="490"/>
      <c r="AR29" s="487" t="str">
        <f>'Gen Info'!$I$4</f>
        <v>enter manually</v>
      </c>
      <c r="AS29" s="487"/>
      <c r="AT29" s="487"/>
      <c r="AU29" s="487"/>
      <c r="AV29" s="487"/>
      <c r="AW29" s="487"/>
      <c r="AY29" s="487" t="str">
        <f>'Gen Info'!$I$4</f>
        <v>enter manually</v>
      </c>
      <c r="AZ29" s="487"/>
      <c r="BA29" s="487"/>
      <c r="BB29" s="487"/>
      <c r="BC29" s="487"/>
      <c r="BD29" s="487"/>
      <c r="BF29" s="487" t="str">
        <f>'Gen Info'!$I$4</f>
        <v>enter manually</v>
      </c>
      <c r="BG29" s="487"/>
      <c r="BH29" s="487"/>
      <c r="BI29" s="487"/>
      <c r="BJ29" s="487"/>
      <c r="BK29" s="487"/>
      <c r="BM29" s="487" t="str">
        <f>'Gen Info'!$I$4</f>
        <v>enter manually</v>
      </c>
      <c r="BN29" s="487"/>
      <c r="BO29" s="487"/>
      <c r="BP29" s="487"/>
      <c r="BQ29" s="487"/>
      <c r="BR29" s="487"/>
      <c r="BT29" s="487" t="str">
        <f>'Gen Info'!$I$4</f>
        <v>enter manually</v>
      </c>
      <c r="BU29" s="487"/>
      <c r="BV29" s="487"/>
      <c r="BW29" s="487"/>
      <c r="BX29" s="487"/>
      <c r="BY29" s="487"/>
    </row>
    <row r="30" spans="1:77" ht="11.15" customHeight="1">
      <c r="A30" s="487"/>
      <c r="B30" s="487"/>
      <c r="C30" s="487"/>
      <c r="D30" s="487"/>
      <c r="E30" s="487"/>
      <c r="F30" s="487"/>
      <c r="I30" s="487" t="str">
        <f>"Phone: "&amp;'Gen Info'!$J$4</f>
        <v>Phone: enter manually</v>
      </c>
      <c r="J30" s="487"/>
      <c r="K30" s="487"/>
      <c r="L30" s="487"/>
      <c r="M30" s="487"/>
      <c r="N30" s="487"/>
      <c r="P30" s="487" t="str">
        <f>"Phone: "&amp;'Gen Info'!$J$4</f>
        <v>Phone: enter manually</v>
      </c>
      <c r="Q30" s="487"/>
      <c r="R30" s="487"/>
      <c r="S30" s="487"/>
      <c r="T30" s="487"/>
      <c r="U30" s="487"/>
      <c r="W30" s="487" t="str">
        <f>"Teléfono: "&amp;'Gen Info'!$J$4</f>
        <v>Teléfono: enter manually</v>
      </c>
      <c r="X30" s="487"/>
      <c r="Y30" s="487"/>
      <c r="Z30" s="487"/>
      <c r="AA30" s="489"/>
      <c r="AB30" s="487"/>
      <c r="AD30" s="487" t="str">
        <f>"Teléfono: "&amp;'Gen Info'!$J$4</f>
        <v>Teléfono: enter manually</v>
      </c>
      <c r="AE30" s="487"/>
      <c r="AF30" s="487"/>
      <c r="AG30" s="487"/>
      <c r="AH30" s="487"/>
      <c r="AI30" s="487"/>
      <c r="AK30" s="490" t="str">
        <f>"Téléphone: "&amp;'Gen Info'!$J$4</f>
        <v>Téléphone: enter manually</v>
      </c>
      <c r="AL30" s="490"/>
      <c r="AM30" s="490"/>
      <c r="AN30" s="490"/>
      <c r="AO30" s="490"/>
      <c r="AP30" s="490"/>
      <c r="AR30" s="487" t="str">
        <f>"Téléphone: "&amp;'Gen Info'!$J$4</f>
        <v>Téléphone: enter manually</v>
      </c>
      <c r="AS30" s="487"/>
      <c r="AT30" s="487"/>
      <c r="AU30" s="487"/>
      <c r="AV30" s="487"/>
      <c r="AW30" s="487"/>
      <c r="AY30" s="487" t="str">
        <f>"Telefone: "&amp;'Gen Info'!$J$4</f>
        <v>Telefone: enter manually</v>
      </c>
      <c r="AZ30" s="487"/>
      <c r="BA30" s="487"/>
      <c r="BB30" s="487"/>
      <c r="BC30" s="487"/>
      <c r="BD30" s="487"/>
      <c r="BF30" s="487" t="str">
        <f>"Telefone: "&amp;'Gen Info'!$J$4</f>
        <v>Telefone: enter manually</v>
      </c>
      <c r="BG30" s="487"/>
      <c r="BH30" s="487"/>
      <c r="BI30" s="487"/>
      <c r="BJ30" s="487"/>
      <c r="BK30" s="487"/>
      <c r="BM30" s="487" t="str">
        <f>"Telefone: "&amp;'Gen Info'!$J$4</f>
        <v>Telefone: enter manually</v>
      </c>
      <c r="BN30" s="487"/>
      <c r="BO30" s="487"/>
      <c r="BP30" s="487"/>
      <c r="BQ30" s="487"/>
      <c r="BR30" s="487"/>
      <c r="BT30" s="487" t="str">
        <f>"Telefone: "&amp;'Gen Info'!$J$4</f>
        <v>Telefone: enter manually</v>
      </c>
      <c r="BU30" s="487"/>
      <c r="BV30" s="487"/>
      <c r="BW30" s="487"/>
      <c r="BX30" s="487"/>
      <c r="BY30" s="487"/>
    </row>
    <row r="31" spans="1:77" ht="11.15" customHeight="1">
      <c r="A31" s="488"/>
      <c r="B31" s="488"/>
      <c r="C31" s="488"/>
      <c r="D31" s="488"/>
      <c r="E31" s="488"/>
      <c r="F31" s="488"/>
      <c r="I31" s="488" t="str">
        <f>"Email: "&amp;'Gen Info'!$K$4</f>
        <v>Email: enter manually</v>
      </c>
      <c r="J31" s="488"/>
      <c r="K31" s="488"/>
      <c r="L31" s="488"/>
      <c r="M31" s="488"/>
      <c r="N31" s="488"/>
      <c r="P31" s="488" t="str">
        <f>"Email: "&amp;'Gen Info'!$K$4</f>
        <v>Email: enter manually</v>
      </c>
      <c r="Q31" s="488"/>
      <c r="R31" s="488"/>
      <c r="S31" s="488"/>
      <c r="T31" s="488"/>
      <c r="U31" s="488"/>
      <c r="W31" s="488" t="str">
        <f>"Correo: "&amp;'Gen Info'!$K$4</f>
        <v>Correo: enter manually</v>
      </c>
      <c r="X31" s="488"/>
      <c r="Y31" s="488"/>
      <c r="Z31" s="488"/>
      <c r="AA31" s="491"/>
      <c r="AB31" s="488"/>
      <c r="AD31" s="488" t="str">
        <f>"Correo: "&amp;'Gen Info'!$K$4</f>
        <v>Correo: enter manually</v>
      </c>
      <c r="AE31" s="488"/>
      <c r="AF31" s="488"/>
      <c r="AG31" s="488"/>
      <c r="AH31" s="488"/>
      <c r="AI31" s="488"/>
      <c r="AK31" s="492" t="str">
        <f>"Courriel: "&amp;'Gen Info'!$K$4</f>
        <v>Courriel: enter manually</v>
      </c>
      <c r="AL31" s="492"/>
      <c r="AM31" s="492"/>
      <c r="AN31" s="492"/>
      <c r="AO31" s="492"/>
      <c r="AP31" s="492"/>
      <c r="AR31" s="488" t="str">
        <f>"Courriel: "&amp;'Gen Info'!$K$4</f>
        <v>Courriel: enter manually</v>
      </c>
      <c r="AS31" s="488"/>
      <c r="AT31" s="488"/>
      <c r="AU31" s="488"/>
      <c r="AV31" s="488"/>
      <c r="AW31" s="488"/>
      <c r="AY31" s="488" t="str">
        <f>"E-mail: "&amp;'Gen Info'!$K$4</f>
        <v>E-mail: enter manually</v>
      </c>
      <c r="AZ31" s="488"/>
      <c r="BA31" s="488"/>
      <c r="BB31" s="488"/>
      <c r="BC31" s="488"/>
      <c r="BD31" s="488"/>
      <c r="BF31" s="488" t="str">
        <f>"E-mail: "&amp;'Gen Info'!$K$4</f>
        <v>E-mail: enter manually</v>
      </c>
      <c r="BG31" s="488"/>
      <c r="BH31" s="488"/>
      <c r="BI31" s="488"/>
      <c r="BJ31" s="488"/>
      <c r="BK31" s="488"/>
      <c r="BM31" s="488" t="str">
        <f>"E-mail: "&amp;'Gen Info'!$K$4</f>
        <v>E-mail: enter manually</v>
      </c>
      <c r="BN31" s="488"/>
      <c r="BO31" s="488"/>
      <c r="BP31" s="488"/>
      <c r="BQ31" s="488"/>
      <c r="BR31" s="488"/>
      <c r="BT31" s="488" t="str">
        <f>"E-mail: "&amp;'Gen Info'!$K$4</f>
        <v>E-mail: enter manually</v>
      </c>
      <c r="BU31" s="488"/>
      <c r="BV31" s="488"/>
      <c r="BW31" s="488"/>
      <c r="BX31" s="488"/>
      <c r="BY31" s="488"/>
    </row>
    <row r="32" spans="1:77" ht="10.5" customHeight="1">
      <c r="A32" s="483"/>
      <c r="B32" s="483"/>
      <c r="C32" s="483"/>
      <c r="D32" s="483"/>
      <c r="E32" s="483"/>
      <c r="F32" s="483"/>
      <c r="I32" s="483" t="s">
        <v>270</v>
      </c>
      <c r="J32" s="483"/>
      <c r="K32" s="483"/>
      <c r="L32" s="483"/>
      <c r="M32" s="483"/>
      <c r="N32" s="483"/>
      <c r="P32" s="483" t="s">
        <v>270</v>
      </c>
      <c r="Q32" s="483"/>
      <c r="R32" s="483"/>
      <c r="S32" s="483"/>
      <c r="T32" s="483"/>
      <c r="U32" s="483"/>
      <c r="W32" s="483"/>
      <c r="X32" s="483"/>
      <c r="Y32" s="483"/>
      <c r="Z32" s="483"/>
      <c r="AA32" s="486"/>
      <c r="AB32" s="483"/>
      <c r="AD32" s="483"/>
      <c r="AE32" s="483"/>
      <c r="AF32" s="483"/>
      <c r="AG32" s="483"/>
      <c r="AH32" s="483"/>
      <c r="AI32" s="483"/>
      <c r="AK32" s="483"/>
      <c r="AL32" s="483"/>
      <c r="AM32" s="483"/>
      <c r="AN32" s="483"/>
      <c r="AO32" s="483"/>
      <c r="AP32" s="483"/>
      <c r="AR32" s="483"/>
      <c r="AS32" s="483"/>
      <c r="AT32" s="483"/>
      <c r="AU32" s="483"/>
      <c r="AV32" s="483"/>
      <c r="AW32" s="483"/>
      <c r="AY32" s="484" t="s">
        <v>271</v>
      </c>
      <c r="AZ32" s="484"/>
      <c r="BA32" s="484"/>
      <c r="BB32" s="484"/>
      <c r="BC32" s="484"/>
      <c r="BD32" s="484"/>
      <c r="BF32" s="485" t="s">
        <v>271</v>
      </c>
      <c r="BG32" s="485"/>
      <c r="BH32" s="485"/>
      <c r="BI32" s="485"/>
      <c r="BJ32" s="485"/>
      <c r="BK32" s="485"/>
      <c r="BM32" s="484" t="s">
        <v>272</v>
      </c>
      <c r="BN32" s="484"/>
      <c r="BO32" s="484"/>
      <c r="BP32" s="484"/>
      <c r="BQ32" s="484"/>
      <c r="BR32" s="484"/>
      <c r="BT32" s="485" t="s">
        <v>273</v>
      </c>
      <c r="BU32" s="485"/>
      <c r="BV32" s="485"/>
      <c r="BW32" s="485"/>
      <c r="BX32" s="485"/>
      <c r="BY32" s="485"/>
    </row>
    <row r="33" spans="1:76" ht="14.25" customHeight="1">
      <c r="AA33" s="188"/>
    </row>
    <row r="34" spans="1:76" ht="11.15" customHeight="1">
      <c r="A34" s="472" t="str" cm="1">
        <f t="array" ref="A34">_xlfn.IFS(OR('Call Flow'!D4&amp;'Call Flow'!$D$5="EnglishIndependent",'Call Flow'!D4&amp;'Call Flow'!$D$5="EnglishMaster_Agent_HQs",'Call Flow'!D4&amp;'Call Flow'!$D$5="EnglishIndependent_MO_Only",'Call Flow'!D4&amp;'Call Flow'!$D$5="EnglishHQ_MO_Only"),$I$59,OR('Call Flow'!D4&amp;'Call Flow'!$D$5="EnglishNetwork_Agent",'Call Flow'!D4&amp;'Call Flow'!$D$5="EnglishNetwork_Agent_FTF",'Call Flow'!D4&amp;'Call Flow'!$D$5="EnglishNetwork_MO_Only"),$P$59,OR('Call Flow'!D4&amp;'Call Flow'!$D$5="SpanishIndependent",'Call Flow'!D4&amp;'Call Flow'!$D$5="SpanishMaster_Agent_HQs",'Call Flow'!D4&amp;'Call Flow'!$D$5="SpanishIndependent_MO_Only",'Call Flow'!D4&amp;'Call Flow'!$D$5="SpanishHQ_MO_Only"),$W$59,OR('Call Flow'!D4&amp;'Call Flow'!$D$5="SpanishNetwork_Agent",'Call Flow'!D4&amp;'Call Flow'!$D$5="SpanishNetwork_Agent_FTF",'Call Flow'!D4&amp;'Call Flow'!$D$5="SpanishNetwork_MO_Only"),$AD$59,OR('Call Flow'!D4&amp;'Call Flow'!$D$5="FrenchIndependent",'Call Flow'!D4&amp;'Call Flow'!$D$5="FrenchMaster_Agent_HQs",'Call Flow'!D4&amp;'Call Flow'!$D$5="FrenchIndependent_MO_Only",'Call Flow'!D4&amp;'Call Flow'!$D$5="FrenchHQ_MO_Only"),$AK$59,OR('Call Flow'!D4&amp;'Call Flow'!$D$5="FrenchNetwork_Agent",'Call Flow'!D4&amp;'Call Flow'!$D$5="FrenchNetwork_Agent_FTF",'Call Flow'!D4&amp;'Call Flow'!$D$5="FrenchNetwork_MO_Only"),$AR$59,OR('Call Flow'!D4&amp;'Call Flow'!$D$5="PortugueseIndependent",'Call Flow'!D4&amp;'Call Flow'!$D$5="PortugueseMaster_Agent_HQs",'Call Flow'!D4&amp;'Call Flow'!$D$5="PortugueseIndependent_MO_Only",'Call Flow'!D4&amp;'Call Flow'!$D$5="PortugueseHQ_MO_Only"),$AY$59,OR('Call Flow'!D4&amp;'Call Flow'!$D$5="PortugueseNetwork_Agent",'Call Flow'!D4&amp;'Call Flow'!$D$5="PortugueseNetwork_Agent_FTF",'Call Flow'!D4&amp;'Call Flow'!$D$5="PortugueseNetwork_MO_Only"),$BF$59)</f>
        <v>Western Union -Información confidencial</v>
      </c>
      <c r="B34" s="472"/>
      <c r="C34" s="472"/>
      <c r="D34" s="472"/>
      <c r="E34" s="472"/>
      <c r="F34" s="472"/>
      <c r="AA34" s="188"/>
    </row>
    <row r="35" spans="1:76" ht="11.15" customHeight="1">
      <c r="A35" s="472" t="str" cm="1">
        <f t="array" ref="A35">_xlfn.IFS(OR('Call Flow'!D4&amp;'Call Flow'!$D$5="EnglishIndependent",'Call Flow'!D4&amp;'Call Flow'!$D$5="EnglishMaster_Agent_HQs",'Call Flow'!D4&amp;'Call Flow'!$D$5="EnglishIndependent_MO_Only",'Call Flow'!D4&amp;'Call Flow'!$D$5="EnglishHQ_MO_Only"),$I$60,OR('Call Flow'!D4&amp;'Call Flow'!$D$5="EnglishNetwork_Agent",'Call Flow'!D4&amp;'Call Flow'!$D$5="EnglishNetwork_Agent_FTF",'Call Flow'!D4&amp;'Call Flow'!$D$5="EnglishNetwork_MO_Only"),$P$60,OR('Call Flow'!D4&amp;'Call Flow'!$D$5="SpanishIndependent",'Call Flow'!D4&amp;'Call Flow'!$D$5="SpanishMaster_Agent_HQs",'Call Flow'!D4&amp;'Call Flow'!$D$5="SpanishIndependent_MO_Only",'Call Flow'!D4&amp;'Call Flow'!$D$5="SpanishHQ_MO_Only"),$W$60,OR('Call Flow'!D4&amp;'Call Flow'!$D$5="SpanishNetwork_Agent",'Call Flow'!D4&amp;'Call Flow'!$D$5="SpanishNetwork_Agent_FTF",'Call Flow'!D4&amp;'Call Flow'!$D$5="SpanishNetwork_MO_Only"),$AD$60,OR('Call Flow'!D4&amp;'Call Flow'!$D$5="FrenchIndependent",'Call Flow'!D4&amp;'Call Flow'!$D$5="FrenchMaster_Agent_HQs",'Call Flow'!D4&amp;'Call Flow'!$D$5="FrenchIndependent_MO_Only",'Call Flow'!D4&amp;'Call Flow'!$D$5="FrenchHQ_MO_Only"),$AK$60,OR('Call Flow'!D4&amp;'Call Flow'!$D$5="FrenchNetwork_Agent",'Call Flow'!D4&amp;'Call Flow'!$D$5="FrenchNetwork_Agent_FTF",'Call Flow'!D4&amp;'Call Flow'!$D$5="FrenchNetwork_MO_Only"),$AR$60,OR('Call Flow'!D4&amp;'Call Flow'!$D$5="PortugueseIndependent",'Call Flow'!D4&amp;'Call Flow'!$D$5="PortugueseMaster_Agent_HQs",'Call Flow'!D4&amp;'Call Flow'!$D$5="PortugueseIndependent_MO_Only",'Call Flow'!D4&amp;'Call Flow'!$D$5="PortugueseHQ_MO_Only"),$AY$60,OR('Call Flow'!D4&amp;'Call Flow'!$D$5="PortugueseNetwork_Agent",'Call Flow'!D4&amp;'Call Flow'!$D$5="PortugueseNetwork_Agent_FTF",'Call Flow'!D4&amp;'Call Flow'!$D$5="PortugueseNetwork_MO_Only"),$BF$60)</f>
        <v>Octubre de 2022 v.2.1</v>
      </c>
      <c r="B35" s="472"/>
      <c r="C35" s="472"/>
      <c r="D35" s="472"/>
      <c r="E35" s="472"/>
      <c r="F35" s="472"/>
      <c r="AA35" s="188"/>
    </row>
    <row r="36" spans="1:76" ht="11.15" customHeight="1">
      <c r="A36" s="472" t="str" cm="1">
        <f t="array" ref="A36">_xlfn.IFS(OR('Call Flow'!D4&amp;'Call Flow'!$D$5="EnglishIndependent",'Call Flow'!D4&amp;'Call Flow'!$D$5="EnglishMaster_Agent_HQs",'Call Flow'!D4&amp;'Call Flow'!$D$5="EnglishIndependent_MO_Only",'Call Flow'!D4&amp;'Call Flow'!$D$5="EnglishHQ_MO_Only"),$I$61,OR('Call Flow'!D4&amp;'Call Flow'!$D$5="EnglishNetwork_Agent",'Call Flow'!D4&amp;'Call Flow'!$D$5="EnglishNetwork_Agent_FTF",'Call Flow'!D4&amp;'Call Flow'!$D$5="EnglishNetwork_MO_Only"),$P$61,OR('Call Flow'!D4&amp;'Call Flow'!$D$5="SpanishIndependent",'Call Flow'!D4&amp;'Call Flow'!$D$5="SpanishMaster_Agent_HQs",'Call Flow'!D4&amp;'Call Flow'!$D$5="SpanishIndependent_MO_Only",'Call Flow'!D4&amp;'Call Flow'!$D$5="SpanishHQ_MO_Only"),$W$61,OR('Call Flow'!D4&amp;'Call Flow'!$D$5="SpanishNetwork_Agent",'Call Flow'!D4&amp;'Call Flow'!$D$5="SpanishNetwork_Agent_FTF",'Call Flow'!D4&amp;'Call Flow'!$D$5="SpanishNetwork_MO_Only"),$AD$61,OR('Call Flow'!D4&amp;'Call Flow'!$D$5="FrenchIndependent",'Call Flow'!D4&amp;'Call Flow'!$D$5="FrenchMaster_Agent_HQs",'Call Flow'!D4&amp;'Call Flow'!$D$5="FrenchIndependent_MO_Only",'Call Flow'!D4&amp;'Call Flow'!$D$5="FrenchHQ_MO_Only"),$AK$61,OR('Call Flow'!D4&amp;'Call Flow'!$D$5="FrenchNetwork_Agent",'Call Flow'!D4&amp;'Call Flow'!$D$5="FrenchNetwork_Agent_FTF",'Call Flow'!D4&amp;'Call Flow'!$D$5="FrenchNetwork_MO_Only"),$AR$61,OR('Call Flow'!D4&amp;'Call Flow'!$D$5="PortugueseIndependent",'Call Flow'!D4&amp;'Call Flow'!$D$5="PortugueseMaster_Agent_HQs",'Call Flow'!D4&amp;'Call Flow'!$D$5="PortugueseIndependent_MO_Only",'Call Flow'!D4&amp;'Call Flow'!$D$5="PortugueseHQ_MO_Only"),$AY$61,OR('Call Flow'!D4&amp;'Call Flow'!$D$5="PortugueseNetwork_Agent",'Call Flow'!D4&amp;'Call Flow'!$D$5="PortugueseNetwork_Agent_FTF",'Call Flow'!D4&amp;'Call Flow'!$D$5="PortugueseNetwork_MO_Only"),$BF$61)</f>
        <v>Revisado el 10/01/22</v>
      </c>
      <c r="B36" s="472"/>
      <c r="C36" s="472"/>
      <c r="D36" s="472"/>
      <c r="E36" s="472"/>
      <c r="F36" s="472"/>
      <c r="AA36" s="188"/>
    </row>
    <row r="37" spans="1:76" ht="21" customHeight="1">
      <c r="A37" s="473" t="str" cm="1">
        <f t="array" ref="A37">_xlfn.IFS(OR('Call Flow'!D4&amp;'Call Flow'!$D$5="EnglishIndependent",'Call Flow'!D4&amp;'Call Flow'!$D$5="EnglishMaster_Agent_HQs",'Call Flow'!D4&amp;'Call Flow'!$D$5="EnglishIndependent_MO_Only",'Call Flow'!D4&amp;'Call Flow'!$D$5="EnglishHQ_MO_Only"),$I$62,OR('Call Flow'!D4&amp;'Call Flow'!$D$5="EnglishNetwork_Agent",'Call Flow'!D4&amp;'Call Flow'!$D$5="EnglishNetwork_Agent_FTF",'Call Flow'!D4&amp;'Call Flow'!$D$5="EnglishNetwork_MO_Only"),$P$62,OR('Call Flow'!D4&amp;'Call Flow'!$D$5="SpanishIndependent",'Call Flow'!D4&amp;'Call Flow'!$D$5="SpanishMaster_Agent_HQs",'Call Flow'!D4&amp;'Call Flow'!$D$5="SpanishIndependent_MO_Only",'Call Flow'!D4&amp;'Call Flow'!$D$5="SpanishHQ_MO_Only"),$W$62,OR('Call Flow'!D4&amp;'Call Flow'!$D$5="SpanishNetwork_Agent",'Call Flow'!D4&amp;'Call Flow'!$D$5="SpanishNetwork_Agent_FTF",'Call Flow'!D4&amp;'Call Flow'!$D$5="SpanishNetwork_MO_Only"),$AD$62,OR('Call Flow'!D4&amp;'Call Flow'!$D$5="FrenchIndependent",'Call Flow'!D4&amp;'Call Flow'!$D$5="FrenchMaster_Agent_HQs",'Call Flow'!D4&amp;'Call Flow'!$D$5="FrenchIndependent_MO_Only",'Call Flow'!D4&amp;'Call Flow'!$D$5="FrenchHQ_MO_Only"),$AK$62,OR('Call Flow'!D4&amp;'Call Flow'!$D$5="FrenchNetwork_Agent",'Call Flow'!D4&amp;'Call Flow'!$D$5="FrenchNetwork_Agent_FTF",'Call Flow'!D4&amp;'Call Flow'!$D$5="FrenchNetwork_MO_Only"),$AR$62,OR('Call Flow'!D4&amp;'Call Flow'!$D$5="PortugueseIndependent",'Call Flow'!D4&amp;'Call Flow'!$D$5="PortugueseMaster_Agent_HQs",'Call Flow'!D4&amp;'Call Flow'!$D$5="PortugueseIndependent_MO_Only",'Call Flow'!D4&amp;'Call Flow'!$D$5="PortugueseHQ_MO_Only"),$AY$62,OR('Call Flow'!D4&amp;'Call Flow'!$D$5="PortugueseNetwork_Agent",'Call Flow'!D4&amp;'Call Flow'!$D$5="PortugueseNetwork_Agent_FTF",'Call Flow'!D4&amp;'Call Flow'!$D$5="PortugueseNetwork_MO_Only"),$BF$62)</f>
        <v>El contenido de esta carta y el informe de revisión del Programa son confidenciales y no pueden compartirse o divulgarse de ninguna otra manera con terceros sin el permiso del Cumplimiento de PBC de Western Union.</v>
      </c>
      <c r="B37" s="473"/>
      <c r="C37" s="473"/>
      <c r="D37" s="473"/>
      <c r="E37" s="473"/>
      <c r="F37" s="473"/>
      <c r="H37" s="189"/>
      <c r="I37" s="122" t="s">
        <v>274</v>
      </c>
      <c r="J37" s="122" t="str">
        <f>"You may contact us "&amp;IF(OR('Gen Info'!E4="United_States",'Gen Info'!E4="Canada"),"at 1-866-633-2247 (Option 2)","")&amp;" to discuss any additional questions that you may have regarding the results of the review, to help develop any corrective actions that may be required."</f>
        <v>You may contact us  to discuss any additional questions that you may have regarding the results of the review, to help develop any corrective actions that may be required.</v>
      </c>
      <c r="W37" s="122" t="s">
        <v>275</v>
      </c>
      <c r="X37" s="122" t="str">
        <f>" Puede comunicarse con nosotros "&amp;IF(OR('Gen Info'!E4="United_States",'Gen Info'!E4="Canada"),"llamando al 1-866-633-2247 (Opción 2) ","")&amp;"para discutir cualquier pregunta adicional respecto a los resultados de la revisión, para ayudarlo a desarrollar cualquier medida correctiva que pueda ser necesaria."</f>
        <v xml:space="preserve"> Puede comunicarse con nosotros para discutir cualquier pregunta adicional respecto a los resultados de la revisión, para ayudarlo a desarrollar cualquier medida correctiva que pueda ser necesaria.</v>
      </c>
      <c r="AA37" s="188"/>
      <c r="AK37" s="122" t="s">
        <v>276</v>
      </c>
      <c r="AL37" s="122" t="s">
        <v>277</v>
      </c>
      <c r="AM37" s="122" t="s">
        <v>278</v>
      </c>
      <c r="AN37" s="122" t="s">
        <v>42</v>
      </c>
    </row>
    <row r="38" spans="1:76" ht="10.5" customHeight="1">
      <c r="B38" s="474"/>
      <c r="C38" s="474"/>
      <c r="D38" s="474"/>
      <c r="E38" s="474"/>
      <c r="F38" s="474"/>
      <c r="AA38" s="188"/>
      <c r="AK38" s="122" t="str">
        <f>IF(OR('Gen Info'!$E$4="United_States",'Gen Info'!$E$4="Canada"),$AM$37,$AL$37)</f>
        <v>N’hésitez pas à communiquer avec nous pour discuter de toute question supplémentaire que vous pourriez vous poser sur les résultats de la revue, pour vous aider à élaborer les mesures correctives qui pourraient s’avérer nécessaires.</v>
      </c>
      <c r="AL38" s="122" t="s">
        <v>42</v>
      </c>
    </row>
    <row r="39" spans="1:76" ht="39" customHeight="1">
      <c r="B39" s="475" t="str" cm="1">
        <f t="array" ref="B39">_xlfn.IFS('Call Flow'!$D$4="English",$I$39,'Call Flow'!$D$4="Spanish",$W$39,'Call Flow'!$D$4="French",$AK$39,'Call Flow'!$D$4&amp;'Call Flow'!$F$5="PortuguesePortugal",$BM$39,'Call Flow'!$D$4="Portuguese",$AY$39)&amp;IF('Gen Info'!$E$4="India_FTF","India",'Gen Info'!$E$4)&amp;_xlfn.IFS('Call Flow'!$D$4="English",$J$39,'Call Flow'!$D$4="Spanish",$X$39,'Call Flow'!$D$4="French",$AL$39,'Call Flow'!$D$4&amp;'Call Flow'!$F$5="PortuguesePortugal",$BN$39,'Call Flow'!$D$4="Portuguese",$AZ$39)</f>
        <v>Hallazgos y/o infracciones de la ley en Mexico y/o políticas y procedimientos de cumplimiento de Western Union</v>
      </c>
      <c r="C39" s="475"/>
      <c r="D39" s="475"/>
      <c r="E39" s="475"/>
      <c r="F39" s="475"/>
      <c r="I39" s="190" t="s">
        <v>279</v>
      </c>
      <c r="J39" s="191" t="s">
        <v>280</v>
      </c>
      <c r="K39" s="192"/>
      <c r="L39" s="192"/>
      <c r="M39" s="192"/>
      <c r="O39" s="193"/>
      <c r="P39" s="475"/>
      <c r="Q39" s="475"/>
      <c r="R39" s="475"/>
      <c r="S39" s="475"/>
      <c r="T39" s="475"/>
      <c r="W39" s="194" t="s">
        <v>281</v>
      </c>
      <c r="X39" s="195" t="s">
        <v>282</v>
      </c>
      <c r="Y39" s="194"/>
      <c r="Z39" s="194"/>
      <c r="AA39" s="196"/>
      <c r="AK39" s="194" t="s">
        <v>283</v>
      </c>
      <c r="AL39" s="195" t="s">
        <v>284</v>
      </c>
      <c r="AM39" s="194"/>
      <c r="AN39" s="194"/>
      <c r="AO39" s="194"/>
      <c r="AY39" s="190" t="s">
        <v>285</v>
      </c>
      <c r="AZ39" s="191" t="s">
        <v>286</v>
      </c>
      <c r="BA39" s="190"/>
      <c r="BB39" s="190"/>
      <c r="BC39" s="190"/>
      <c r="BM39" s="190" t="s">
        <v>287</v>
      </c>
      <c r="BN39" s="191" t="s">
        <v>288</v>
      </c>
      <c r="BO39" s="190"/>
      <c r="BP39" s="190"/>
      <c r="BQ39" s="190"/>
      <c r="BT39" s="190"/>
      <c r="BU39" s="191"/>
      <c r="BV39" s="190"/>
      <c r="BW39" s="190"/>
      <c r="BX39" s="190"/>
    </row>
    <row r="40" spans="1:76">
      <c r="B40" s="476" t="str" cm="1">
        <f t="array" ref="B40">_xlfn.IFS('Call Flow'!$D$4="English",$I$40,'Call Flow'!$D$4="Spanish",$W$40,'Call Flow'!$D$4="French",$AK$40,'Call Flow'!$D$4&amp;'Call Flow'!$F$5="PortuguesePortugal",$BM$40,'Call Flow'!$D$4="Portuguese",$AY$40)&amp;'Gen Info'!$X$4</f>
        <v>Oficial/Delegado de cumplimiento: Carlos Eduardo</v>
      </c>
      <c r="C40" s="476"/>
      <c r="D40" s="476"/>
      <c r="E40" s="476"/>
      <c r="F40" s="476"/>
      <c r="I40" s="197" t="s">
        <v>289</v>
      </c>
      <c r="J40" s="198"/>
      <c r="K40" s="199"/>
      <c r="L40" s="199"/>
      <c r="M40" s="199"/>
      <c r="N40" s="193"/>
      <c r="O40" s="193"/>
      <c r="P40" s="476"/>
      <c r="Q40" s="476"/>
      <c r="R40" s="476"/>
      <c r="S40" s="476"/>
      <c r="T40" s="476"/>
      <c r="W40" s="200" t="s">
        <v>290</v>
      </c>
      <c r="X40" s="200"/>
      <c r="Y40" s="200"/>
      <c r="Z40" s="200"/>
      <c r="AA40" s="201"/>
      <c r="AK40" s="200" t="s">
        <v>291</v>
      </c>
      <c r="AL40" s="200"/>
      <c r="AM40" s="200"/>
      <c r="AN40" s="200"/>
      <c r="AO40" s="200"/>
      <c r="AY40" s="197" t="s">
        <v>292</v>
      </c>
      <c r="AZ40" s="197"/>
      <c r="BA40" s="197"/>
      <c r="BB40" s="197"/>
      <c r="BC40" s="197"/>
      <c r="BD40" s="187"/>
      <c r="BM40" s="197" t="s">
        <v>293</v>
      </c>
      <c r="BN40" s="197"/>
      <c r="BO40" s="197"/>
      <c r="BP40" s="197"/>
      <c r="BQ40" s="197"/>
      <c r="BR40" s="187"/>
      <c r="BT40" s="197"/>
      <c r="BU40" s="197"/>
      <c r="BV40" s="197"/>
      <c r="BW40" s="197"/>
      <c r="BX40" s="197"/>
    </row>
    <row r="41" spans="1:76" ht="12.65" customHeight="1">
      <c r="B41" s="476" t="str" cm="1">
        <f t="array" ref="B41">_xlfn.IFS('Call Flow'!$D$4="English",$I$41,'Call Flow'!$D$4="Spanish",$W$41,'Call Flow'!$D$4="French",$AK$41,'Call Flow'!$D$4&amp;'Call Flow'!$F$5="PortuguesePortugal",$BM$41,'Call Flow'!$D$4="Portuguese",$AY$41)&amp;IF('FL Prep'!$V$15&gt;0,TEXT('Gen Info'!$AA$4,"MM/DD/YYYY"),"NA")</f>
        <v>Fecha límite para solucionar todos los hallazgos con seguimiento requerido: NA</v>
      </c>
      <c r="C41" s="476"/>
      <c r="D41" s="476"/>
      <c r="E41" s="476"/>
      <c r="F41" s="476"/>
      <c r="I41" s="197" t="s">
        <v>294</v>
      </c>
      <c r="J41" s="198"/>
      <c r="K41" s="199"/>
      <c r="L41" s="199"/>
      <c r="M41" s="199"/>
      <c r="N41" s="193"/>
      <c r="O41" s="193"/>
      <c r="P41" s="476"/>
      <c r="Q41" s="476"/>
      <c r="R41" s="476"/>
      <c r="S41" s="476"/>
      <c r="T41" s="476"/>
      <c r="W41" s="200" t="s">
        <v>295</v>
      </c>
      <c r="X41" s="200"/>
      <c r="Y41" s="200"/>
      <c r="Z41" s="200"/>
      <c r="AA41" s="201"/>
      <c r="AK41" s="200" t="s">
        <v>296</v>
      </c>
      <c r="AL41" s="200"/>
      <c r="AM41" s="200"/>
      <c r="AN41" s="200"/>
      <c r="AO41" s="200"/>
      <c r="AY41" s="197" t="s">
        <v>297</v>
      </c>
      <c r="AZ41" s="197"/>
      <c r="BA41" s="197"/>
      <c r="BB41" s="197"/>
      <c r="BC41" s="197"/>
      <c r="BD41" s="187"/>
      <c r="BM41" s="197" t="s">
        <v>298</v>
      </c>
      <c r="BN41" s="197"/>
      <c r="BO41" s="197"/>
      <c r="BP41" s="197"/>
      <c r="BQ41" s="197"/>
      <c r="BR41" s="187"/>
      <c r="BT41" s="197"/>
      <c r="BU41" s="197"/>
      <c r="BV41" s="197"/>
      <c r="BW41" s="197"/>
      <c r="BX41" s="197"/>
    </row>
    <row r="42" spans="1:76" ht="18" customHeight="1">
      <c r="A42" s="202"/>
      <c r="B42" s="203" t="str" cm="1">
        <f t="array" ref="B42">_xlfn.IFS('Call Flow'!$D$4="Spanish","Sección",'Call Flow'!$D$4="English","Section",'Call Flow'!$D$4="French","Section",'Call Flow'!$D$4&amp;'Call Flow'!$F$5="PortuguesePortugal","Secção",'Call Flow'!$D$4="Portuguese","Seção")</f>
        <v>Sección</v>
      </c>
      <c r="C42" s="203" t="str" cm="1">
        <f t="array" ref="C42">_xlfn.IFS('Call Flow'!$D$4="Spanish","Hallazgo/infracción",'Call Flow'!$D$4="English","Finding",'Call Flow'!$D$4="French","Résultat/violation",'Call Flow'!$D$4&amp;'Call Flow'!$F$5="PortuguesePortugal","Resultado/Violação",'Call Flow'!$D$4="Portuguese","Item identificado / violação")</f>
        <v>Hallazgo/infracción</v>
      </c>
      <c r="D42" s="203" t="str" cm="1">
        <f t="array" ref="D42">_xlfn.IFS('Call Flow'!$D$4="Spanish","Medida que se debe tomar",'Call Flow'!$D$4="English","Action Required",'Call Flow'!$D$4="French","Mesure requise",'Call Flow'!$D$4&amp;'Call Flow'!$F$5="PortuguesePortugal","Ação necessária",'Call Flow'!$D$4="Portuguese","Planos de ação ")</f>
        <v>Medida que se debe tomar</v>
      </c>
      <c r="E42" s="204" t="str" cm="1">
        <f t="array" ref="E42">_xlfn.IFS('Call Flow'!$D$4="Spanish","Seguimiento requerido",'Call Flow'!$D$4="English","Follow up",'Call Flow'!$D$4="French","Suivi requis",'Call Flow'!$D$4&amp;'Call Flow'!$F$5="PortuguesePortugal","Acompanhamento necessário",'Call Flow'!$D$4="Portuguese","Monitoramento necessário")</f>
        <v>Seguimiento requerido</v>
      </c>
      <c r="F42" s="203" t="str" cm="1">
        <f t="array" ref="F42">_xlfn.IFS('Call Flow'!$D$4="Spanish","Fecha de vencimiento",'Call Flow'!$D$4="English","Due Date",'Call Flow'!$D$4="French","Date d’échéance",'Call Flow'!$D$4&amp;'Call Flow'!$F$5="PortuguesePortugal","Data Limite",'Call Flow'!$D$4="Portuguese","Prazo")</f>
        <v>Fecha de vencimiento</v>
      </c>
      <c r="AA42" s="188"/>
    </row>
    <row r="43" spans="1:76">
      <c r="A43" s="202"/>
      <c r="B43" s="202"/>
      <c r="C43" s="205"/>
      <c r="D43" s="205"/>
      <c r="E43" s="205"/>
      <c r="F43" s="205"/>
      <c r="I43" s="207"/>
      <c r="J43" s="122" cm="1">
        <f t="array" ref="J43">RowH(B43)</f>
        <v>12</v>
      </c>
      <c r="K43" s="122">
        <f>COUNTA(B43:B57)</f>
        <v>0</v>
      </c>
      <c r="M43" s="208"/>
      <c r="N43" s="209"/>
      <c r="W43" s="207"/>
      <c r="X43" s="122" cm="1">
        <f t="array" ref="X43">RowH(P43)</f>
        <v>12</v>
      </c>
      <c r="AA43" s="188"/>
      <c r="AB43" s="209"/>
      <c r="AK43" s="207"/>
      <c r="AL43" s="122" cm="1">
        <f t="array" ref="AL43">RowH(AD43)</f>
        <v>12</v>
      </c>
      <c r="AO43" s="208"/>
      <c r="AP43" s="209"/>
      <c r="AY43" s="207"/>
      <c r="AZ43" s="122" cm="1">
        <f t="array" ref="AZ43">RowH(AR43)</f>
        <v>12</v>
      </c>
      <c r="BC43" s="208"/>
      <c r="BD43" s="209"/>
      <c r="BM43" s="207"/>
      <c r="BN43" s="122" cm="1">
        <f t="array" ref="BN43">RowH(BF43)</f>
        <v>12</v>
      </c>
      <c r="BQ43" s="208"/>
      <c r="BR43" s="209"/>
    </row>
    <row r="44" spans="1:76">
      <c r="A44" s="202"/>
      <c r="B44" s="202"/>
      <c r="C44" s="205"/>
      <c r="D44" s="205"/>
      <c r="E44" s="205"/>
      <c r="F44" s="205"/>
      <c r="I44" s="207"/>
      <c r="J44" s="122" cm="1">
        <f t="array" ref="J44">RowH(B44)</f>
        <v>12</v>
      </c>
      <c r="M44" s="208"/>
      <c r="N44" s="209"/>
      <c r="W44" s="207"/>
      <c r="X44" s="122" cm="1">
        <f t="array" ref="X44">RowH(P44)</f>
        <v>12</v>
      </c>
      <c r="AA44" s="188"/>
      <c r="AB44" s="209"/>
      <c r="AK44" s="207"/>
      <c r="AL44" s="122" cm="1">
        <f t="array" ref="AL44">RowH(AD44)</f>
        <v>12</v>
      </c>
      <c r="AO44" s="208"/>
      <c r="AP44" s="209"/>
      <c r="AY44" s="207"/>
      <c r="AZ44" s="122" cm="1">
        <f t="array" ref="AZ44">RowH(AR44)</f>
        <v>12</v>
      </c>
      <c r="BC44" s="208"/>
      <c r="BD44" s="209"/>
      <c r="BM44" s="207"/>
      <c r="BN44" s="122" cm="1">
        <f t="array" ref="BN44">RowH(BF44)</f>
        <v>12</v>
      </c>
      <c r="BQ44" s="208"/>
      <c r="BR44" s="209"/>
    </row>
    <row r="45" spans="1:76">
      <c r="A45" s="202"/>
      <c r="B45" s="202"/>
      <c r="C45" s="205"/>
      <c r="D45" s="205"/>
      <c r="E45" s="205"/>
      <c r="F45" s="205"/>
      <c r="I45" s="207"/>
      <c r="J45" s="122" cm="1">
        <f t="array" ref="J45">RowH(B45)</f>
        <v>12</v>
      </c>
      <c r="M45" s="208"/>
      <c r="N45" s="209"/>
      <c r="W45" s="207"/>
      <c r="X45" s="122" cm="1">
        <f t="array" ref="X45">RowH(P45)</f>
        <v>12</v>
      </c>
      <c r="AA45" s="188"/>
      <c r="AB45" s="209"/>
      <c r="AK45" s="207"/>
      <c r="AL45" s="122" cm="1">
        <f t="array" ref="AL45">RowH(AD45)</f>
        <v>12</v>
      </c>
      <c r="AO45" s="208"/>
      <c r="AP45" s="209"/>
      <c r="AY45" s="207"/>
      <c r="AZ45" s="122" cm="1">
        <f t="array" ref="AZ45">RowH(AR45)</f>
        <v>12</v>
      </c>
      <c r="BC45" s="208"/>
      <c r="BD45" s="209"/>
      <c r="BM45" s="207"/>
      <c r="BN45" s="122" cm="1">
        <f t="array" ref="BN45">RowH(BF45)</f>
        <v>12</v>
      </c>
      <c r="BQ45" s="208"/>
      <c r="BR45" s="209"/>
    </row>
    <row r="46" spans="1:76">
      <c r="A46" s="202"/>
      <c r="B46" s="202"/>
      <c r="C46" s="205"/>
      <c r="D46" s="205"/>
      <c r="E46" s="205"/>
      <c r="F46" s="205"/>
      <c r="I46" s="207"/>
      <c r="J46" s="122" cm="1">
        <f t="array" ref="J46">RowH(B46)</f>
        <v>12</v>
      </c>
      <c r="M46" s="208"/>
      <c r="N46" s="209"/>
      <c r="W46" s="207"/>
      <c r="X46" s="122" cm="1">
        <f t="array" ref="X46">RowH(P46)</f>
        <v>12</v>
      </c>
      <c r="AA46" s="188"/>
      <c r="AB46" s="209"/>
      <c r="AK46" s="207"/>
      <c r="AL46" s="122" cm="1">
        <f t="array" ref="AL46">RowH(AD46)</f>
        <v>12</v>
      </c>
      <c r="AO46" s="208"/>
      <c r="AP46" s="209"/>
      <c r="AY46" s="207"/>
      <c r="AZ46" s="122" cm="1">
        <f t="array" ref="AZ46">RowH(AR46)</f>
        <v>12</v>
      </c>
      <c r="BC46" s="208"/>
      <c r="BD46" s="209"/>
      <c r="BM46" s="207"/>
      <c r="BN46" s="122" cm="1">
        <f t="array" ref="BN46">RowH(BF46)</f>
        <v>12</v>
      </c>
      <c r="BQ46" s="208"/>
      <c r="BR46" s="209"/>
    </row>
    <row r="47" spans="1:76">
      <c r="A47" s="202"/>
      <c r="B47" s="202"/>
      <c r="C47" s="205"/>
      <c r="D47" s="205"/>
      <c r="E47" s="205"/>
      <c r="F47" s="205"/>
      <c r="I47" s="207"/>
      <c r="J47" s="122" cm="1">
        <f t="array" ref="J47">RowH(B47)</f>
        <v>12</v>
      </c>
      <c r="M47" s="208"/>
      <c r="N47" s="209"/>
      <c r="W47" s="207"/>
      <c r="X47" s="122" cm="1">
        <f t="array" ref="X47">RowH(P47)</f>
        <v>12</v>
      </c>
      <c r="AA47" s="188"/>
      <c r="AB47" s="209"/>
      <c r="AK47" s="207"/>
      <c r="AL47" s="122" cm="1">
        <f t="array" ref="AL47">RowH(AD47)</f>
        <v>12</v>
      </c>
      <c r="AO47" s="208"/>
      <c r="AP47" s="209"/>
      <c r="AY47" s="207"/>
      <c r="AZ47" s="122" cm="1">
        <f t="array" ref="AZ47">RowH(AR47)</f>
        <v>12</v>
      </c>
      <c r="BC47" s="208"/>
      <c r="BD47" s="209"/>
      <c r="BM47" s="207"/>
      <c r="BN47" s="122" cm="1">
        <f t="array" ref="BN47">RowH(BF47)</f>
        <v>12</v>
      </c>
      <c r="BQ47" s="208"/>
      <c r="BR47" s="209"/>
    </row>
    <row r="48" spans="1:76">
      <c r="A48" s="202"/>
      <c r="B48" s="202"/>
      <c r="C48" s="205"/>
      <c r="D48" s="205"/>
      <c r="E48" s="205"/>
      <c r="F48" s="205"/>
      <c r="I48" s="207"/>
      <c r="J48" s="122" cm="1">
        <f t="array" ref="J48">RowH(B48)</f>
        <v>12</v>
      </c>
      <c r="M48" s="208"/>
      <c r="N48" s="209"/>
      <c r="W48" s="207"/>
      <c r="X48" s="122" cm="1">
        <f t="array" ref="X48">RowH(P48)</f>
        <v>12</v>
      </c>
      <c r="AA48" s="188"/>
      <c r="AB48" s="209"/>
      <c r="AK48" s="207"/>
      <c r="AL48" s="122" cm="1">
        <f t="array" ref="AL48">RowH(AD48)</f>
        <v>12</v>
      </c>
      <c r="AO48" s="208"/>
      <c r="AP48" s="209"/>
      <c r="AY48" s="207"/>
      <c r="AZ48" s="122" cm="1">
        <f t="array" ref="AZ48">RowH(AR48)</f>
        <v>12</v>
      </c>
      <c r="BC48" s="208"/>
      <c r="BD48" s="209"/>
      <c r="BM48" s="207"/>
      <c r="BN48" s="122" cm="1">
        <f t="array" ref="BN48">RowH(BF48)</f>
        <v>12</v>
      </c>
      <c r="BQ48" s="208"/>
      <c r="BR48" s="209"/>
    </row>
    <row r="49" spans="1:77">
      <c r="A49" s="202"/>
      <c r="B49" s="202"/>
      <c r="C49" s="205"/>
      <c r="D49" s="205"/>
      <c r="E49" s="205"/>
      <c r="F49" s="205"/>
      <c r="I49" s="207"/>
      <c r="J49" s="122" cm="1">
        <f t="array" ref="J49">RowH(B49)</f>
        <v>12</v>
      </c>
      <c r="M49" s="208"/>
      <c r="N49" s="209"/>
      <c r="W49" s="207"/>
      <c r="X49" s="122" cm="1">
        <f t="array" ref="X49">RowH(P49)</f>
        <v>12</v>
      </c>
      <c r="AA49" s="188"/>
      <c r="AB49" s="209"/>
      <c r="AK49" s="207"/>
      <c r="AL49" s="122" cm="1">
        <f t="array" ref="AL49">RowH(AD49)</f>
        <v>12</v>
      </c>
      <c r="AO49" s="208"/>
      <c r="AP49" s="209"/>
      <c r="AY49" s="207"/>
      <c r="AZ49" s="122" cm="1">
        <f t="array" ref="AZ49">RowH(AR49)</f>
        <v>12</v>
      </c>
      <c r="BC49" s="208"/>
      <c r="BD49" s="209"/>
      <c r="BM49" s="207"/>
      <c r="BN49" s="122" cm="1">
        <f t="array" ref="BN49">RowH(BF49)</f>
        <v>12</v>
      </c>
      <c r="BQ49" s="208"/>
      <c r="BR49" s="209"/>
    </row>
    <row r="50" spans="1:77">
      <c r="A50" s="202"/>
      <c r="B50" s="202"/>
      <c r="C50" s="205"/>
      <c r="D50" s="205"/>
      <c r="E50" s="205"/>
      <c r="F50" s="205"/>
      <c r="I50" s="207"/>
      <c r="J50" s="122" cm="1">
        <f t="array" ref="J50">RowH(B50)</f>
        <v>12</v>
      </c>
      <c r="N50" s="209"/>
      <c r="W50" s="207"/>
      <c r="X50" s="122" cm="1">
        <f t="array" ref="X50">RowH(P50)</f>
        <v>12</v>
      </c>
      <c r="AA50" s="188"/>
      <c r="AB50" s="209"/>
      <c r="AK50" s="207"/>
      <c r="AL50" s="122" cm="1">
        <f t="array" ref="AL50">RowH(AD50)</f>
        <v>12</v>
      </c>
      <c r="AP50" s="209"/>
      <c r="AY50" s="207"/>
      <c r="AZ50" s="122" cm="1">
        <f t="array" ref="AZ50">RowH(AR50)</f>
        <v>12</v>
      </c>
      <c r="BD50" s="209"/>
      <c r="BM50" s="207"/>
      <c r="BN50" s="122" cm="1">
        <f t="array" ref="BN50">RowH(BF50)</f>
        <v>12</v>
      </c>
      <c r="BR50" s="209"/>
    </row>
    <row r="51" spans="1:77">
      <c r="A51" s="202"/>
      <c r="B51" s="202"/>
      <c r="C51" s="205"/>
      <c r="D51" s="205"/>
      <c r="E51" s="205"/>
      <c r="F51" s="205"/>
      <c r="I51" s="207"/>
      <c r="J51" s="122" cm="1">
        <f t="array" ref="J51">RowH(B51)</f>
        <v>12</v>
      </c>
      <c r="W51" s="207"/>
      <c r="X51" s="122" cm="1">
        <f t="array" ref="X51">RowH(P51)</f>
        <v>12</v>
      </c>
      <c r="AA51" s="188"/>
      <c r="AK51" s="207"/>
      <c r="AL51" s="122" cm="1">
        <f t="array" ref="AL51">RowH(AD51)</f>
        <v>12</v>
      </c>
      <c r="AY51" s="207"/>
      <c r="AZ51" s="122" cm="1">
        <f t="array" ref="AZ51">RowH(AR51)</f>
        <v>12</v>
      </c>
      <c r="BM51" s="207"/>
      <c r="BN51" s="122" cm="1">
        <f t="array" ref="BN51">RowH(BF51)</f>
        <v>12</v>
      </c>
    </row>
    <row r="52" spans="1:77">
      <c r="A52" s="202"/>
      <c r="B52" s="202"/>
      <c r="C52" s="205"/>
      <c r="D52" s="205"/>
      <c r="E52" s="205"/>
      <c r="F52" s="205"/>
      <c r="I52" s="207"/>
      <c r="J52" s="122" cm="1">
        <f t="array" ref="J52">RowH(B52)</f>
        <v>12</v>
      </c>
      <c r="W52" s="207"/>
      <c r="X52" s="122" cm="1">
        <f t="array" ref="X52">RowH(P52)</f>
        <v>12</v>
      </c>
      <c r="AA52" s="188"/>
      <c r="AK52" s="207"/>
      <c r="AL52" s="122" cm="1">
        <f t="array" ref="AL52">RowH(AD52)</f>
        <v>12</v>
      </c>
      <c r="AY52" s="207"/>
      <c r="AZ52" s="122" cm="1">
        <f t="array" ref="AZ52">RowH(AR52)</f>
        <v>12</v>
      </c>
      <c r="BM52" s="207"/>
      <c r="BN52" s="122" cm="1">
        <f t="array" ref="BN52">RowH(BF52)</f>
        <v>12</v>
      </c>
    </row>
    <row r="53" spans="1:77">
      <c r="A53" s="202"/>
      <c r="B53" s="202"/>
      <c r="C53" s="205"/>
      <c r="D53" s="205"/>
      <c r="E53" s="205"/>
      <c r="F53" s="205"/>
      <c r="I53" s="207"/>
      <c r="J53" s="122" cm="1">
        <f t="array" ref="J53">RowH(B53)</f>
        <v>12</v>
      </c>
      <c r="W53" s="207"/>
      <c r="X53" s="122" cm="1">
        <f t="array" ref="X53">RowH(P53)</f>
        <v>12</v>
      </c>
      <c r="AA53" s="188"/>
      <c r="AK53" s="207"/>
      <c r="AL53" s="122" cm="1">
        <f t="array" ref="AL53">RowH(AD53)</f>
        <v>12</v>
      </c>
      <c r="AY53" s="207"/>
      <c r="AZ53" s="122" cm="1">
        <f t="array" ref="AZ53">RowH(AR53)</f>
        <v>12</v>
      </c>
      <c r="BM53" s="207"/>
      <c r="BN53" s="122" cm="1">
        <f t="array" ref="BN53">RowH(BF53)</f>
        <v>12</v>
      </c>
    </row>
    <row r="54" spans="1:77">
      <c r="A54" s="202"/>
      <c r="B54" s="202"/>
      <c r="C54" s="205"/>
      <c r="D54" s="205"/>
      <c r="E54" s="205"/>
      <c r="F54" s="205"/>
      <c r="I54" s="207"/>
      <c r="J54" s="122" cm="1">
        <f t="array" ref="J54">RowH(B54)</f>
        <v>12</v>
      </c>
      <c r="W54" s="207"/>
      <c r="X54" s="122" cm="1">
        <f t="array" ref="X54">RowH(P54)</f>
        <v>12</v>
      </c>
      <c r="AA54" s="188"/>
      <c r="AK54" s="207"/>
      <c r="AL54" s="122" cm="1">
        <f t="array" ref="AL54">RowH(AD54)</f>
        <v>12</v>
      </c>
      <c r="AY54" s="207"/>
      <c r="AZ54" s="122" cm="1">
        <f t="array" ref="AZ54">RowH(AR54)</f>
        <v>12</v>
      </c>
      <c r="BM54" s="207"/>
      <c r="BN54" s="122" cm="1">
        <f t="array" ref="BN54">RowH(BF54)</f>
        <v>12</v>
      </c>
    </row>
    <row r="55" spans="1:77">
      <c r="A55" s="202"/>
      <c r="B55" s="202"/>
      <c r="C55" s="205"/>
      <c r="D55" s="205"/>
      <c r="E55" s="205"/>
      <c r="F55" s="205"/>
      <c r="I55" s="207"/>
      <c r="J55" s="122" cm="1">
        <f t="array" ref="J55">RowH(B55)</f>
        <v>12</v>
      </c>
      <c r="W55" s="207"/>
      <c r="X55" s="122" cm="1">
        <f t="array" ref="X55">RowH(P55)</f>
        <v>12</v>
      </c>
      <c r="AA55" s="188"/>
      <c r="AK55" s="207"/>
      <c r="AL55" s="122" cm="1">
        <f t="array" ref="AL55">RowH(AD55)</f>
        <v>12</v>
      </c>
      <c r="AY55" s="207"/>
      <c r="AZ55" s="122" cm="1">
        <f t="array" ref="AZ55">RowH(AR55)</f>
        <v>12</v>
      </c>
      <c r="BM55" s="207"/>
      <c r="BN55" s="122" cm="1">
        <f t="array" ref="BN55">RowH(BF55)</f>
        <v>12</v>
      </c>
    </row>
    <row r="56" spans="1:77">
      <c r="A56" s="202"/>
      <c r="B56" s="202"/>
      <c r="C56" s="205"/>
      <c r="D56" s="205"/>
      <c r="E56" s="205"/>
      <c r="F56" s="205"/>
      <c r="I56" s="207"/>
      <c r="J56" s="122" cm="1">
        <f t="array" ref="J56">RowH(B56)</f>
        <v>12</v>
      </c>
      <c r="W56" s="207"/>
      <c r="X56" s="122" cm="1">
        <f t="array" ref="X56">RowH(P56)</f>
        <v>12</v>
      </c>
      <c r="AA56" s="188"/>
      <c r="AK56" s="207"/>
      <c r="AL56" s="122" cm="1">
        <f t="array" ref="AL56">RowH(AD56)</f>
        <v>12</v>
      </c>
      <c r="AY56" s="207"/>
      <c r="AZ56" s="122" cm="1">
        <f t="array" ref="AZ56">RowH(AR56)</f>
        <v>12</v>
      </c>
      <c r="BM56" s="207"/>
      <c r="BN56" s="122" cm="1">
        <f t="array" ref="BN56">RowH(BF56)</f>
        <v>12</v>
      </c>
    </row>
    <row r="57" spans="1:77">
      <c r="A57" s="202"/>
      <c r="B57" s="202"/>
      <c r="C57" s="205"/>
      <c r="D57" s="205"/>
      <c r="E57" s="205"/>
      <c r="F57" s="205"/>
      <c r="H57" s="99"/>
      <c r="I57" s="207"/>
      <c r="J57" s="122" cm="1">
        <f t="array" ref="J57">RowH(B57)</f>
        <v>12</v>
      </c>
      <c r="W57" s="207"/>
      <c r="X57" s="122" cm="1">
        <f t="array" ref="X57">RowH(P57)</f>
        <v>12</v>
      </c>
      <c r="AA57" s="188"/>
      <c r="AK57" s="207"/>
      <c r="AL57" s="122" cm="1">
        <f t="array" ref="AL57">RowH(AD57)</f>
        <v>12</v>
      </c>
      <c r="AY57" s="207"/>
      <c r="AZ57" s="122" cm="1">
        <f t="array" ref="AZ57">RowH(AR57)</f>
        <v>12</v>
      </c>
      <c r="BM57" s="207"/>
      <c r="BN57" s="122" cm="1">
        <f t="array" ref="BN57">RowH(BF57)</f>
        <v>12</v>
      </c>
    </row>
    <row r="58" spans="1:77" ht="12" customHeight="1">
      <c r="A58" s="202"/>
      <c r="B58" s="479" t="str" cm="1">
        <f t="array" ref="B58">IF(OR('Call Flow'!$D$5="Network_Agent",'Call Flow'!$D$5="Network_Agent_FTF"),_xlfn.IFS('Call Flow'!$D$4="English",'M_Ind Agents - Eng'!$M$83,'Call Flow'!$D$4="Spanish",'M_Ind Agents - Eng'!$M$84,'Call Flow'!$D$4="French",'M_Ind Agents - Eng'!$M$85,'Call Flow'!$D$4&amp;'Call Flow'!$F$5="PortuguesePortugal",'M_Ind Agents - Eng'!$M$87,'Call Flow'!$D$4="Portuguese",'M_Ind Agents - Eng'!$M$86)&amp;'Gen Info'!$M$4&amp;" ("&amp;'Gen Info'!$O$4&amp;").","")</f>
        <v>Nota: También se entregará una copia de este aviso de infracción de su localidad TIENDA MUEBLERIA EL BODEGON AY (AME920355 &amp; VME580355 &amp; AME900357 &amp; OME100359).</v>
      </c>
      <c r="C58" s="479"/>
      <c r="D58" s="479"/>
      <c r="E58" s="479"/>
      <c r="F58" s="479"/>
      <c r="AA58" s="188"/>
    </row>
    <row r="59" spans="1:77" ht="11.15" customHeight="1">
      <c r="A59" s="472" t="str">
        <f>$A$34</f>
        <v>Western Union -Información confidencial</v>
      </c>
      <c r="B59" s="472"/>
      <c r="C59" s="472"/>
      <c r="D59" s="472"/>
      <c r="E59" s="472"/>
      <c r="F59" s="472"/>
      <c r="I59" s="472" t="s">
        <v>299</v>
      </c>
      <c r="J59" s="472"/>
      <c r="K59" s="472"/>
      <c r="L59" s="472"/>
      <c r="M59" s="472"/>
      <c r="N59" s="472"/>
      <c r="P59" s="472" t="s">
        <v>299</v>
      </c>
      <c r="Q59" s="472"/>
      <c r="R59" s="472"/>
      <c r="S59" s="472"/>
      <c r="T59" s="472"/>
      <c r="U59" s="472"/>
      <c r="W59" s="472" t="s">
        <v>300</v>
      </c>
      <c r="X59" s="472"/>
      <c r="Y59" s="472"/>
      <c r="Z59" s="472"/>
      <c r="AA59" s="482"/>
      <c r="AB59" s="472"/>
      <c r="AD59" s="472" t="s">
        <v>301</v>
      </c>
      <c r="AE59" s="472"/>
      <c r="AF59" s="472"/>
      <c r="AG59" s="472"/>
      <c r="AH59" s="472"/>
      <c r="AI59" s="472"/>
      <c r="AK59" s="472" t="s">
        <v>302</v>
      </c>
      <c r="AL59" s="472"/>
      <c r="AM59" s="472"/>
      <c r="AN59" s="472"/>
      <c r="AO59" s="472"/>
      <c r="AP59" s="472"/>
      <c r="AR59" s="472" t="s">
        <v>302</v>
      </c>
      <c r="AS59" s="472"/>
      <c r="AT59" s="472"/>
      <c r="AU59" s="472"/>
      <c r="AV59" s="472"/>
      <c r="AW59" s="472"/>
      <c r="AY59" s="472" t="s">
        <v>303</v>
      </c>
      <c r="AZ59" s="472"/>
      <c r="BA59" s="472"/>
      <c r="BB59" s="472"/>
      <c r="BC59" s="472"/>
      <c r="BD59" s="472"/>
      <c r="BF59" s="472" t="s">
        <v>304</v>
      </c>
      <c r="BG59" s="472"/>
      <c r="BH59" s="472"/>
      <c r="BI59" s="472"/>
      <c r="BJ59" s="472"/>
      <c r="BK59" s="472"/>
      <c r="BM59" s="472" t="s">
        <v>303</v>
      </c>
      <c r="BN59" s="472"/>
      <c r="BO59" s="472"/>
      <c r="BP59" s="472"/>
      <c r="BQ59" s="472"/>
      <c r="BR59" s="472"/>
      <c r="BT59" s="472" t="s">
        <v>304</v>
      </c>
      <c r="BU59" s="472"/>
      <c r="BV59" s="472"/>
      <c r="BW59" s="472"/>
      <c r="BX59" s="472"/>
      <c r="BY59" s="472"/>
    </row>
    <row r="60" spans="1:77" ht="11.15" customHeight="1">
      <c r="A60" s="472" t="str">
        <f>$A$35</f>
        <v>Octubre de 2022 v.2.1</v>
      </c>
      <c r="B60" s="472"/>
      <c r="C60" s="472"/>
      <c r="D60" s="472"/>
      <c r="E60" s="472"/>
      <c r="F60" s="472"/>
      <c r="I60" s="472" t="str">
        <f>IF('Gen Info'!$E$4="United_States","June 2023 v2.2","July 2022 V2.1")</f>
        <v>July 2022 V2.1</v>
      </c>
      <c r="J60" s="472"/>
      <c r="K60" s="472"/>
      <c r="L60" s="472"/>
      <c r="M60" s="472"/>
      <c r="N60" s="472"/>
      <c r="P60" s="472" t="str">
        <f>IF('Gen Info'!$E$4="United_States","June 2023 v2.2","October 2022 v2.1")</f>
        <v>October 2022 v2.1</v>
      </c>
      <c r="Q60" s="472"/>
      <c r="R60" s="472"/>
      <c r="S60" s="472"/>
      <c r="T60" s="472"/>
      <c r="U60" s="472"/>
      <c r="W60" s="472" t="str">
        <f>IF('Gen Info'!$E$4="United_States","Junio de 2023 v2.2","Septiembre de 2022 v2.1")</f>
        <v>Septiembre de 2022 v2.1</v>
      </c>
      <c r="X60" s="472"/>
      <c r="Y60" s="472"/>
      <c r="Z60" s="472"/>
      <c r="AA60" s="482"/>
      <c r="AB60" s="472"/>
      <c r="AD60" s="472" t="str">
        <f>IF('Gen Info'!$E$4="United_States","Junio de 2023 v.2.2","Octubre de 2022 v.2.1")</f>
        <v>Octubre de 2022 v.2.1</v>
      </c>
      <c r="AE60" s="472"/>
      <c r="AF60" s="472"/>
      <c r="AG60" s="472"/>
      <c r="AH60" s="472"/>
      <c r="AI60" s="472"/>
      <c r="AK60" s="472" t="str">
        <f>IF('Gen Info'!$E$4="United_States","Juin 2023 v2.2","Septembre 2022 v2.1")</f>
        <v>Septembre 2022 v2.1</v>
      </c>
      <c r="AL60" s="472"/>
      <c r="AM60" s="472"/>
      <c r="AN60" s="472"/>
      <c r="AO60" s="472"/>
      <c r="AP60" s="472"/>
      <c r="AR60" s="472" t="str">
        <f>IF('Gen Info'!$E$4="United_States","Juin 2023 v2.2","Octobre 2022 v2.1")</f>
        <v>Octobre 2022 v2.1</v>
      </c>
      <c r="AS60" s="472"/>
      <c r="AT60" s="472"/>
      <c r="AU60" s="472"/>
      <c r="AV60" s="472"/>
      <c r="AW60" s="472"/>
      <c r="AY60" s="472" t="s">
        <v>305</v>
      </c>
      <c r="AZ60" s="472"/>
      <c r="BA60" s="472"/>
      <c r="BB60" s="472"/>
      <c r="BC60" s="472"/>
      <c r="BD60" s="472"/>
      <c r="BF60" s="472" t="s">
        <v>305</v>
      </c>
      <c r="BG60" s="472"/>
      <c r="BH60" s="472"/>
      <c r="BI60" s="472"/>
      <c r="BJ60" s="472"/>
      <c r="BK60" s="472"/>
      <c r="BM60" s="472" t="s">
        <v>305</v>
      </c>
      <c r="BN60" s="472"/>
      <c r="BO60" s="472"/>
      <c r="BP60" s="472"/>
      <c r="BQ60" s="472"/>
      <c r="BR60" s="472"/>
      <c r="BT60" s="472" t="s">
        <v>305</v>
      </c>
      <c r="BU60" s="472"/>
      <c r="BV60" s="472"/>
      <c r="BW60" s="472"/>
      <c r="BX60" s="472"/>
      <c r="BY60" s="472"/>
    </row>
    <row r="61" spans="1:77" ht="11.15" customHeight="1">
      <c r="A61" s="472" t="str">
        <f>$A$36</f>
        <v>Revisado el 10/01/22</v>
      </c>
      <c r="B61" s="472"/>
      <c r="C61" s="472"/>
      <c r="D61" s="472"/>
      <c r="E61" s="472"/>
      <c r="F61" s="472"/>
      <c r="I61" s="472" t="str">
        <f>IF('Gen Info'!$E$4="United_States","Revised; 06/15/23","Revised; 7/06/22")</f>
        <v>Revised; 7/06/22</v>
      </c>
      <c r="J61" s="472"/>
      <c r="K61" s="472"/>
      <c r="L61" s="472"/>
      <c r="M61" s="472"/>
      <c r="N61" s="472"/>
      <c r="P61" s="472" t="str">
        <f>IF('Gen Info'!$E$4="United_States","Revised; 06/15/23","Revised; 10/01/22")</f>
        <v>Revised; 10/01/22</v>
      </c>
      <c r="Q61" s="472"/>
      <c r="R61" s="472"/>
      <c r="S61" s="472"/>
      <c r="T61" s="472"/>
      <c r="U61" s="472"/>
      <c r="W61" s="472" t="str">
        <f>IF('Gen Info'!$E$4="United_States","Revisado el 06/15/23","Revisado el 06/09/22")</f>
        <v>Revisado el 06/09/22</v>
      </c>
      <c r="X61" s="472"/>
      <c r="Y61" s="472"/>
      <c r="Z61" s="472"/>
      <c r="AA61" s="482"/>
      <c r="AB61" s="472"/>
      <c r="AD61" s="472" t="str">
        <f>IF('Gen Info'!$E$4="United_States","Revisado el 06/15/23","Revisado el 10/01/22")</f>
        <v>Revisado el 10/01/22</v>
      </c>
      <c r="AE61" s="472"/>
      <c r="AF61" s="472"/>
      <c r="AG61" s="472"/>
      <c r="AH61" s="472"/>
      <c r="AI61" s="472"/>
      <c r="AK61" s="472" t="str">
        <f>IF('Gen Info'!$E$4="United_States","Révisé; 06/15/23","Révisé; 06/09/22")</f>
        <v>Révisé; 06/09/22</v>
      </c>
      <c r="AL61" s="472"/>
      <c r="AM61" s="472"/>
      <c r="AN61" s="472"/>
      <c r="AO61" s="472"/>
      <c r="AP61" s="472"/>
      <c r="AR61" s="472" t="str">
        <f>IF('Gen Info'!$E$4="United_States","Révisé; 06/15/23","Révisé; 01/10/22")</f>
        <v>Révisé; 01/10/22</v>
      </c>
      <c r="AS61" s="472"/>
      <c r="AT61" s="472"/>
      <c r="AU61" s="472"/>
      <c r="AV61" s="472"/>
      <c r="AW61" s="472"/>
      <c r="AY61" s="472" t="s">
        <v>306</v>
      </c>
      <c r="AZ61" s="472"/>
      <c r="BA61" s="472"/>
      <c r="BB61" s="472"/>
      <c r="BC61" s="472"/>
      <c r="BD61" s="472"/>
      <c r="BF61" s="472" t="s">
        <v>307</v>
      </c>
      <c r="BG61" s="472"/>
      <c r="BH61" s="472"/>
      <c r="BI61" s="472"/>
      <c r="BJ61" s="472"/>
      <c r="BK61" s="472"/>
      <c r="BM61" s="472" t="s">
        <v>306</v>
      </c>
      <c r="BN61" s="472"/>
      <c r="BO61" s="472"/>
      <c r="BP61" s="472"/>
      <c r="BQ61" s="472"/>
      <c r="BR61" s="472"/>
      <c r="BT61" s="472" t="s">
        <v>307</v>
      </c>
      <c r="BU61" s="472"/>
      <c r="BV61" s="472"/>
      <c r="BW61" s="472"/>
      <c r="BX61" s="472"/>
      <c r="BY61" s="472"/>
    </row>
    <row r="62" spans="1:77" ht="21" customHeight="1">
      <c r="A62" s="473" t="str">
        <f>$A$37</f>
        <v>El contenido de esta carta y el informe de revisión del Programa son confidenciales y no pueden compartirse o divulgarse de ninguna otra manera con terceros sin el permiso del Cumplimiento de PBC de Western Union.</v>
      </c>
      <c r="B62" s="473"/>
      <c r="C62" s="473"/>
      <c r="D62" s="473"/>
      <c r="E62" s="473"/>
      <c r="F62" s="473"/>
      <c r="I62" s="480" t="s">
        <v>308</v>
      </c>
      <c r="J62" s="480"/>
      <c r="K62" s="480"/>
      <c r="L62" s="480"/>
      <c r="M62" s="480"/>
      <c r="N62" s="480"/>
      <c r="P62" s="480" t="s">
        <v>308</v>
      </c>
      <c r="Q62" s="480"/>
      <c r="R62" s="480"/>
      <c r="S62" s="480"/>
      <c r="T62" s="480"/>
      <c r="U62" s="480"/>
      <c r="W62" s="480" t="s">
        <v>309</v>
      </c>
      <c r="X62" s="480"/>
      <c r="Y62" s="480"/>
      <c r="Z62" s="480"/>
      <c r="AA62" s="481"/>
      <c r="AB62" s="480"/>
      <c r="AD62" s="480" t="s">
        <v>310</v>
      </c>
      <c r="AE62" s="480"/>
      <c r="AF62" s="480"/>
      <c r="AG62" s="480"/>
      <c r="AH62" s="480"/>
      <c r="AI62" s="480"/>
      <c r="AK62" s="480" t="s">
        <v>311</v>
      </c>
      <c r="AL62" s="480"/>
      <c r="AM62" s="480"/>
      <c r="AN62" s="480"/>
      <c r="AO62" s="480"/>
      <c r="AP62" s="480"/>
      <c r="AR62" s="480" t="s">
        <v>312</v>
      </c>
      <c r="AS62" s="480"/>
      <c r="AT62" s="480"/>
      <c r="AU62" s="480"/>
      <c r="AV62" s="480"/>
      <c r="AW62" s="480"/>
      <c r="AY62" s="480" t="s">
        <v>313</v>
      </c>
      <c r="AZ62" s="480"/>
      <c r="BA62" s="480"/>
      <c r="BB62" s="480"/>
      <c r="BC62" s="480"/>
      <c r="BD62" s="480"/>
      <c r="BF62" s="480" t="s">
        <v>314</v>
      </c>
      <c r="BG62" s="480"/>
      <c r="BH62" s="480"/>
      <c r="BI62" s="480"/>
      <c r="BJ62" s="480"/>
      <c r="BK62" s="480"/>
      <c r="BM62" s="480" t="s">
        <v>313</v>
      </c>
      <c r="BN62" s="480"/>
      <c r="BO62" s="480"/>
      <c r="BP62" s="480"/>
      <c r="BQ62" s="480"/>
      <c r="BR62" s="480"/>
      <c r="BT62" s="480" t="s">
        <v>314</v>
      </c>
      <c r="BU62" s="480"/>
      <c r="BV62" s="480"/>
      <c r="BW62" s="480"/>
      <c r="BX62" s="480"/>
      <c r="BY62" s="480"/>
    </row>
    <row r="63" spans="1:77" ht="11.25" customHeight="1">
      <c r="B63" s="474"/>
      <c r="C63" s="474"/>
      <c r="D63" s="474"/>
      <c r="E63" s="474"/>
      <c r="F63" s="474"/>
      <c r="AA63" s="188"/>
    </row>
    <row r="64" spans="1:77" ht="39" customHeight="1">
      <c r="B64" s="475" t="str">
        <f>$B$39</f>
        <v>Hallazgos y/o infracciones de la ley en Mexico y/o políticas y procedimientos de cumplimiento de Western Union</v>
      </c>
      <c r="C64" s="475"/>
      <c r="D64" s="475"/>
      <c r="E64" s="475"/>
      <c r="F64" s="475"/>
      <c r="AA64" s="188"/>
    </row>
    <row r="65" spans="1:66" ht="14.15" customHeight="1">
      <c r="B65" s="476" t="str">
        <f>$B$40</f>
        <v>Oficial/Delegado de cumplimiento: Carlos Eduardo</v>
      </c>
      <c r="C65" s="476"/>
      <c r="D65" s="476"/>
      <c r="E65" s="476"/>
      <c r="F65" s="476"/>
      <c r="AA65" s="188"/>
    </row>
    <row r="66" spans="1:66" ht="14.15" customHeight="1">
      <c r="B66" s="477" t="str">
        <f>$B$41</f>
        <v>Fecha límite para solucionar todos los hallazgos con seguimiento requerido: NA</v>
      </c>
      <c r="C66" s="477"/>
      <c r="D66" s="477"/>
      <c r="E66" s="477"/>
      <c r="F66" s="477"/>
      <c r="AA66" s="188"/>
    </row>
    <row r="67" spans="1:66" ht="18" customHeight="1">
      <c r="A67" s="202"/>
      <c r="B67" s="203" t="str" cm="1">
        <f t="array" ref="B67">_xlfn.IFS('Call Flow'!$D$4="Spanish","Sección",'Call Flow'!$D$4="English","Section",'Call Flow'!$D$4="French","Section",'Call Flow'!$D$4&amp;'Call Flow'!$F$5="PortuguesePortugal","Secção",'Call Flow'!$D$4="Portuguese","Seção")</f>
        <v>Sección</v>
      </c>
      <c r="C67" s="203" t="str" cm="1">
        <f t="array" ref="C67">_xlfn.IFS('Call Flow'!$D$4="Spanish","Hallazgo/infracción",'Call Flow'!$D$4="English","Finding",'Call Flow'!$D$4="French","Résultat/violation",'Call Flow'!$D$4&amp;'Call Flow'!$F$5="PortuguesePortugal","Resultado/Violação",'Call Flow'!$D$4="Portuguese","Item identificado / violação")</f>
        <v>Hallazgo/infracción</v>
      </c>
      <c r="D67" s="203" t="str" cm="1">
        <f t="array" ref="D67">_xlfn.IFS('Call Flow'!$D$4="Spanish","Medida que se debe tomar",'Call Flow'!$D$4="English","Action Required",'Call Flow'!$D$4="French","Mesure requise",'Call Flow'!$D$4&amp;'Call Flow'!$F$5="PortuguesePortugal","Ação necessária",'Call Flow'!$D$4="Portuguese","Planos de ação ")</f>
        <v>Medida que se debe tomar</v>
      </c>
      <c r="E67" s="204" t="str" cm="1">
        <f t="array" ref="E67">_xlfn.IFS('Call Flow'!$D$4="Spanish","Seguimiento requerido",'Call Flow'!$D$4="English","Follow up",'Call Flow'!$D$4="French","Suivi requis",'Call Flow'!$D$4&amp;'Call Flow'!$F$5="PortuguesePortugal","Acompanhamento necessário",'Call Flow'!$D$4="Portuguese","Monitoramento necessário")</f>
        <v>Seguimiento requerido</v>
      </c>
      <c r="F67" s="203" t="str" cm="1">
        <f t="array" ref="F67">_xlfn.IFS('Call Flow'!$D$4="Spanish","Fecha de vencimiento",'Call Flow'!$D$4="English","Due Date",'Call Flow'!$D$4="French","Date d’échéance",'Call Flow'!$D$4&amp;'Call Flow'!$F$5="PortuguesePortugal","Data Limite",'Call Flow'!$D$4="Portuguese","Prazo")</f>
        <v>Fecha de vencimiento</v>
      </c>
      <c r="AA67" s="188"/>
    </row>
    <row r="68" spans="1:66">
      <c r="A68" s="202"/>
      <c r="B68" s="202"/>
      <c r="C68" s="205"/>
      <c r="D68" s="205"/>
      <c r="E68" s="205"/>
      <c r="F68" s="205"/>
      <c r="H68" s="99"/>
      <c r="J68" s="122" cm="1">
        <f t="array" ref="J68">RowH(B68)</f>
        <v>12</v>
      </c>
      <c r="K68" s="122">
        <f>COUNTA(B68:B82)</f>
        <v>0</v>
      </c>
      <c r="X68" s="122" cm="1">
        <f t="array" ref="X68">RowH(P68)</f>
        <v>12</v>
      </c>
      <c r="AA68" s="188"/>
      <c r="AL68" s="122" cm="1">
        <f t="array" ref="AL68">RowH(AD68)</f>
        <v>12</v>
      </c>
      <c r="AZ68" s="122" cm="1">
        <f t="array" ref="AZ68">RowH(AR68)</f>
        <v>12</v>
      </c>
      <c r="BN68" s="122" cm="1">
        <f t="array" ref="BN68">RowH(BF68)</f>
        <v>12</v>
      </c>
    </row>
    <row r="69" spans="1:66">
      <c r="A69" s="202"/>
      <c r="B69" s="202"/>
      <c r="C69" s="205"/>
      <c r="D69" s="205"/>
      <c r="E69" s="205"/>
      <c r="F69" s="205"/>
      <c r="H69" s="99"/>
      <c r="J69" s="122" cm="1">
        <f t="array" ref="J69">RowH(B69)</f>
        <v>12</v>
      </c>
      <c r="X69" s="122" cm="1">
        <f t="array" ref="X69">RowH(P69)</f>
        <v>12</v>
      </c>
      <c r="AA69" s="188"/>
      <c r="AL69" s="122" cm="1">
        <f t="array" ref="AL69">RowH(AD69)</f>
        <v>12</v>
      </c>
      <c r="AZ69" s="122" cm="1">
        <f t="array" ref="AZ69">RowH(AR69)</f>
        <v>12</v>
      </c>
      <c r="BN69" s="122" cm="1">
        <f t="array" ref="BN69">RowH(BF69)</f>
        <v>12</v>
      </c>
    </row>
    <row r="70" spans="1:66">
      <c r="A70" s="202"/>
      <c r="B70" s="202"/>
      <c r="C70" s="205"/>
      <c r="D70" s="205"/>
      <c r="E70" s="205"/>
      <c r="F70" s="206"/>
      <c r="H70" s="99"/>
      <c r="J70" s="122" cm="1">
        <f t="array" ref="J70">RowH(B70)</f>
        <v>12</v>
      </c>
      <c r="X70" s="122" cm="1">
        <f t="array" ref="X70">RowH(P70)</f>
        <v>12</v>
      </c>
      <c r="AA70" s="188"/>
      <c r="AL70" s="122" cm="1">
        <f t="array" ref="AL70">RowH(AD70)</f>
        <v>12</v>
      </c>
      <c r="AZ70" s="122" cm="1">
        <f t="array" ref="AZ70">RowH(AR70)</f>
        <v>12</v>
      </c>
      <c r="BN70" s="122" cm="1">
        <f t="array" ref="BN70">RowH(BF70)</f>
        <v>12</v>
      </c>
    </row>
    <row r="71" spans="1:66">
      <c r="A71" s="202"/>
      <c r="B71" s="202"/>
      <c r="C71" s="205"/>
      <c r="D71" s="205"/>
      <c r="E71" s="205"/>
      <c r="F71" s="206"/>
      <c r="H71" s="99"/>
      <c r="J71" s="122" cm="1">
        <f t="array" ref="J71">RowH(B71)</f>
        <v>12</v>
      </c>
      <c r="X71" s="122" cm="1">
        <f t="array" ref="X71">RowH(P71)</f>
        <v>12</v>
      </c>
      <c r="AA71" s="188"/>
      <c r="AL71" s="122" cm="1">
        <f t="array" ref="AL71">RowH(AD71)</f>
        <v>12</v>
      </c>
      <c r="AZ71" s="122" cm="1">
        <f t="array" ref="AZ71">RowH(AR71)</f>
        <v>12</v>
      </c>
      <c r="BN71" s="122" cm="1">
        <f t="array" ref="BN71">RowH(BF71)</f>
        <v>12</v>
      </c>
    </row>
    <row r="72" spans="1:66">
      <c r="A72" s="202"/>
      <c r="B72" s="202"/>
      <c r="C72" s="205"/>
      <c r="D72" s="205"/>
      <c r="E72" s="205"/>
      <c r="F72" s="206"/>
      <c r="H72" s="99"/>
      <c r="J72" s="122" cm="1">
        <f t="array" ref="J72">RowH(B72)</f>
        <v>12</v>
      </c>
      <c r="X72" s="122" cm="1">
        <f t="array" ref="X72">RowH(P72)</f>
        <v>12</v>
      </c>
      <c r="AA72" s="188"/>
      <c r="AL72" s="122" cm="1">
        <f t="array" ref="AL72">RowH(AD72)</f>
        <v>12</v>
      </c>
      <c r="AZ72" s="122" cm="1">
        <f t="array" ref="AZ72">RowH(AR72)</f>
        <v>12</v>
      </c>
      <c r="BN72" s="122" cm="1">
        <f t="array" ref="BN72">RowH(BF72)</f>
        <v>12</v>
      </c>
    </row>
    <row r="73" spans="1:66">
      <c r="A73" s="202"/>
      <c r="B73" s="202"/>
      <c r="C73" s="205"/>
      <c r="D73" s="205"/>
      <c r="E73" s="205"/>
      <c r="F73" s="206"/>
      <c r="H73" s="99"/>
      <c r="J73" s="122" cm="1">
        <f t="array" ref="J73">RowH(B73)</f>
        <v>12</v>
      </c>
      <c r="X73" s="122" cm="1">
        <f t="array" ref="X73">RowH(P73)</f>
        <v>12</v>
      </c>
      <c r="AA73" s="188"/>
      <c r="AL73" s="122" cm="1">
        <f t="array" ref="AL73">RowH(AD73)</f>
        <v>12</v>
      </c>
      <c r="AZ73" s="122" cm="1">
        <f t="array" ref="AZ73">RowH(AR73)</f>
        <v>12</v>
      </c>
      <c r="BN73" s="122" cm="1">
        <f t="array" ref="BN73">RowH(BF73)</f>
        <v>12</v>
      </c>
    </row>
    <row r="74" spans="1:66">
      <c r="A74" s="202"/>
      <c r="B74" s="202"/>
      <c r="C74" s="205"/>
      <c r="D74" s="205"/>
      <c r="E74" s="205"/>
      <c r="F74" s="206"/>
      <c r="H74" s="99"/>
      <c r="J74" s="122" cm="1">
        <f t="array" ref="J74">RowH(B74)</f>
        <v>12</v>
      </c>
      <c r="X74" s="122" cm="1">
        <f t="array" ref="X74">RowH(P74)</f>
        <v>12</v>
      </c>
      <c r="AA74" s="188"/>
      <c r="AL74" s="122" cm="1">
        <f t="array" ref="AL74">RowH(AD74)</f>
        <v>12</v>
      </c>
      <c r="AZ74" s="122" cm="1">
        <f t="array" ref="AZ74">RowH(AR74)</f>
        <v>12</v>
      </c>
      <c r="BN74" s="122" cm="1">
        <f t="array" ref="BN74">RowH(BF74)</f>
        <v>12</v>
      </c>
    </row>
    <row r="75" spans="1:66">
      <c r="A75" s="202"/>
      <c r="B75" s="202"/>
      <c r="C75" s="205"/>
      <c r="D75" s="205"/>
      <c r="E75" s="205"/>
      <c r="F75" s="206"/>
      <c r="H75" s="99"/>
      <c r="J75" s="122" cm="1">
        <f t="array" ref="J75">RowH(B75)</f>
        <v>12</v>
      </c>
      <c r="X75" s="122" cm="1">
        <f t="array" ref="X75">RowH(P75)</f>
        <v>12</v>
      </c>
      <c r="AA75" s="188"/>
      <c r="AL75" s="122" cm="1">
        <f t="array" ref="AL75">RowH(AD75)</f>
        <v>12</v>
      </c>
      <c r="AZ75" s="122" cm="1">
        <f t="array" ref="AZ75">RowH(AR75)</f>
        <v>12</v>
      </c>
      <c r="BN75" s="122" cm="1">
        <f t="array" ref="BN75">RowH(BF75)</f>
        <v>12</v>
      </c>
    </row>
    <row r="76" spans="1:66">
      <c r="A76" s="202"/>
      <c r="B76" s="202"/>
      <c r="C76" s="205"/>
      <c r="D76" s="205"/>
      <c r="E76" s="205"/>
      <c r="F76" s="206"/>
      <c r="H76" s="99"/>
      <c r="J76" s="122" cm="1">
        <f t="array" ref="J76">RowH(B76)</f>
        <v>12</v>
      </c>
      <c r="X76" s="122" cm="1">
        <f t="array" ref="X76">RowH(P76)</f>
        <v>12</v>
      </c>
      <c r="AA76" s="188"/>
      <c r="AL76" s="122" cm="1">
        <f t="array" ref="AL76">RowH(AD76)</f>
        <v>12</v>
      </c>
      <c r="AZ76" s="122" cm="1">
        <f t="array" ref="AZ76">RowH(AR76)</f>
        <v>12</v>
      </c>
      <c r="BN76" s="122" cm="1">
        <f t="array" ref="BN76">RowH(BF76)</f>
        <v>12</v>
      </c>
    </row>
    <row r="77" spans="1:66">
      <c r="A77" s="202"/>
      <c r="B77" s="202"/>
      <c r="C77" s="205"/>
      <c r="D77" s="205"/>
      <c r="E77" s="205"/>
      <c r="F77" s="206"/>
      <c r="H77" s="99"/>
      <c r="J77" s="122" cm="1">
        <f t="array" ref="J77">RowH(B77)</f>
        <v>12</v>
      </c>
      <c r="X77" s="122" cm="1">
        <f t="array" ref="X77">RowH(P77)</f>
        <v>12</v>
      </c>
      <c r="AA77" s="188"/>
      <c r="AL77" s="122" cm="1">
        <f t="array" ref="AL77">RowH(AD77)</f>
        <v>12</v>
      </c>
      <c r="AZ77" s="122" cm="1">
        <f t="array" ref="AZ77">RowH(AR77)</f>
        <v>12</v>
      </c>
      <c r="BN77" s="122" cm="1">
        <f t="array" ref="BN77">RowH(BF77)</f>
        <v>12</v>
      </c>
    </row>
    <row r="78" spans="1:66">
      <c r="A78" s="202"/>
      <c r="B78" s="202"/>
      <c r="C78" s="205"/>
      <c r="D78" s="205"/>
      <c r="E78" s="205"/>
      <c r="F78" s="206"/>
      <c r="H78" s="99"/>
      <c r="J78" s="122" cm="1">
        <f t="array" ref="J78">RowH(B78)</f>
        <v>12</v>
      </c>
      <c r="X78" s="122" cm="1">
        <f t="array" ref="X78">RowH(P78)</f>
        <v>12</v>
      </c>
      <c r="AA78" s="188"/>
      <c r="AL78" s="122" cm="1">
        <f t="array" ref="AL78">RowH(AD78)</f>
        <v>12</v>
      </c>
      <c r="AZ78" s="122" cm="1">
        <f t="array" ref="AZ78">RowH(AR78)</f>
        <v>12</v>
      </c>
      <c r="BN78" s="122" cm="1">
        <f t="array" ref="BN78">RowH(BF78)</f>
        <v>12</v>
      </c>
    </row>
    <row r="79" spans="1:66">
      <c r="A79" s="202"/>
      <c r="B79" s="202"/>
      <c r="C79" s="205"/>
      <c r="D79" s="205"/>
      <c r="E79" s="205"/>
      <c r="F79" s="206"/>
      <c r="H79" s="99"/>
      <c r="J79" s="122" cm="1">
        <f t="array" ref="J79">RowH(B79)</f>
        <v>12</v>
      </c>
      <c r="X79" s="122" cm="1">
        <f t="array" ref="X79">RowH(P79)</f>
        <v>12</v>
      </c>
      <c r="AA79" s="188"/>
      <c r="AL79" s="122" cm="1">
        <f t="array" ref="AL79">RowH(AD79)</f>
        <v>12</v>
      </c>
      <c r="AZ79" s="122" cm="1">
        <f t="array" ref="AZ79">RowH(AR79)</f>
        <v>12</v>
      </c>
      <c r="BN79" s="122" cm="1">
        <f t="array" ref="BN79">RowH(BF79)</f>
        <v>12</v>
      </c>
    </row>
    <row r="80" spans="1:66">
      <c r="A80" s="202"/>
      <c r="B80" s="202"/>
      <c r="C80" s="205"/>
      <c r="D80" s="205"/>
      <c r="E80" s="205"/>
      <c r="F80" s="206"/>
      <c r="H80" s="99"/>
      <c r="J80" s="122" cm="1">
        <f t="array" ref="J80">RowH(B80)</f>
        <v>12</v>
      </c>
      <c r="X80" s="122" cm="1">
        <f t="array" ref="X80">RowH(P80)</f>
        <v>12</v>
      </c>
      <c r="AA80" s="188"/>
      <c r="AL80" s="122" cm="1">
        <f t="array" ref="AL80">RowH(AD80)</f>
        <v>12</v>
      </c>
      <c r="AZ80" s="122" cm="1">
        <f t="array" ref="AZ80">RowH(AR80)</f>
        <v>12</v>
      </c>
      <c r="BN80" s="122" cm="1">
        <f t="array" ref="BN80">RowH(BF80)</f>
        <v>12</v>
      </c>
    </row>
    <row r="81" spans="1:66">
      <c r="A81" s="202"/>
      <c r="B81" s="202"/>
      <c r="C81" s="205"/>
      <c r="D81" s="205"/>
      <c r="E81" s="205"/>
      <c r="F81" s="206"/>
      <c r="H81" s="99"/>
      <c r="J81" s="122" cm="1">
        <f t="array" ref="J81">RowH(B81)</f>
        <v>12</v>
      </c>
      <c r="X81" s="122" cm="1">
        <f t="array" ref="X81">RowH(P81)</f>
        <v>12</v>
      </c>
      <c r="AA81" s="188"/>
      <c r="AL81" s="122" cm="1">
        <f t="array" ref="AL81">RowH(AD81)</f>
        <v>12</v>
      </c>
      <c r="AZ81" s="122" cm="1">
        <f t="array" ref="AZ81">RowH(AR81)</f>
        <v>12</v>
      </c>
      <c r="BN81" s="122" cm="1">
        <f t="array" ref="BN81">RowH(BF81)</f>
        <v>12</v>
      </c>
    </row>
    <row r="82" spans="1:66">
      <c r="A82" s="202"/>
      <c r="B82" s="202"/>
      <c r="C82" s="205"/>
      <c r="D82" s="205"/>
      <c r="E82" s="205"/>
      <c r="F82" s="206"/>
      <c r="H82" s="99"/>
      <c r="J82" s="122" cm="1">
        <f t="array" ref="J82">RowH(B82)</f>
        <v>12</v>
      </c>
      <c r="X82" s="122" cm="1">
        <f t="array" ref="X82">RowH(P82)</f>
        <v>12</v>
      </c>
      <c r="AA82" s="188"/>
      <c r="AL82" s="122" cm="1">
        <f t="array" ref="AL82">RowH(AD82)</f>
        <v>12</v>
      </c>
      <c r="AZ82" s="122" cm="1">
        <f t="array" ref="AZ82">RowH(AR82)</f>
        <v>12</v>
      </c>
      <c r="BN82" s="122" cm="1">
        <f t="array" ref="BN82">RowH(BF82)</f>
        <v>12</v>
      </c>
    </row>
    <row r="83" spans="1:66" ht="12" customHeight="1">
      <c r="A83" s="202"/>
      <c r="B83" s="479" t="str">
        <f>$B$58</f>
        <v>Nota: También se entregará una copia de este aviso de infracción de su localidad TIENDA MUEBLERIA EL BODEGON AY (AME920355 &amp; VME580355 &amp; AME900357 &amp; OME100359).</v>
      </c>
      <c r="C83" s="479"/>
      <c r="D83" s="479"/>
      <c r="E83" s="479"/>
      <c r="F83" s="479"/>
      <c r="L83" s="122" t="s">
        <v>315</v>
      </c>
      <c r="M83" s="122" t="s">
        <v>316</v>
      </c>
      <c r="AA83" s="188"/>
    </row>
    <row r="84" spans="1:66" ht="11.15" customHeight="1">
      <c r="A84" s="472" t="str">
        <f>$A$34</f>
        <v>Western Union -Información confidencial</v>
      </c>
      <c r="B84" s="472"/>
      <c r="C84" s="472"/>
      <c r="D84" s="472"/>
      <c r="E84" s="472"/>
      <c r="F84" s="472"/>
      <c r="L84" s="122" t="s">
        <v>317</v>
      </c>
      <c r="M84" s="122" t="s">
        <v>318</v>
      </c>
      <c r="AA84" s="188"/>
    </row>
    <row r="85" spans="1:66" ht="11.15" customHeight="1">
      <c r="A85" s="472" t="str">
        <f>$A$35</f>
        <v>Octubre de 2022 v.2.1</v>
      </c>
      <c r="B85" s="472"/>
      <c r="C85" s="472"/>
      <c r="D85" s="472"/>
      <c r="E85" s="472"/>
      <c r="F85" s="472"/>
      <c r="L85" s="122" t="s">
        <v>319</v>
      </c>
      <c r="M85" s="122" t="s">
        <v>320</v>
      </c>
      <c r="AA85" s="188"/>
    </row>
    <row r="86" spans="1:66" ht="11.15" customHeight="1">
      <c r="A86" s="472" t="str">
        <f>$A$36</f>
        <v>Revisado el 10/01/22</v>
      </c>
      <c r="B86" s="472"/>
      <c r="C86" s="472"/>
      <c r="D86" s="472"/>
      <c r="E86" s="472"/>
      <c r="F86" s="472"/>
      <c r="L86" s="122" t="s">
        <v>321</v>
      </c>
      <c r="M86" s="122" t="s">
        <v>322</v>
      </c>
      <c r="AA86" s="188"/>
    </row>
    <row r="87" spans="1:66" ht="21" customHeight="1">
      <c r="A87" s="473" t="str">
        <f>$A$37</f>
        <v>El contenido de esta carta y el informe de revisión del Programa son confidenciales y no pueden compartirse o divulgarse de ninguna otra manera con terceros sin el permiso del Cumplimiento de PBC de Western Union.</v>
      </c>
      <c r="B87" s="473"/>
      <c r="C87" s="473"/>
      <c r="D87" s="473"/>
      <c r="E87" s="473"/>
      <c r="F87" s="473"/>
      <c r="M87" s="122" t="s">
        <v>323</v>
      </c>
      <c r="AA87" s="188"/>
    </row>
    <row r="88" spans="1:66" ht="10.5" customHeight="1">
      <c r="B88" s="474"/>
      <c r="C88" s="474"/>
      <c r="D88" s="474"/>
      <c r="E88" s="474"/>
      <c r="F88" s="474"/>
      <c r="AA88" s="188"/>
    </row>
    <row r="89" spans="1:66" ht="39" customHeight="1">
      <c r="B89" s="475" t="str">
        <f>$B$39</f>
        <v>Hallazgos y/o infracciones de la ley en Mexico y/o políticas y procedimientos de cumplimiento de Western Union</v>
      </c>
      <c r="C89" s="475"/>
      <c r="D89" s="475"/>
      <c r="E89" s="475"/>
      <c r="F89" s="475"/>
      <c r="AA89" s="188"/>
    </row>
    <row r="90" spans="1:66" ht="14.15" customHeight="1">
      <c r="B90" s="476" t="str">
        <f>$B$40</f>
        <v>Oficial/Delegado de cumplimiento: Carlos Eduardo</v>
      </c>
      <c r="C90" s="476"/>
      <c r="D90" s="476"/>
      <c r="E90" s="476"/>
      <c r="F90" s="476"/>
      <c r="AA90" s="188"/>
    </row>
    <row r="91" spans="1:66" ht="14.15" customHeight="1">
      <c r="B91" s="477" t="str">
        <f>$B$41</f>
        <v>Fecha límite para solucionar todos los hallazgos con seguimiento requerido: NA</v>
      </c>
      <c r="C91" s="477"/>
      <c r="D91" s="477"/>
      <c r="E91" s="477"/>
      <c r="F91" s="477"/>
      <c r="AA91" s="188"/>
    </row>
    <row r="92" spans="1:66" ht="18" customHeight="1">
      <c r="A92" s="202"/>
      <c r="B92" s="203" t="str" cm="1">
        <f t="array" ref="B92">_xlfn.IFS('Call Flow'!$D$4="Spanish","Sección",'Call Flow'!$D$4="English","Section",'Call Flow'!$D$4="French","Section",'Call Flow'!$D$4&amp;'Call Flow'!$F$5="PortuguesePortugal","Secção",'Call Flow'!$D$4="Portuguese","Seção")</f>
        <v>Sección</v>
      </c>
      <c r="C92" s="203" t="str" cm="1">
        <f t="array" ref="C92">_xlfn.IFS('Call Flow'!$D$4="Spanish","Hallazgo/infracción",'Call Flow'!$D$4="English","Finding",'Call Flow'!$D$4="French","Résultat/violation",'Call Flow'!$D$4&amp;'Call Flow'!$F$5="PortuguesePortugal","Resultado/Violação",'Call Flow'!$D$4="Portuguese","Item identificado / violação")</f>
        <v>Hallazgo/infracción</v>
      </c>
      <c r="D92" s="203" t="str" cm="1">
        <f t="array" ref="D92">_xlfn.IFS('Call Flow'!$D$4="Spanish","Medida que se debe tomar",'Call Flow'!$D$4="English","Action Required",'Call Flow'!$D$4="French","Mesure requise",'Call Flow'!$D$4&amp;'Call Flow'!$F$5="PortuguesePortugal","Ação necessária",'Call Flow'!$D$4="Portuguese","Planos de ação ")</f>
        <v>Medida que se debe tomar</v>
      </c>
      <c r="E92" s="204" t="str" cm="1">
        <f t="array" ref="E92">_xlfn.IFS('Call Flow'!$D$4="Spanish","Seguimiento requerido",'Call Flow'!$D$4="English","Follow up",'Call Flow'!$D$4="French","Suivi requis",'Call Flow'!$D$4&amp;'Call Flow'!$F$5="PortuguesePortugal","Acompanhamento necessário",'Call Flow'!$D$4="Portuguese","Monitoramento necessário")</f>
        <v>Seguimiento requerido</v>
      </c>
      <c r="F92" s="203" t="str" cm="1">
        <f t="array" ref="F92">_xlfn.IFS('Call Flow'!$D$4="Spanish","Fecha de vencimiento",'Call Flow'!$D$4="English","Due Date",'Call Flow'!$D$4="French","Date d’échéance",'Call Flow'!$D$4&amp;'Call Flow'!$F$5="PortuguesePortugal","Data Limite",'Call Flow'!$D$4="Portuguese","Prazo")</f>
        <v>Fecha de vencimiento</v>
      </c>
      <c r="AA92" s="188"/>
    </row>
    <row r="93" spans="1:66">
      <c r="A93" s="202"/>
      <c r="B93" s="202"/>
      <c r="C93" s="205"/>
      <c r="D93" s="205"/>
      <c r="E93" s="205"/>
      <c r="F93" s="206"/>
      <c r="H93" s="99"/>
      <c r="J93" s="122" cm="1">
        <f t="array" ref="J93">RowH(B93)</f>
        <v>12</v>
      </c>
      <c r="K93" s="122">
        <f>COUNTA(B93:B107)</f>
        <v>0</v>
      </c>
      <c r="X93" s="122" cm="1">
        <f t="array" ref="X93">RowH(P93)</f>
        <v>12</v>
      </c>
      <c r="AA93" s="188"/>
      <c r="AL93" s="122" cm="1">
        <f t="array" ref="AL93">RowH(AD93)</f>
        <v>12</v>
      </c>
      <c r="AZ93" s="122" cm="1">
        <f t="array" ref="AZ93">RowH(AR93)</f>
        <v>12</v>
      </c>
      <c r="BN93" s="122" cm="1">
        <f t="array" ref="BN93">RowH(BF93)</f>
        <v>12</v>
      </c>
    </row>
    <row r="94" spans="1:66">
      <c r="A94" s="202"/>
      <c r="B94" s="202"/>
      <c r="C94" s="205"/>
      <c r="D94" s="205"/>
      <c r="E94" s="205"/>
      <c r="F94" s="206"/>
      <c r="H94" s="99"/>
      <c r="J94" s="122" cm="1">
        <f t="array" ref="J94">RowH(B94)</f>
        <v>12</v>
      </c>
      <c r="X94" s="122" cm="1">
        <f t="array" ref="X94">RowH(P94)</f>
        <v>12</v>
      </c>
      <c r="AA94" s="188"/>
      <c r="AL94" s="122" cm="1">
        <f t="array" ref="AL94">RowH(AD94)</f>
        <v>12</v>
      </c>
      <c r="AZ94" s="122" cm="1">
        <f t="array" ref="AZ94">RowH(AR94)</f>
        <v>12</v>
      </c>
      <c r="BN94" s="122" cm="1">
        <f t="array" ref="BN94">RowH(BF94)</f>
        <v>12</v>
      </c>
    </row>
    <row r="95" spans="1:66">
      <c r="A95" s="202"/>
      <c r="B95" s="202"/>
      <c r="C95" s="205"/>
      <c r="D95" s="205"/>
      <c r="E95" s="205"/>
      <c r="F95" s="206"/>
      <c r="H95" s="99"/>
      <c r="J95" s="122" cm="1">
        <f t="array" ref="J95">RowH(B95)</f>
        <v>12</v>
      </c>
      <c r="X95" s="122" cm="1">
        <f t="array" ref="X95">RowH(P95)</f>
        <v>12</v>
      </c>
      <c r="AA95" s="188"/>
      <c r="AL95" s="122" cm="1">
        <f t="array" ref="AL95">RowH(AD95)</f>
        <v>12</v>
      </c>
      <c r="AZ95" s="122" cm="1">
        <f t="array" ref="AZ95">RowH(AR95)</f>
        <v>12</v>
      </c>
      <c r="BN95" s="122" cm="1">
        <f t="array" ref="BN95">RowH(BF95)</f>
        <v>12</v>
      </c>
    </row>
    <row r="96" spans="1:66">
      <c r="A96" s="202"/>
      <c r="B96" s="202"/>
      <c r="C96" s="205"/>
      <c r="D96" s="205"/>
      <c r="E96" s="205"/>
      <c r="F96" s="206"/>
      <c r="H96" s="99"/>
      <c r="J96" s="122" cm="1">
        <f t="array" ref="J96">RowH(B96)</f>
        <v>12</v>
      </c>
      <c r="X96" s="122" cm="1">
        <f t="array" ref="X96">RowH(P96)</f>
        <v>12</v>
      </c>
      <c r="AA96" s="188"/>
      <c r="AL96" s="122" cm="1">
        <f t="array" ref="AL96">RowH(AD96)</f>
        <v>12</v>
      </c>
      <c r="AZ96" s="122" cm="1">
        <f t="array" ref="AZ96">RowH(AR96)</f>
        <v>12</v>
      </c>
      <c r="BN96" s="122" cm="1">
        <f t="array" ref="BN96">RowH(BF96)</f>
        <v>12</v>
      </c>
    </row>
    <row r="97" spans="1:66">
      <c r="A97" s="202"/>
      <c r="B97" s="202"/>
      <c r="C97" s="205"/>
      <c r="D97" s="205"/>
      <c r="E97" s="205"/>
      <c r="F97" s="206"/>
      <c r="H97" s="99"/>
      <c r="J97" s="122" cm="1">
        <f t="array" ref="J97">RowH(B97)</f>
        <v>12</v>
      </c>
      <c r="X97" s="122" cm="1">
        <f t="array" ref="X97">RowH(P97)</f>
        <v>12</v>
      </c>
      <c r="AA97" s="188"/>
      <c r="AL97" s="122" cm="1">
        <f t="array" ref="AL97">RowH(AD97)</f>
        <v>12</v>
      </c>
      <c r="AZ97" s="122" cm="1">
        <f t="array" ref="AZ97">RowH(AR97)</f>
        <v>12</v>
      </c>
      <c r="BN97" s="122" cm="1">
        <f t="array" ref="BN97">RowH(BF97)</f>
        <v>12</v>
      </c>
    </row>
    <row r="98" spans="1:66">
      <c r="A98" s="202"/>
      <c r="B98" s="202"/>
      <c r="C98" s="205"/>
      <c r="D98" s="205"/>
      <c r="E98" s="205"/>
      <c r="F98" s="206"/>
      <c r="H98" s="99"/>
      <c r="J98" s="122" cm="1">
        <f t="array" ref="J98">RowH(B98)</f>
        <v>12</v>
      </c>
      <c r="X98" s="122" cm="1">
        <f t="array" ref="X98">RowH(P98)</f>
        <v>12</v>
      </c>
      <c r="AA98" s="188"/>
      <c r="AL98" s="122" cm="1">
        <f t="array" ref="AL98">RowH(AD98)</f>
        <v>12</v>
      </c>
      <c r="AZ98" s="122" cm="1">
        <f t="array" ref="AZ98">RowH(AR98)</f>
        <v>12</v>
      </c>
      <c r="BN98" s="122" cm="1">
        <f t="array" ref="BN98">RowH(BF98)</f>
        <v>12</v>
      </c>
    </row>
    <row r="99" spans="1:66">
      <c r="A99" s="202"/>
      <c r="B99" s="202"/>
      <c r="C99" s="205"/>
      <c r="D99" s="205"/>
      <c r="E99" s="205"/>
      <c r="F99" s="206"/>
      <c r="H99" s="99"/>
      <c r="J99" s="122" cm="1">
        <f t="array" ref="J99">RowH(B99)</f>
        <v>12</v>
      </c>
      <c r="X99" s="122" cm="1">
        <f t="array" ref="X99">RowH(P99)</f>
        <v>12</v>
      </c>
      <c r="AA99" s="188"/>
      <c r="AL99" s="122" cm="1">
        <f t="array" ref="AL99">RowH(AD99)</f>
        <v>12</v>
      </c>
      <c r="AZ99" s="122" cm="1">
        <f t="array" ref="AZ99">RowH(AR99)</f>
        <v>12</v>
      </c>
      <c r="BN99" s="122" cm="1">
        <f t="array" ref="BN99">RowH(BF99)</f>
        <v>12</v>
      </c>
    </row>
    <row r="100" spans="1:66">
      <c r="A100" s="202"/>
      <c r="B100" s="202"/>
      <c r="C100" s="205"/>
      <c r="D100" s="205"/>
      <c r="E100" s="205"/>
      <c r="F100" s="206"/>
      <c r="H100" s="99"/>
      <c r="J100" s="122" cm="1">
        <f t="array" ref="J100">RowH(B100)</f>
        <v>12</v>
      </c>
      <c r="X100" s="122" cm="1">
        <f t="array" ref="X100">RowH(P100)</f>
        <v>12</v>
      </c>
      <c r="AA100" s="188"/>
      <c r="AL100" s="122" cm="1">
        <f t="array" ref="AL100">RowH(AD100)</f>
        <v>12</v>
      </c>
      <c r="AZ100" s="122" cm="1">
        <f t="array" ref="AZ100">RowH(AR100)</f>
        <v>12</v>
      </c>
      <c r="BN100" s="122" cm="1">
        <f t="array" ref="BN100">RowH(BF100)</f>
        <v>12</v>
      </c>
    </row>
    <row r="101" spans="1:66">
      <c r="A101" s="202"/>
      <c r="B101" s="202"/>
      <c r="C101" s="205"/>
      <c r="D101" s="205"/>
      <c r="E101" s="205"/>
      <c r="F101" s="206"/>
      <c r="H101" s="99"/>
      <c r="J101" s="122" cm="1">
        <f t="array" ref="J101">RowH(B101)</f>
        <v>12</v>
      </c>
      <c r="X101" s="122" cm="1">
        <f t="array" ref="X101">RowH(P101)</f>
        <v>12</v>
      </c>
      <c r="AA101" s="188"/>
      <c r="AL101" s="122" cm="1">
        <f t="array" ref="AL101">RowH(AD101)</f>
        <v>12</v>
      </c>
      <c r="AZ101" s="122" cm="1">
        <f t="array" ref="AZ101">RowH(AR101)</f>
        <v>12</v>
      </c>
      <c r="BN101" s="122" cm="1">
        <f t="array" ref="BN101">RowH(BF101)</f>
        <v>12</v>
      </c>
    </row>
    <row r="102" spans="1:66">
      <c r="A102" s="202"/>
      <c r="B102" s="202"/>
      <c r="C102" s="205"/>
      <c r="D102" s="205"/>
      <c r="E102" s="205"/>
      <c r="F102" s="206"/>
      <c r="H102" s="99"/>
      <c r="J102" s="122" cm="1">
        <f t="array" ref="J102">RowH(B102)</f>
        <v>12</v>
      </c>
      <c r="X102" s="122" cm="1">
        <f t="array" ref="X102">RowH(P102)</f>
        <v>12</v>
      </c>
      <c r="AA102" s="188"/>
      <c r="AL102" s="122" cm="1">
        <f t="array" ref="AL102">RowH(AD102)</f>
        <v>12</v>
      </c>
      <c r="AZ102" s="122" cm="1">
        <f t="array" ref="AZ102">RowH(AR102)</f>
        <v>12</v>
      </c>
      <c r="BN102" s="122" cm="1">
        <f t="array" ref="BN102">RowH(BF102)</f>
        <v>12</v>
      </c>
    </row>
    <row r="103" spans="1:66">
      <c r="A103" s="202"/>
      <c r="B103" s="202"/>
      <c r="C103" s="205"/>
      <c r="D103" s="205"/>
      <c r="E103" s="205"/>
      <c r="F103" s="206"/>
      <c r="H103" s="99"/>
      <c r="J103" s="122" cm="1">
        <f t="array" ref="J103">RowH(B103)</f>
        <v>12</v>
      </c>
      <c r="X103" s="122" cm="1">
        <f t="array" ref="X103">RowH(P103)</f>
        <v>12</v>
      </c>
      <c r="AA103" s="188"/>
      <c r="AL103" s="122" cm="1">
        <f t="array" ref="AL103">RowH(AD103)</f>
        <v>12</v>
      </c>
      <c r="AZ103" s="122" cm="1">
        <f t="array" ref="AZ103">RowH(AR103)</f>
        <v>12</v>
      </c>
      <c r="BN103" s="122" cm="1">
        <f t="array" ref="BN103">RowH(BF103)</f>
        <v>12</v>
      </c>
    </row>
    <row r="104" spans="1:66">
      <c r="A104" s="202"/>
      <c r="B104" s="202"/>
      <c r="C104" s="205"/>
      <c r="D104" s="205"/>
      <c r="E104" s="205"/>
      <c r="F104" s="206"/>
      <c r="H104" s="99"/>
      <c r="J104" s="122" cm="1">
        <f t="array" ref="J104">RowH(B104)</f>
        <v>12</v>
      </c>
      <c r="X104" s="122" cm="1">
        <f t="array" ref="X104">RowH(P104)</f>
        <v>12</v>
      </c>
      <c r="AA104" s="188"/>
      <c r="AL104" s="122" cm="1">
        <f t="array" ref="AL104">RowH(AD104)</f>
        <v>12</v>
      </c>
      <c r="AZ104" s="122" cm="1">
        <f t="array" ref="AZ104">RowH(AR104)</f>
        <v>12</v>
      </c>
      <c r="BN104" s="122" cm="1">
        <f t="array" ref="BN104">RowH(BF104)</f>
        <v>12</v>
      </c>
    </row>
    <row r="105" spans="1:66">
      <c r="A105" s="202"/>
      <c r="B105" s="202"/>
      <c r="C105" s="205"/>
      <c r="D105" s="205"/>
      <c r="E105" s="205"/>
      <c r="F105" s="206"/>
      <c r="H105" s="99"/>
      <c r="J105" s="122" cm="1">
        <f t="array" ref="J105">RowH(B105)</f>
        <v>12</v>
      </c>
      <c r="X105" s="122" cm="1">
        <f t="array" ref="X105">RowH(P105)</f>
        <v>12</v>
      </c>
      <c r="AL105" s="122" cm="1">
        <f t="array" ref="AL105">RowH(AD105)</f>
        <v>12</v>
      </c>
      <c r="AZ105" s="122" cm="1">
        <f t="array" ref="AZ105">RowH(AR105)</f>
        <v>12</v>
      </c>
      <c r="BN105" s="122" cm="1">
        <f t="array" ref="BN105">RowH(BF105)</f>
        <v>12</v>
      </c>
    </row>
    <row r="106" spans="1:66">
      <c r="A106" s="202"/>
      <c r="B106" s="202"/>
      <c r="C106" s="205"/>
      <c r="D106" s="205"/>
      <c r="E106" s="205"/>
      <c r="F106" s="206"/>
      <c r="H106" s="99"/>
      <c r="J106" s="122" cm="1">
        <f t="array" ref="J106">RowH(B106)</f>
        <v>12</v>
      </c>
      <c r="X106" s="122" cm="1">
        <f t="array" ref="X106">RowH(P106)</f>
        <v>12</v>
      </c>
      <c r="AL106" s="122" cm="1">
        <f t="array" ref="AL106">RowH(AD106)</f>
        <v>12</v>
      </c>
      <c r="AZ106" s="122" cm="1">
        <f t="array" ref="AZ106">RowH(AR106)</f>
        <v>12</v>
      </c>
      <c r="BN106" s="122" cm="1">
        <f t="array" ref="BN106">RowH(BF106)</f>
        <v>12</v>
      </c>
    </row>
    <row r="107" spans="1:66">
      <c r="A107" s="202"/>
      <c r="B107" s="202"/>
      <c r="C107" s="205"/>
      <c r="D107" s="205"/>
      <c r="E107" s="205"/>
      <c r="F107" s="206"/>
      <c r="H107" s="99"/>
      <c r="J107" s="122" cm="1">
        <f t="array" ref="J107">RowH(B107)</f>
        <v>12</v>
      </c>
      <c r="X107" s="122" cm="1">
        <f t="array" ref="X107">RowH(P107)</f>
        <v>12</v>
      </c>
      <c r="AL107" s="122" cm="1">
        <f t="array" ref="AL107">RowH(AD107)</f>
        <v>12</v>
      </c>
      <c r="AZ107" s="122" cm="1">
        <f t="array" ref="AZ107">RowH(AR107)</f>
        <v>12</v>
      </c>
      <c r="BN107" s="122" cm="1">
        <f t="array" ref="BN107">RowH(BF107)</f>
        <v>12</v>
      </c>
    </row>
    <row r="108" spans="1:66" ht="12" customHeight="1">
      <c r="A108" s="202"/>
      <c r="B108" s="479" t="str">
        <f>$B$58</f>
        <v>Nota: También se entregará una copia de este aviso de infracción de su localidad TIENDA MUEBLERIA EL BODEGON AY (AME920355 &amp; VME580355 &amp; AME900357 &amp; OME100359).</v>
      </c>
      <c r="C108" s="479"/>
      <c r="D108" s="479"/>
      <c r="E108" s="479"/>
      <c r="F108" s="479"/>
    </row>
    <row r="109" spans="1:66" ht="11.15" customHeight="1">
      <c r="A109" s="472" t="str">
        <f>$A$34</f>
        <v>Western Union -Información confidencial</v>
      </c>
      <c r="B109" s="472"/>
      <c r="C109" s="472"/>
      <c r="D109" s="472"/>
      <c r="E109" s="472"/>
      <c r="F109" s="472"/>
    </row>
    <row r="110" spans="1:66" ht="11.15" customHeight="1">
      <c r="A110" s="472" t="str">
        <f>$A$35</f>
        <v>Octubre de 2022 v.2.1</v>
      </c>
      <c r="B110" s="472"/>
      <c r="C110" s="472"/>
      <c r="D110" s="472"/>
      <c r="E110" s="472"/>
      <c r="F110" s="472"/>
    </row>
    <row r="111" spans="1:66" ht="11.15" customHeight="1">
      <c r="A111" s="472" t="str">
        <f>$A$36</f>
        <v>Revisado el 10/01/22</v>
      </c>
      <c r="B111" s="472"/>
      <c r="C111" s="472"/>
      <c r="D111" s="472"/>
      <c r="E111" s="472"/>
      <c r="F111" s="472"/>
    </row>
    <row r="112" spans="1:66" ht="21" customHeight="1">
      <c r="A112" s="473" t="str">
        <f>$A$37</f>
        <v>El contenido de esta carta y el informe de revisión del Programa son confidenciales y no pueden compartirse o divulgarse de ninguna otra manera con terceros sin el permiso del Cumplimiento de PBC de Western Union.</v>
      </c>
      <c r="B112" s="473"/>
      <c r="C112" s="473"/>
      <c r="D112" s="473"/>
      <c r="E112" s="473"/>
      <c r="F112" s="473"/>
    </row>
    <row r="113" spans="1:66" ht="11.25" customHeight="1">
      <c r="B113" s="474"/>
      <c r="C113" s="474"/>
      <c r="D113" s="474"/>
      <c r="E113" s="474"/>
      <c r="F113" s="474"/>
    </row>
    <row r="114" spans="1:66" ht="38.9" customHeight="1">
      <c r="B114" s="475" t="str">
        <f>$B$39</f>
        <v>Hallazgos y/o infracciones de la ley en Mexico y/o políticas y procedimientos de cumplimiento de Western Union</v>
      </c>
      <c r="C114" s="475"/>
      <c r="D114" s="475"/>
      <c r="E114" s="475"/>
      <c r="F114" s="475"/>
    </row>
    <row r="115" spans="1:66">
      <c r="B115" s="476" t="str">
        <f>$B$40</f>
        <v>Oficial/Delegado de cumplimiento: Carlos Eduardo</v>
      </c>
      <c r="C115" s="476"/>
      <c r="D115" s="476"/>
      <c r="E115" s="476"/>
      <c r="F115" s="476"/>
    </row>
    <row r="116" spans="1:66">
      <c r="B116" s="477" t="str">
        <f>$B$41</f>
        <v>Fecha límite para solucionar todos los hallazgos con seguimiento requerido: NA</v>
      </c>
      <c r="C116" s="477"/>
      <c r="D116" s="477"/>
      <c r="E116" s="477"/>
      <c r="F116" s="477"/>
    </row>
    <row r="117" spans="1:66" ht="18" customHeight="1">
      <c r="A117" s="202"/>
      <c r="B117" s="203" t="str" cm="1">
        <f t="array" ref="B117">_xlfn.IFS('Call Flow'!$D$4="Spanish","Sección",'Call Flow'!$D$4="English","Section",'Call Flow'!$D$4="French","Section",'Call Flow'!$D$4&amp;'Call Flow'!$F$5="PortuguesePortugal","Secção",'Call Flow'!$D$4="Portuguese","Seção")</f>
        <v>Sección</v>
      </c>
      <c r="C117" s="203" t="str" cm="1">
        <f t="array" ref="C117">_xlfn.IFS('Call Flow'!$D$4="Spanish","Hallazgo/infracción",'Call Flow'!$D$4="English","Finding",'Call Flow'!$D$4="French","Résultat/violation",'Call Flow'!$D$4&amp;'Call Flow'!$F$5="PortuguesePortugal","Resultado/Violação",'Call Flow'!$D$4="Portuguese","Item identificado / violação")</f>
        <v>Hallazgo/infracción</v>
      </c>
      <c r="D117" s="203" t="str" cm="1">
        <f t="array" ref="D117">_xlfn.IFS('Call Flow'!$D$4="Spanish","Medida que se debe tomar",'Call Flow'!$D$4="English","Action Required",'Call Flow'!$D$4="French","Mesure requise",'Call Flow'!$D$4&amp;'Call Flow'!$F$5="PortuguesePortugal","Ação necessária",'Call Flow'!$D$4="Portuguese","Planos de ação ")</f>
        <v>Medida que se debe tomar</v>
      </c>
      <c r="E117" s="204" t="str" cm="1">
        <f t="array" ref="E117">_xlfn.IFS('Call Flow'!$D$4="Spanish","Seguimiento requerido",'Call Flow'!$D$4="English","Follow up",'Call Flow'!$D$4="French","Suivi requis",'Call Flow'!$D$4&amp;'Call Flow'!$F$5="PortuguesePortugal","Acompanhamento necessário",'Call Flow'!$D$4="Portuguese","Monitoramento necessário")</f>
        <v>Seguimiento requerido</v>
      </c>
      <c r="F117" s="203" t="str" cm="1">
        <f t="array" ref="F117">_xlfn.IFS('Call Flow'!$D$4="Spanish","Fecha de vencimiento",'Call Flow'!$D$4="English","Due Date",'Call Flow'!$D$4="French","Date d’échéance",'Call Flow'!$D$4&amp;'Call Flow'!$F$5="PortuguesePortugal","Data Limite",'Call Flow'!$D$4="Portuguese","Prazo")</f>
        <v>Fecha de vencimiento</v>
      </c>
    </row>
    <row r="118" spans="1:66">
      <c r="A118" s="202"/>
      <c r="B118" s="202"/>
      <c r="C118" s="205"/>
      <c r="D118" s="205"/>
      <c r="E118" s="205"/>
      <c r="F118" s="206"/>
      <c r="H118" s="99"/>
      <c r="J118" s="122" cm="1">
        <f t="array" ref="J118">RowH(B118)</f>
        <v>12</v>
      </c>
      <c r="K118" s="122">
        <f>COUNTA(B118:B132)</f>
        <v>0</v>
      </c>
      <c r="X118" s="122" cm="1">
        <f t="array" ref="X118">RowH(P118)</f>
        <v>12</v>
      </c>
      <c r="AL118" s="122" cm="1">
        <f t="array" ref="AL118">RowH(AD118)</f>
        <v>12</v>
      </c>
      <c r="AZ118" s="122" cm="1">
        <f t="array" ref="AZ118">RowH(AR118)</f>
        <v>12</v>
      </c>
      <c r="BN118" s="122" cm="1">
        <f t="array" ref="BN118">RowH(BF118)</f>
        <v>12</v>
      </c>
    </row>
    <row r="119" spans="1:66">
      <c r="A119" s="202"/>
      <c r="B119" s="202"/>
      <c r="C119" s="205"/>
      <c r="D119" s="205"/>
      <c r="E119" s="205"/>
      <c r="F119" s="206"/>
      <c r="H119" s="99"/>
      <c r="J119" s="122" cm="1">
        <f t="array" ref="J119">RowH(B119)</f>
        <v>12</v>
      </c>
      <c r="X119" s="122" cm="1">
        <f t="array" ref="X119">RowH(P119)</f>
        <v>12</v>
      </c>
      <c r="AL119" s="122" cm="1">
        <f t="array" ref="AL119">RowH(AD119)</f>
        <v>12</v>
      </c>
      <c r="AZ119" s="122" cm="1">
        <f t="array" ref="AZ119">RowH(AR119)</f>
        <v>12</v>
      </c>
      <c r="BN119" s="122" cm="1">
        <f t="array" ref="BN119">RowH(BF119)</f>
        <v>12</v>
      </c>
    </row>
    <row r="120" spans="1:66">
      <c r="A120" s="202"/>
      <c r="B120" s="202"/>
      <c r="C120" s="205"/>
      <c r="D120" s="205"/>
      <c r="E120" s="205"/>
      <c r="F120" s="206"/>
      <c r="H120" s="99"/>
      <c r="J120" s="122" cm="1">
        <f t="array" ref="J120">RowH(B120)</f>
        <v>12</v>
      </c>
      <c r="X120" s="122" cm="1">
        <f t="array" ref="X120">RowH(P120)</f>
        <v>12</v>
      </c>
      <c r="AL120" s="122" cm="1">
        <f t="array" ref="AL120">RowH(AD120)</f>
        <v>12</v>
      </c>
      <c r="AZ120" s="122" cm="1">
        <f t="array" ref="AZ120">RowH(AR120)</f>
        <v>12</v>
      </c>
      <c r="BN120" s="122" cm="1">
        <f t="array" ref="BN120">RowH(BF120)</f>
        <v>12</v>
      </c>
    </row>
    <row r="121" spans="1:66">
      <c r="A121" s="202"/>
      <c r="B121" s="202"/>
      <c r="C121" s="205"/>
      <c r="D121" s="205"/>
      <c r="E121" s="205"/>
      <c r="F121" s="206"/>
      <c r="H121" s="99"/>
      <c r="J121" s="122" cm="1">
        <f t="array" ref="J121">RowH(B121)</f>
        <v>12</v>
      </c>
      <c r="X121" s="122" cm="1">
        <f t="array" ref="X121">RowH(P121)</f>
        <v>12</v>
      </c>
      <c r="AL121" s="122" cm="1">
        <f t="array" ref="AL121">RowH(AD121)</f>
        <v>12</v>
      </c>
      <c r="AZ121" s="122" cm="1">
        <f t="array" ref="AZ121">RowH(AR121)</f>
        <v>12</v>
      </c>
      <c r="BN121" s="122" cm="1">
        <f t="array" ref="BN121">RowH(BF121)</f>
        <v>12</v>
      </c>
    </row>
    <row r="122" spans="1:66">
      <c r="A122" s="202"/>
      <c r="B122" s="202"/>
      <c r="C122" s="205"/>
      <c r="D122" s="205"/>
      <c r="E122" s="205"/>
      <c r="F122" s="206"/>
      <c r="H122" s="99"/>
      <c r="J122" s="122" cm="1">
        <f t="array" ref="J122">RowH(B122)</f>
        <v>12</v>
      </c>
      <c r="X122" s="122" cm="1">
        <f t="array" ref="X122">RowH(P122)</f>
        <v>12</v>
      </c>
      <c r="AL122" s="122" cm="1">
        <f t="array" ref="AL122">RowH(AD122)</f>
        <v>12</v>
      </c>
      <c r="AZ122" s="122" cm="1">
        <f t="array" ref="AZ122">RowH(AR122)</f>
        <v>12</v>
      </c>
      <c r="BN122" s="122" cm="1">
        <f t="array" ref="BN122">RowH(BF122)</f>
        <v>12</v>
      </c>
    </row>
    <row r="123" spans="1:66">
      <c r="A123" s="202"/>
      <c r="B123" s="202"/>
      <c r="C123" s="205"/>
      <c r="D123" s="205"/>
      <c r="E123" s="205"/>
      <c r="F123" s="206"/>
      <c r="H123" s="99"/>
      <c r="J123" s="122" cm="1">
        <f t="array" ref="J123">RowH(B123)</f>
        <v>12</v>
      </c>
      <c r="X123" s="122" cm="1">
        <f t="array" ref="X123">RowH(P123)</f>
        <v>12</v>
      </c>
      <c r="AL123" s="122" cm="1">
        <f t="array" ref="AL123">RowH(AD123)</f>
        <v>12</v>
      </c>
      <c r="AZ123" s="122" cm="1">
        <f t="array" ref="AZ123">RowH(AR123)</f>
        <v>12</v>
      </c>
      <c r="BN123" s="122" cm="1">
        <f t="array" ref="BN123">RowH(BF123)</f>
        <v>12</v>
      </c>
    </row>
    <row r="124" spans="1:66">
      <c r="A124" s="202"/>
      <c r="B124" s="202"/>
      <c r="C124" s="205"/>
      <c r="D124" s="205"/>
      <c r="E124" s="205"/>
      <c r="F124" s="206"/>
      <c r="H124" s="99"/>
      <c r="J124" s="122" cm="1">
        <f t="array" ref="J124">RowH(B124)</f>
        <v>12</v>
      </c>
      <c r="X124" s="122" cm="1">
        <f t="array" ref="X124">RowH(P124)</f>
        <v>12</v>
      </c>
      <c r="AL124" s="122" cm="1">
        <f t="array" ref="AL124">RowH(AD124)</f>
        <v>12</v>
      </c>
      <c r="AZ124" s="122" cm="1">
        <f t="array" ref="AZ124">RowH(AR124)</f>
        <v>12</v>
      </c>
      <c r="BN124" s="122" cm="1">
        <f t="array" ref="BN124">RowH(BF124)</f>
        <v>12</v>
      </c>
    </row>
    <row r="125" spans="1:66">
      <c r="A125" s="202"/>
      <c r="B125" s="202"/>
      <c r="C125" s="205"/>
      <c r="D125" s="205"/>
      <c r="E125" s="205"/>
      <c r="F125" s="206"/>
      <c r="H125" s="99"/>
      <c r="J125" s="122" cm="1">
        <f t="array" ref="J125">RowH(B125)</f>
        <v>12</v>
      </c>
      <c r="X125" s="122" cm="1">
        <f t="array" ref="X125">RowH(P125)</f>
        <v>12</v>
      </c>
      <c r="AL125" s="122" cm="1">
        <f t="array" ref="AL125">RowH(AD125)</f>
        <v>12</v>
      </c>
      <c r="AZ125" s="122" cm="1">
        <f t="array" ref="AZ125">RowH(AR125)</f>
        <v>12</v>
      </c>
      <c r="BN125" s="122" cm="1">
        <f t="array" ref="BN125">RowH(BF125)</f>
        <v>12</v>
      </c>
    </row>
    <row r="126" spans="1:66">
      <c r="A126" s="202"/>
      <c r="B126" s="202"/>
      <c r="C126" s="205"/>
      <c r="D126" s="205"/>
      <c r="E126" s="205"/>
      <c r="F126" s="206"/>
      <c r="H126" s="99"/>
      <c r="J126" s="122" cm="1">
        <f t="array" ref="J126">RowH(B126)</f>
        <v>12</v>
      </c>
      <c r="X126" s="122" cm="1">
        <f t="array" ref="X126">RowH(P126)</f>
        <v>12</v>
      </c>
      <c r="AL126" s="122" cm="1">
        <f t="array" ref="AL126">RowH(AD126)</f>
        <v>12</v>
      </c>
      <c r="AZ126" s="122" cm="1">
        <f t="array" ref="AZ126">RowH(AR126)</f>
        <v>12</v>
      </c>
      <c r="BN126" s="122" cm="1">
        <f t="array" ref="BN126">RowH(BF126)</f>
        <v>12</v>
      </c>
    </row>
    <row r="127" spans="1:66">
      <c r="A127" s="202"/>
      <c r="B127" s="202"/>
      <c r="C127" s="205"/>
      <c r="D127" s="205"/>
      <c r="E127" s="205"/>
      <c r="F127" s="206"/>
      <c r="G127" s="202"/>
      <c r="H127" s="99"/>
      <c r="J127" s="122" cm="1">
        <f t="array" ref="J127">RowH(B127)</f>
        <v>12</v>
      </c>
      <c r="X127" s="122" cm="1">
        <f t="array" ref="X127">RowH(P127)</f>
        <v>12</v>
      </c>
      <c r="AL127" s="122" cm="1">
        <f t="array" ref="AL127">RowH(AD127)</f>
        <v>12</v>
      </c>
      <c r="AZ127" s="122" cm="1">
        <f t="array" ref="AZ127">RowH(AR127)</f>
        <v>12</v>
      </c>
      <c r="BN127" s="122" cm="1">
        <f t="array" ref="BN127">RowH(BF127)</f>
        <v>12</v>
      </c>
    </row>
    <row r="128" spans="1:66">
      <c r="A128" s="202"/>
      <c r="B128" s="202"/>
      <c r="C128" s="205"/>
      <c r="D128" s="205"/>
      <c r="E128" s="205"/>
      <c r="F128" s="206"/>
      <c r="G128" s="202"/>
      <c r="H128" s="99"/>
      <c r="J128" s="122" cm="1">
        <f t="array" ref="J128">RowH(B128)</f>
        <v>12</v>
      </c>
      <c r="X128" s="122" cm="1">
        <f t="array" ref="X128">RowH(P128)</f>
        <v>12</v>
      </c>
      <c r="AL128" s="122" cm="1">
        <f t="array" ref="AL128">RowH(AD128)</f>
        <v>12</v>
      </c>
      <c r="AZ128" s="122" cm="1">
        <f t="array" ref="AZ128">RowH(AR128)</f>
        <v>12</v>
      </c>
      <c r="BN128" s="122" cm="1">
        <f t="array" ref="BN128">RowH(BF128)</f>
        <v>12</v>
      </c>
    </row>
    <row r="129" spans="1:66">
      <c r="A129" s="202"/>
      <c r="B129" s="202"/>
      <c r="C129" s="205"/>
      <c r="D129" s="205"/>
      <c r="E129" s="205"/>
      <c r="F129" s="206"/>
      <c r="G129" s="202"/>
      <c r="H129" s="99"/>
      <c r="J129" s="122" cm="1">
        <f t="array" ref="J129">RowH(B129)</f>
        <v>12</v>
      </c>
      <c r="X129" s="122" cm="1">
        <f t="array" ref="X129">RowH(P129)</f>
        <v>12</v>
      </c>
      <c r="AL129" s="122" cm="1">
        <f t="array" ref="AL129">RowH(AD129)</f>
        <v>12</v>
      </c>
      <c r="AZ129" s="122" cm="1">
        <f t="array" ref="AZ129">RowH(AR129)</f>
        <v>12</v>
      </c>
      <c r="BN129" s="122" cm="1">
        <f t="array" ref="BN129">RowH(BF129)</f>
        <v>12</v>
      </c>
    </row>
    <row r="130" spans="1:66">
      <c r="A130" s="202"/>
      <c r="B130" s="202"/>
      <c r="C130" s="205"/>
      <c r="D130" s="205"/>
      <c r="E130" s="205"/>
      <c r="F130" s="206"/>
      <c r="G130" s="202"/>
      <c r="H130" s="99"/>
      <c r="J130" s="122" cm="1">
        <f t="array" ref="J130">RowH(B130)</f>
        <v>12</v>
      </c>
      <c r="X130" s="122" cm="1">
        <f t="array" ref="X130">RowH(P130)</f>
        <v>12</v>
      </c>
      <c r="AL130" s="122" cm="1">
        <f t="array" ref="AL130">RowH(AD130)</f>
        <v>12</v>
      </c>
      <c r="AZ130" s="122" cm="1">
        <f t="array" ref="AZ130">RowH(AR130)</f>
        <v>12</v>
      </c>
      <c r="BN130" s="122" cm="1">
        <f t="array" ref="BN130">RowH(BF130)</f>
        <v>12</v>
      </c>
    </row>
    <row r="131" spans="1:66">
      <c r="A131" s="202"/>
      <c r="B131" s="202"/>
      <c r="C131" s="205"/>
      <c r="D131" s="205"/>
      <c r="E131" s="205"/>
      <c r="F131" s="206"/>
      <c r="G131" s="202"/>
      <c r="H131" s="99"/>
      <c r="J131" s="122" cm="1">
        <f t="array" ref="J131">RowH(B131)</f>
        <v>12</v>
      </c>
      <c r="X131" s="122" cm="1">
        <f t="array" ref="X131">RowH(P131)</f>
        <v>12</v>
      </c>
      <c r="AL131" s="122" cm="1">
        <f t="array" ref="AL131">RowH(AD131)</f>
        <v>12</v>
      </c>
      <c r="AZ131" s="122" cm="1">
        <f t="array" ref="AZ131">RowH(AR131)</f>
        <v>12</v>
      </c>
      <c r="BN131" s="122" cm="1">
        <f t="array" ref="BN131">RowH(BF131)</f>
        <v>12</v>
      </c>
    </row>
    <row r="132" spans="1:66">
      <c r="A132" s="202"/>
      <c r="B132" s="202"/>
      <c r="C132" s="205"/>
      <c r="D132" s="205"/>
      <c r="E132" s="205"/>
      <c r="F132" s="206"/>
      <c r="G132" s="202"/>
      <c r="H132" s="99"/>
      <c r="J132" s="122" cm="1">
        <f t="array" ref="J132">RowH(B132)</f>
        <v>12</v>
      </c>
      <c r="X132" s="122" cm="1">
        <f t="array" ref="X132">RowH(P132)</f>
        <v>12</v>
      </c>
      <c r="AL132" s="122" cm="1">
        <f t="array" ref="AL132">RowH(AD132)</f>
        <v>12</v>
      </c>
      <c r="AZ132" s="122" cm="1">
        <f t="array" ref="AZ132">RowH(AR132)</f>
        <v>12</v>
      </c>
      <c r="BN132" s="122" cm="1">
        <f t="array" ref="BN132">RowH(BF132)</f>
        <v>12</v>
      </c>
    </row>
    <row r="133" spans="1:66" ht="12" customHeight="1">
      <c r="A133" s="202"/>
      <c r="B133" s="479" t="str">
        <f>$B$58</f>
        <v>Nota: También se entregará una copia de este aviso de infracción de su localidad TIENDA MUEBLERIA EL BODEGON AY (AME920355 &amp; VME580355 &amp; AME900357 &amp; OME100359).</v>
      </c>
      <c r="C133" s="479"/>
      <c r="D133" s="479"/>
      <c r="E133" s="479"/>
      <c r="F133" s="479"/>
    </row>
    <row r="134" spans="1:66" ht="11.15" customHeight="1">
      <c r="A134" s="472" t="str">
        <f>$A$34</f>
        <v>Western Union -Información confidencial</v>
      </c>
      <c r="B134" s="472"/>
      <c r="C134" s="472"/>
      <c r="D134" s="472"/>
      <c r="E134" s="472"/>
      <c r="F134" s="472"/>
    </row>
    <row r="135" spans="1:66" ht="11.15" customHeight="1">
      <c r="A135" s="472" t="str">
        <f>$A$35</f>
        <v>Octubre de 2022 v.2.1</v>
      </c>
      <c r="B135" s="472"/>
      <c r="C135" s="472"/>
      <c r="D135" s="472"/>
      <c r="E135" s="472"/>
      <c r="F135" s="472"/>
    </row>
    <row r="136" spans="1:66" ht="11.15" customHeight="1">
      <c r="A136" s="472" t="str">
        <f>$A$36</f>
        <v>Revisado el 10/01/22</v>
      </c>
      <c r="B136" s="472"/>
      <c r="C136" s="472"/>
      <c r="D136" s="472"/>
      <c r="E136" s="472"/>
      <c r="F136" s="472"/>
    </row>
    <row r="137" spans="1:66" ht="21" customHeight="1">
      <c r="A137" s="473" t="str">
        <f>$A$37</f>
        <v>El contenido de esta carta y el informe de revisión del Programa son confidenciales y no pueden compartirse o divulgarse de ninguna otra manera con terceros sin el permiso del Cumplimiento de PBC de Western Union.</v>
      </c>
      <c r="B137" s="473"/>
      <c r="C137" s="473"/>
      <c r="D137" s="473"/>
      <c r="E137" s="473"/>
      <c r="F137" s="473"/>
    </row>
    <row r="138" spans="1:66" ht="9.75" customHeight="1">
      <c r="B138" s="474"/>
      <c r="C138" s="474"/>
      <c r="D138" s="474"/>
      <c r="E138" s="474"/>
      <c r="F138" s="474"/>
    </row>
    <row r="139" spans="1:66" ht="39" customHeight="1">
      <c r="B139" s="475" t="str">
        <f>$B$39</f>
        <v>Hallazgos y/o infracciones de la ley en Mexico y/o políticas y procedimientos de cumplimiento de Western Union</v>
      </c>
      <c r="C139" s="475"/>
      <c r="D139" s="475"/>
      <c r="E139" s="475"/>
      <c r="F139" s="475"/>
    </row>
    <row r="140" spans="1:66">
      <c r="B140" s="476" t="str">
        <f>$B$40</f>
        <v>Oficial/Delegado de cumplimiento: Carlos Eduardo</v>
      </c>
      <c r="C140" s="476"/>
      <c r="D140" s="476"/>
      <c r="E140" s="476"/>
      <c r="F140" s="476"/>
    </row>
    <row r="141" spans="1:66">
      <c r="B141" s="477" t="str">
        <f>$B$41</f>
        <v>Fecha límite para solucionar todos los hallazgos con seguimiento requerido: NA</v>
      </c>
      <c r="C141" s="477"/>
      <c r="D141" s="477"/>
      <c r="E141" s="477"/>
      <c r="F141" s="477"/>
    </row>
    <row r="142" spans="1:66" ht="18" customHeight="1">
      <c r="A142" s="202"/>
      <c r="B142" s="203" t="str" cm="1">
        <f t="array" ref="B142">_xlfn.IFS('Call Flow'!$D$4="Spanish","Sección",'Call Flow'!$D$4="English","Section",'Call Flow'!$D$4="French","Section",'Call Flow'!$D$4&amp;'Call Flow'!$F$5="PortuguesePortugal","Secção",'Call Flow'!$D$4="Portuguese","Seção")</f>
        <v>Sección</v>
      </c>
      <c r="C142" s="203" t="str" cm="1">
        <f t="array" ref="C142">_xlfn.IFS('Call Flow'!$D$4="Spanish","Hallazgo/infracción",'Call Flow'!$D$4="English","Finding",'Call Flow'!$D$4="French","Résultat/violation",'Call Flow'!$D$4&amp;'Call Flow'!$F$5="PortuguesePortugal","Resultado/Violação",'Call Flow'!$D$4="Portuguese","Item identificado / violação")</f>
        <v>Hallazgo/infracción</v>
      </c>
      <c r="D142" s="203" t="str" cm="1">
        <f t="array" ref="D142">_xlfn.IFS('Call Flow'!$D$4="Spanish","Medida que se debe tomar",'Call Flow'!$D$4="English","Action Required",'Call Flow'!$D$4="French","Mesure requise",'Call Flow'!$D$4&amp;'Call Flow'!$F$5="PortuguesePortugal","Ação necessária",'Call Flow'!$D$4="Portuguese","Planos de ação ")</f>
        <v>Medida que se debe tomar</v>
      </c>
      <c r="E142" s="204" t="str" cm="1">
        <f t="array" ref="E142">_xlfn.IFS('Call Flow'!$D$4="Spanish","Seguimiento requerido",'Call Flow'!$D$4="English","Follow up",'Call Flow'!$D$4="French","Suivi requis",'Call Flow'!$D$4&amp;'Call Flow'!$F$5="PortuguesePortugal","Acompanhamento necessário",'Call Flow'!$D$4="Portuguese","Monitoramento necessário")</f>
        <v>Seguimiento requerido</v>
      </c>
      <c r="F142" s="203" t="str" cm="1">
        <f t="array" ref="F142">_xlfn.IFS('Call Flow'!$D$4="Spanish","Fecha de vencimiento",'Call Flow'!$D$4="English","Due Date",'Call Flow'!$D$4="French","Date d’échéance",'Call Flow'!$D$4&amp;'Call Flow'!$F$5="PortuguesePortugal","Data Limite",'Call Flow'!$D$4="Portuguese","Prazo")</f>
        <v>Fecha de vencimiento</v>
      </c>
    </row>
    <row r="143" spans="1:66">
      <c r="A143" s="202"/>
      <c r="B143" s="202"/>
      <c r="C143" s="205"/>
      <c r="D143" s="205"/>
      <c r="E143" s="205"/>
      <c r="F143" s="206"/>
      <c r="H143" s="99"/>
      <c r="J143" s="122" cm="1">
        <f t="array" ref="J143">RowH(B143)</f>
        <v>12</v>
      </c>
      <c r="K143" s="122">
        <f>COUNTA(B143:B157)</f>
        <v>0</v>
      </c>
      <c r="X143" s="122" cm="1">
        <f t="array" ref="X143">RowH(P143)</f>
        <v>12</v>
      </c>
      <c r="AL143" s="122" cm="1">
        <f t="array" ref="AL143">RowH(AD143)</f>
        <v>12</v>
      </c>
      <c r="AZ143" s="122" cm="1">
        <f t="array" ref="AZ143">RowH(AR143)</f>
        <v>12</v>
      </c>
      <c r="BN143" s="122" cm="1">
        <f t="array" ref="BN143">RowH(BF143)</f>
        <v>12</v>
      </c>
    </row>
    <row r="144" spans="1:66">
      <c r="A144" s="202"/>
      <c r="B144" s="202"/>
      <c r="C144" s="205"/>
      <c r="D144" s="205"/>
      <c r="E144" s="205"/>
      <c r="F144" s="206"/>
      <c r="H144" s="99"/>
      <c r="J144" s="122" cm="1">
        <f t="array" ref="J144">RowH(B144)</f>
        <v>12</v>
      </c>
      <c r="X144" s="122" cm="1">
        <f t="array" ref="X144">RowH(P144)</f>
        <v>12</v>
      </c>
      <c r="AL144" s="122" cm="1">
        <f t="array" ref="AL144">RowH(AD144)</f>
        <v>12</v>
      </c>
      <c r="AZ144" s="122" cm="1">
        <f t="array" ref="AZ144">RowH(AR144)</f>
        <v>12</v>
      </c>
      <c r="BN144" s="122" cm="1">
        <f t="array" ref="BN144">RowH(BF144)</f>
        <v>12</v>
      </c>
    </row>
    <row r="145" spans="1:66">
      <c r="A145" s="202"/>
      <c r="B145" s="202"/>
      <c r="C145" s="205"/>
      <c r="D145" s="205"/>
      <c r="E145" s="205"/>
      <c r="F145" s="206"/>
      <c r="H145" s="99"/>
      <c r="J145" s="122" cm="1">
        <f t="array" ref="J145">RowH(B145)</f>
        <v>12</v>
      </c>
      <c r="X145" s="122" cm="1">
        <f t="array" ref="X145">RowH(P145)</f>
        <v>12</v>
      </c>
      <c r="AL145" s="122" cm="1">
        <f t="array" ref="AL145">RowH(AD145)</f>
        <v>12</v>
      </c>
      <c r="AZ145" s="122" cm="1">
        <f t="array" ref="AZ145">RowH(AR145)</f>
        <v>12</v>
      </c>
      <c r="BN145" s="122" cm="1">
        <f t="array" ref="BN145">RowH(BF145)</f>
        <v>12</v>
      </c>
    </row>
    <row r="146" spans="1:66">
      <c r="A146" s="202"/>
      <c r="B146" s="202"/>
      <c r="C146" s="205"/>
      <c r="D146" s="205"/>
      <c r="E146" s="205"/>
      <c r="F146" s="206"/>
      <c r="H146" s="99"/>
      <c r="J146" s="122" cm="1">
        <f t="array" ref="J146">RowH(B146)</f>
        <v>12</v>
      </c>
      <c r="X146" s="122" cm="1">
        <f t="array" ref="X146">RowH(P146)</f>
        <v>12</v>
      </c>
      <c r="AL146" s="122" cm="1">
        <f t="array" ref="AL146">RowH(AD146)</f>
        <v>12</v>
      </c>
      <c r="AZ146" s="122" cm="1">
        <f t="array" ref="AZ146">RowH(AR146)</f>
        <v>12</v>
      </c>
      <c r="BN146" s="122" cm="1">
        <f t="array" ref="BN146">RowH(BF146)</f>
        <v>12</v>
      </c>
    </row>
    <row r="147" spans="1:66">
      <c r="A147" s="202"/>
      <c r="B147" s="202"/>
      <c r="C147" s="205"/>
      <c r="D147" s="205"/>
      <c r="E147" s="205"/>
      <c r="F147" s="206"/>
      <c r="H147" s="99"/>
      <c r="J147" s="122" cm="1">
        <f t="array" ref="J147">RowH(B147)</f>
        <v>12</v>
      </c>
      <c r="X147" s="122" cm="1">
        <f t="array" ref="X147">RowH(P147)</f>
        <v>12</v>
      </c>
      <c r="AL147" s="122" cm="1">
        <f t="array" ref="AL147">RowH(AD147)</f>
        <v>12</v>
      </c>
      <c r="AZ147" s="122" cm="1">
        <f t="array" ref="AZ147">RowH(AR147)</f>
        <v>12</v>
      </c>
      <c r="BN147" s="122" cm="1">
        <f t="array" ref="BN147">RowH(BF147)</f>
        <v>12</v>
      </c>
    </row>
    <row r="148" spans="1:66">
      <c r="A148" s="202"/>
      <c r="B148" s="202"/>
      <c r="C148" s="205"/>
      <c r="D148" s="205"/>
      <c r="E148" s="205"/>
      <c r="F148" s="206"/>
      <c r="H148" s="99"/>
      <c r="J148" s="122" cm="1">
        <f t="array" ref="J148">RowH(B148)</f>
        <v>12</v>
      </c>
      <c r="X148" s="122" cm="1">
        <f t="array" ref="X148">RowH(P148)</f>
        <v>12</v>
      </c>
      <c r="AL148" s="122" cm="1">
        <f t="array" ref="AL148">RowH(AD148)</f>
        <v>12</v>
      </c>
      <c r="AZ148" s="122" cm="1">
        <f t="array" ref="AZ148">RowH(AR148)</f>
        <v>12</v>
      </c>
      <c r="BN148" s="122" cm="1">
        <f t="array" ref="BN148">RowH(BF148)</f>
        <v>12</v>
      </c>
    </row>
    <row r="149" spans="1:66">
      <c r="A149" s="202"/>
      <c r="B149" s="202"/>
      <c r="C149" s="205"/>
      <c r="D149" s="205"/>
      <c r="E149" s="205"/>
      <c r="F149" s="206"/>
      <c r="H149" s="99"/>
      <c r="J149" s="122" cm="1">
        <f t="array" ref="J149">RowH(B149)</f>
        <v>12</v>
      </c>
      <c r="X149" s="122" cm="1">
        <f t="array" ref="X149">RowH(P149)</f>
        <v>12</v>
      </c>
      <c r="AL149" s="122" cm="1">
        <f t="array" ref="AL149">RowH(AD149)</f>
        <v>12</v>
      </c>
      <c r="AZ149" s="122" cm="1">
        <f t="array" ref="AZ149">RowH(AR149)</f>
        <v>12</v>
      </c>
      <c r="BN149" s="122" cm="1">
        <f t="array" ref="BN149">RowH(BF149)</f>
        <v>12</v>
      </c>
    </row>
    <row r="150" spans="1:66">
      <c r="A150" s="202"/>
      <c r="B150" s="202"/>
      <c r="C150" s="205"/>
      <c r="D150" s="205"/>
      <c r="E150" s="205"/>
      <c r="F150" s="206"/>
      <c r="H150" s="99"/>
      <c r="J150" s="122" cm="1">
        <f t="array" ref="J150">RowH(B150)</f>
        <v>12</v>
      </c>
      <c r="X150" s="122" cm="1">
        <f t="array" ref="X150">RowH(P150)</f>
        <v>12</v>
      </c>
      <c r="AL150" s="122" cm="1">
        <f t="array" ref="AL150">RowH(AD150)</f>
        <v>12</v>
      </c>
      <c r="AZ150" s="122" cm="1">
        <f t="array" ref="AZ150">RowH(AR150)</f>
        <v>12</v>
      </c>
      <c r="BN150" s="122" cm="1">
        <f t="array" ref="BN150">RowH(BF150)</f>
        <v>12</v>
      </c>
    </row>
    <row r="151" spans="1:66">
      <c r="A151" s="202"/>
      <c r="B151" s="202"/>
      <c r="C151" s="205"/>
      <c r="D151" s="205"/>
      <c r="E151" s="205"/>
      <c r="F151" s="206"/>
      <c r="H151" s="99"/>
      <c r="J151" s="122" cm="1">
        <f t="array" ref="J151">RowH(B151)</f>
        <v>12</v>
      </c>
      <c r="X151" s="122" cm="1">
        <f t="array" ref="X151">RowH(P151)</f>
        <v>12</v>
      </c>
      <c r="AL151" s="122" cm="1">
        <f t="array" ref="AL151">RowH(AD151)</f>
        <v>12</v>
      </c>
      <c r="AZ151" s="122" cm="1">
        <f t="array" ref="AZ151">RowH(AR151)</f>
        <v>12</v>
      </c>
      <c r="BN151" s="122" cm="1">
        <f t="array" ref="BN151">RowH(BF151)</f>
        <v>12</v>
      </c>
    </row>
    <row r="152" spans="1:66">
      <c r="A152" s="202"/>
      <c r="B152" s="202"/>
      <c r="C152" s="205"/>
      <c r="D152" s="205"/>
      <c r="E152" s="205"/>
      <c r="F152" s="206"/>
      <c r="H152" s="99"/>
      <c r="J152" s="122" cm="1">
        <f t="array" ref="J152">RowH(B152)</f>
        <v>12</v>
      </c>
      <c r="X152" s="122" cm="1">
        <f t="array" ref="X152">RowH(P152)</f>
        <v>12</v>
      </c>
      <c r="AL152" s="122" cm="1">
        <f t="array" ref="AL152">RowH(AD152)</f>
        <v>12</v>
      </c>
      <c r="AZ152" s="122" cm="1">
        <f t="array" ref="AZ152">RowH(AR152)</f>
        <v>12</v>
      </c>
      <c r="BN152" s="122" cm="1">
        <f t="array" ref="BN152">RowH(BF152)</f>
        <v>12</v>
      </c>
    </row>
    <row r="153" spans="1:66">
      <c r="A153" s="202"/>
      <c r="B153" s="202"/>
      <c r="C153" s="205"/>
      <c r="D153" s="205"/>
      <c r="E153" s="205"/>
      <c r="F153" s="206"/>
      <c r="H153" s="99"/>
      <c r="J153" s="122" cm="1">
        <f t="array" ref="J153">RowH(B153)</f>
        <v>12</v>
      </c>
      <c r="X153" s="122" cm="1">
        <f t="array" ref="X153">RowH(P153)</f>
        <v>12</v>
      </c>
      <c r="AL153" s="122" cm="1">
        <f t="array" ref="AL153">RowH(AD153)</f>
        <v>12</v>
      </c>
      <c r="AZ153" s="122" cm="1">
        <f t="array" ref="AZ153">RowH(AR153)</f>
        <v>12</v>
      </c>
      <c r="BN153" s="122" cm="1">
        <f t="array" ref="BN153">RowH(BF153)</f>
        <v>12</v>
      </c>
    </row>
    <row r="154" spans="1:66">
      <c r="A154" s="202"/>
      <c r="B154" s="202"/>
      <c r="C154" s="205"/>
      <c r="D154" s="205"/>
      <c r="E154" s="205"/>
      <c r="F154" s="206"/>
      <c r="H154" s="99"/>
      <c r="J154" s="122" cm="1">
        <f t="array" ref="J154">RowH(B154)</f>
        <v>12</v>
      </c>
      <c r="X154" s="122" cm="1">
        <f t="array" ref="X154">RowH(P154)</f>
        <v>12</v>
      </c>
      <c r="AL154" s="122" cm="1">
        <f t="array" ref="AL154">RowH(AD154)</f>
        <v>12</v>
      </c>
      <c r="AZ154" s="122" cm="1">
        <f t="array" ref="AZ154">RowH(AR154)</f>
        <v>12</v>
      </c>
      <c r="BN154" s="122" cm="1">
        <f t="array" ref="BN154">RowH(BF154)</f>
        <v>12</v>
      </c>
    </row>
    <row r="155" spans="1:66">
      <c r="A155" s="202"/>
      <c r="B155" s="202"/>
      <c r="C155" s="205"/>
      <c r="D155" s="205"/>
      <c r="E155" s="205"/>
      <c r="F155" s="206"/>
      <c r="H155" s="99"/>
      <c r="J155" s="122" cm="1">
        <f t="array" ref="J155">RowH(B155)</f>
        <v>12</v>
      </c>
      <c r="X155" s="122" cm="1">
        <f t="array" ref="X155">RowH(P155)</f>
        <v>12</v>
      </c>
      <c r="AL155" s="122" cm="1">
        <f t="array" ref="AL155">RowH(AD155)</f>
        <v>12</v>
      </c>
      <c r="AZ155" s="122" cm="1">
        <f t="array" ref="AZ155">RowH(AR155)</f>
        <v>12</v>
      </c>
      <c r="BN155" s="122" cm="1">
        <f t="array" ref="BN155">RowH(BF155)</f>
        <v>12</v>
      </c>
    </row>
    <row r="156" spans="1:66">
      <c r="A156" s="202"/>
      <c r="B156" s="202"/>
      <c r="C156" s="205"/>
      <c r="D156" s="205"/>
      <c r="E156" s="205"/>
      <c r="F156" s="206"/>
      <c r="H156" s="99"/>
      <c r="J156" s="122" cm="1">
        <f t="array" ref="J156">RowH(B156)</f>
        <v>12</v>
      </c>
      <c r="X156" s="122" cm="1">
        <f t="array" ref="X156">RowH(P156)</f>
        <v>12</v>
      </c>
      <c r="AL156" s="122" cm="1">
        <f t="array" ref="AL156">RowH(AD156)</f>
        <v>12</v>
      </c>
      <c r="AZ156" s="122" cm="1">
        <f t="array" ref="AZ156">RowH(AR156)</f>
        <v>12</v>
      </c>
      <c r="BN156" s="122" cm="1">
        <f t="array" ref="BN156">RowH(BF156)</f>
        <v>12</v>
      </c>
    </row>
    <row r="157" spans="1:66">
      <c r="A157" s="202"/>
      <c r="B157" s="202"/>
      <c r="C157" s="205"/>
      <c r="D157" s="205"/>
      <c r="E157" s="205"/>
      <c r="F157" s="206"/>
      <c r="H157" s="99"/>
      <c r="J157" s="122" cm="1">
        <f t="array" ref="J157">RowH(B157)</f>
        <v>12</v>
      </c>
      <c r="X157" s="122" cm="1">
        <f t="array" ref="X157">RowH(P157)</f>
        <v>12</v>
      </c>
      <c r="AL157" s="122" cm="1">
        <f t="array" ref="AL157">RowH(AD157)</f>
        <v>12</v>
      </c>
      <c r="AZ157" s="122" cm="1">
        <f t="array" ref="AZ157">RowH(AR157)</f>
        <v>12</v>
      </c>
      <c r="BN157" s="122" cm="1">
        <f t="array" ref="BN157">RowH(BF157)</f>
        <v>12</v>
      </c>
    </row>
    <row r="158" spans="1:66" ht="12" customHeight="1">
      <c r="A158" s="202"/>
      <c r="B158" s="479" t="str">
        <f>$B$58</f>
        <v>Nota: También se entregará una copia de este aviso de infracción de su localidad TIENDA MUEBLERIA EL BODEGON AY (AME920355 &amp; VME580355 &amp; AME900357 &amp; OME100359).</v>
      </c>
      <c r="C158" s="479"/>
      <c r="D158" s="479"/>
      <c r="E158" s="479"/>
      <c r="F158" s="479"/>
    </row>
    <row r="159" spans="1:66" ht="11.15" customHeight="1">
      <c r="A159" s="472" t="str">
        <f>$A$34</f>
        <v>Western Union -Información confidencial</v>
      </c>
      <c r="B159" s="472"/>
      <c r="C159" s="472"/>
      <c r="D159" s="472"/>
      <c r="E159" s="472"/>
      <c r="F159" s="472"/>
    </row>
    <row r="160" spans="1:66" ht="11.15" customHeight="1">
      <c r="A160" s="472" t="str">
        <f>$A$35</f>
        <v>Octubre de 2022 v.2.1</v>
      </c>
      <c r="B160" s="472"/>
      <c r="C160" s="472"/>
      <c r="D160" s="472"/>
      <c r="E160" s="472"/>
      <c r="F160" s="472"/>
    </row>
    <row r="161" spans="1:11" ht="11.15" customHeight="1">
      <c r="A161" s="472" t="str">
        <f>$A$36</f>
        <v>Revisado el 10/01/22</v>
      </c>
      <c r="B161" s="472"/>
      <c r="C161" s="472"/>
      <c r="D161" s="472"/>
      <c r="E161" s="472"/>
      <c r="F161" s="472"/>
    </row>
    <row r="162" spans="1:11" ht="21" customHeight="1">
      <c r="A162" s="473" t="str">
        <f>$A$37</f>
        <v>El contenido de esta carta y el informe de revisión del Programa son confidenciales y no pueden compartirse o divulgarse de ninguna otra manera con terceros sin el permiso del Cumplimiento de PBC de Western Union.</v>
      </c>
      <c r="B162" s="473"/>
      <c r="C162" s="473"/>
      <c r="D162" s="473"/>
      <c r="E162" s="473"/>
      <c r="F162" s="473"/>
    </row>
    <row r="163" spans="1:11" ht="12" customHeight="1">
      <c r="B163" s="474"/>
      <c r="C163" s="474"/>
      <c r="D163" s="474"/>
      <c r="E163" s="474"/>
      <c r="F163" s="474"/>
    </row>
    <row r="164" spans="1:11" ht="39" customHeight="1">
      <c r="B164" s="475" t="str">
        <f>$B$39</f>
        <v>Hallazgos y/o infracciones de la ley en Mexico y/o políticas y procedimientos de cumplimiento de Western Union</v>
      </c>
      <c r="C164" s="475"/>
      <c r="D164" s="475"/>
      <c r="E164" s="475"/>
      <c r="F164" s="475"/>
    </row>
    <row r="165" spans="1:11">
      <c r="B165" s="476" t="str">
        <f>$B$40</f>
        <v>Oficial/Delegado de cumplimiento: Carlos Eduardo</v>
      </c>
      <c r="C165" s="476"/>
      <c r="D165" s="476"/>
      <c r="E165" s="476"/>
      <c r="F165" s="476"/>
    </row>
    <row r="166" spans="1:11">
      <c r="B166" s="476" t="str">
        <f>$B$41</f>
        <v>Fecha límite para solucionar todos los hallazgos con seguimiento requerido: NA</v>
      </c>
      <c r="C166" s="476"/>
      <c r="D166" s="476"/>
      <c r="E166" s="476"/>
      <c r="F166" s="476"/>
    </row>
    <row r="167" spans="1:11" ht="18" customHeight="1">
      <c r="A167" s="202"/>
      <c r="B167" s="203" t="str" cm="1">
        <f t="array" ref="B167">_xlfn.IFS('Call Flow'!$D$4="Spanish","Sección",'Call Flow'!$D$4="English","Section",'Call Flow'!$D$4="French","Section",'Call Flow'!$D$4&amp;'Call Flow'!$F$5="PortuguesePortugal","Secção",'Call Flow'!$D$4="Portuguese","Seção")</f>
        <v>Sección</v>
      </c>
      <c r="C167" s="203" t="str" cm="1">
        <f t="array" ref="C167">_xlfn.IFS('Call Flow'!$D$4="Spanish","Hallazgo/infracción",'Call Flow'!$D$4="English","Finding",'Call Flow'!$D$4="French","Résultat/violation",'Call Flow'!$D$4&amp;'Call Flow'!$F$5="PortuguesePortugal","Resultado/Violação",'Call Flow'!$D$4="Portuguese","Item identificado / violação")</f>
        <v>Hallazgo/infracción</v>
      </c>
      <c r="D167" s="203" t="str" cm="1">
        <f t="array" ref="D167">_xlfn.IFS('Call Flow'!$D$4="Spanish","Medida que se debe tomar",'Call Flow'!$D$4="English","Action Required",'Call Flow'!$D$4="French","Mesure requise",'Call Flow'!$D$4&amp;'Call Flow'!$F$5="PortuguesePortugal","Ação necessária",'Call Flow'!$D$4="Portuguese","Planos de ação ")</f>
        <v>Medida que se debe tomar</v>
      </c>
      <c r="E167" s="204" t="str" cm="1">
        <f t="array" ref="E167">_xlfn.IFS('Call Flow'!$D$4="Spanish","Seguimiento requerido",'Call Flow'!$D$4="English","Follow up",'Call Flow'!$D$4="French","Suivi requis",'Call Flow'!$D$4&amp;'Call Flow'!$F$5="PortuguesePortugal","Acompanhamento necessário",'Call Flow'!$D$4="Portuguese","Monitoramento necessário")</f>
        <v>Seguimiento requerido</v>
      </c>
      <c r="F167" s="203" t="str" cm="1">
        <f t="array" ref="F167">_xlfn.IFS('Call Flow'!$D$4="Spanish","Fecha de vencimiento",'Call Flow'!$D$4="English","Due Date",'Call Flow'!$D$4="French","Date d’échéance",'Call Flow'!$D$4&amp;'Call Flow'!$F$5="PortuguesePortugal","Data Limite",'Call Flow'!$D$4="Portuguese","Prazo")</f>
        <v>Fecha de vencimiento</v>
      </c>
    </row>
    <row r="168" spans="1:11">
      <c r="A168" s="202"/>
      <c r="B168" s="202"/>
      <c r="C168" s="205"/>
      <c r="D168" s="205"/>
      <c r="E168" s="205"/>
      <c r="F168" s="206"/>
      <c r="H168" s="99"/>
      <c r="J168" s="122" cm="1">
        <f t="array" ref="J168">RowH(B168)</f>
        <v>12</v>
      </c>
      <c r="K168" s="122">
        <f>COUNTA(B168:B182)</f>
        <v>0</v>
      </c>
    </row>
    <row r="169" spans="1:11">
      <c r="A169" s="202"/>
      <c r="B169" s="202"/>
      <c r="C169" s="205"/>
      <c r="D169" s="205"/>
      <c r="E169" s="205"/>
      <c r="F169" s="206"/>
      <c r="H169" s="99"/>
      <c r="J169" s="122" cm="1">
        <f t="array" ref="J169">RowH(B169)</f>
        <v>12</v>
      </c>
    </row>
    <row r="170" spans="1:11">
      <c r="A170" s="202"/>
      <c r="B170" s="202"/>
      <c r="C170" s="205"/>
      <c r="D170" s="205"/>
      <c r="E170" s="205"/>
      <c r="F170" s="206"/>
      <c r="H170" s="99"/>
      <c r="J170" s="122" cm="1">
        <f t="array" ref="J170">RowH(B170)</f>
        <v>12</v>
      </c>
    </row>
    <row r="171" spans="1:11">
      <c r="A171" s="202"/>
      <c r="B171" s="202"/>
      <c r="C171" s="205"/>
      <c r="D171" s="205"/>
      <c r="E171" s="205"/>
      <c r="F171" s="206"/>
      <c r="H171" s="99"/>
      <c r="J171" s="122" cm="1">
        <f t="array" ref="J171">RowH(B171)</f>
        <v>12</v>
      </c>
    </row>
    <row r="172" spans="1:11">
      <c r="A172" s="202"/>
      <c r="B172" s="202"/>
      <c r="C172" s="205"/>
      <c r="D172" s="205"/>
      <c r="E172" s="205"/>
      <c r="F172" s="206"/>
      <c r="H172" s="99"/>
      <c r="J172" s="122" cm="1">
        <f t="array" ref="J172">RowH(B172)</f>
        <v>12</v>
      </c>
    </row>
    <row r="173" spans="1:11">
      <c r="A173" s="202"/>
      <c r="B173" s="202"/>
      <c r="C173" s="205"/>
      <c r="D173" s="205"/>
      <c r="E173" s="205"/>
      <c r="F173" s="206"/>
      <c r="H173" s="99"/>
      <c r="J173" s="122" cm="1">
        <f t="array" ref="J173">RowH(B173)</f>
        <v>12</v>
      </c>
    </row>
    <row r="174" spans="1:11">
      <c r="A174" s="202"/>
      <c r="B174" s="202"/>
      <c r="C174" s="205"/>
      <c r="D174" s="205"/>
      <c r="E174" s="205"/>
      <c r="F174" s="206"/>
      <c r="H174" s="99"/>
      <c r="J174" s="122" cm="1">
        <f t="array" ref="J174">RowH(B174)</f>
        <v>12</v>
      </c>
    </row>
    <row r="175" spans="1:11">
      <c r="A175" s="202"/>
      <c r="B175" s="202"/>
      <c r="C175" s="205"/>
      <c r="D175" s="205"/>
      <c r="E175" s="205"/>
      <c r="F175" s="206"/>
      <c r="H175" s="99"/>
      <c r="J175" s="122" cm="1">
        <f t="array" ref="J175">RowH(B175)</f>
        <v>12</v>
      </c>
    </row>
    <row r="176" spans="1:11">
      <c r="A176" s="202"/>
      <c r="B176" s="202"/>
      <c r="C176" s="205"/>
      <c r="D176" s="205"/>
      <c r="E176" s="205"/>
      <c r="F176" s="206"/>
      <c r="H176" s="99"/>
      <c r="J176" s="122" cm="1">
        <f t="array" ref="J176">RowH(B176)</f>
        <v>12</v>
      </c>
    </row>
    <row r="177" spans="1:10">
      <c r="A177" s="202"/>
      <c r="B177" s="202"/>
      <c r="C177" s="205"/>
      <c r="D177" s="205"/>
      <c r="E177" s="205"/>
      <c r="F177" s="206"/>
      <c r="H177" s="99"/>
      <c r="J177" s="122" cm="1">
        <f t="array" ref="J177">RowH(B177)</f>
        <v>12</v>
      </c>
    </row>
    <row r="178" spans="1:10">
      <c r="A178" s="202"/>
      <c r="B178" s="202"/>
      <c r="C178" s="205"/>
      <c r="D178" s="205"/>
      <c r="E178" s="205"/>
      <c r="F178" s="206"/>
      <c r="H178" s="99"/>
      <c r="J178" s="122" cm="1">
        <f t="array" ref="J178">RowH(B178)</f>
        <v>12</v>
      </c>
    </row>
    <row r="179" spans="1:10">
      <c r="A179" s="202"/>
      <c r="B179" s="202"/>
      <c r="C179" s="205"/>
      <c r="D179" s="205"/>
      <c r="E179" s="205"/>
      <c r="F179" s="206"/>
      <c r="H179" s="99"/>
      <c r="J179" s="122" cm="1">
        <f t="array" ref="J179">RowH(B179)</f>
        <v>12</v>
      </c>
    </row>
    <row r="180" spans="1:10">
      <c r="A180" s="202"/>
      <c r="B180" s="202"/>
      <c r="C180" s="205"/>
      <c r="D180" s="205"/>
      <c r="E180" s="205"/>
      <c r="F180" s="206"/>
      <c r="H180" s="99"/>
      <c r="J180" s="122" cm="1">
        <f t="array" ref="J180">RowH(B180)</f>
        <v>12</v>
      </c>
    </row>
    <row r="181" spans="1:10">
      <c r="A181" s="202"/>
      <c r="B181" s="202"/>
      <c r="C181" s="205"/>
      <c r="D181" s="205"/>
      <c r="E181" s="205"/>
      <c r="F181" s="206"/>
      <c r="H181" s="99"/>
      <c r="J181" s="122" cm="1">
        <f t="array" ref="J181">RowH(B181)</f>
        <v>12</v>
      </c>
    </row>
    <row r="182" spans="1:10">
      <c r="A182" s="202"/>
      <c r="B182" s="202"/>
      <c r="C182" s="205"/>
      <c r="D182" s="205"/>
      <c r="E182" s="205"/>
      <c r="F182" s="206"/>
      <c r="H182" s="99"/>
      <c r="J182" s="122" cm="1">
        <f t="array" ref="J182">RowH(B182)</f>
        <v>12</v>
      </c>
    </row>
    <row r="183" spans="1:10">
      <c r="A183" s="202"/>
      <c r="B183" s="479" t="str">
        <f>$B$58</f>
        <v>Nota: También se entregará una copia de este aviso de infracción de su localidad TIENDA MUEBLERIA EL BODEGON AY (AME920355 &amp; VME580355 &amp; AME900357 &amp; OME100359).</v>
      </c>
      <c r="C183" s="479"/>
      <c r="D183" s="479"/>
      <c r="E183" s="479"/>
      <c r="F183" s="479"/>
    </row>
    <row r="184" spans="1:10" ht="11.15" customHeight="1">
      <c r="A184" s="472" t="str">
        <f>$A$34</f>
        <v>Western Union -Información confidencial</v>
      </c>
      <c r="B184" s="472"/>
      <c r="C184" s="472"/>
      <c r="D184" s="472"/>
      <c r="E184" s="472"/>
      <c r="F184" s="472"/>
    </row>
    <row r="185" spans="1:10" ht="11.15" customHeight="1">
      <c r="A185" s="472" t="str">
        <f>$A$35</f>
        <v>Octubre de 2022 v.2.1</v>
      </c>
      <c r="B185" s="472"/>
      <c r="C185" s="472"/>
      <c r="D185" s="472"/>
      <c r="E185" s="472"/>
      <c r="F185" s="472"/>
    </row>
    <row r="186" spans="1:10" ht="11.15" customHeight="1">
      <c r="A186" s="472" t="str">
        <f>$A$36</f>
        <v>Revisado el 10/01/22</v>
      </c>
      <c r="B186" s="472"/>
      <c r="C186" s="472"/>
      <c r="D186" s="472"/>
      <c r="E186" s="472"/>
      <c r="F186" s="472"/>
    </row>
    <row r="187" spans="1:10" ht="21" customHeight="1">
      <c r="A187" s="473" t="str">
        <f>$A$37</f>
        <v>El contenido de esta carta y el informe de revisión del Programa son confidenciales y no pueden compartirse o divulgarse de ninguna otra manera con terceros sin el permiso del Cumplimiento de PBC de Western Union.</v>
      </c>
      <c r="B187" s="473"/>
      <c r="C187" s="473"/>
      <c r="D187" s="473"/>
      <c r="E187" s="473"/>
      <c r="F187" s="473"/>
    </row>
    <row r="191" spans="1:10" ht="13">
      <c r="A191" s="210"/>
      <c r="B191" s="211"/>
      <c r="C191" s="211"/>
      <c r="D191" s="211"/>
      <c r="E191" s="211"/>
      <c r="F191" s="211"/>
    </row>
    <row r="192" spans="1:10" ht="13">
      <c r="A192" s="212"/>
      <c r="B192" s="213"/>
      <c r="C192" s="213"/>
      <c r="D192" s="213"/>
      <c r="E192" s="213"/>
      <c r="F192" s="213"/>
    </row>
    <row r="193" spans="1:6" ht="13">
      <c r="A193" s="212"/>
      <c r="B193" s="213"/>
      <c r="C193" s="213"/>
      <c r="D193" s="213"/>
      <c r="E193" s="213"/>
      <c r="F193" s="213"/>
    </row>
    <row r="194" spans="1:6" ht="13">
      <c r="A194" s="212"/>
      <c r="B194" s="213"/>
      <c r="C194" s="213"/>
      <c r="D194" s="213"/>
      <c r="E194" s="213"/>
      <c r="F194" s="213"/>
    </row>
    <row r="195" spans="1:6" ht="13">
      <c r="A195" s="212"/>
      <c r="B195" s="213"/>
      <c r="C195" s="213"/>
      <c r="D195" s="213"/>
      <c r="E195" s="213"/>
      <c r="F195" s="213"/>
    </row>
    <row r="196" spans="1:6" ht="13">
      <c r="A196" s="212"/>
      <c r="B196" s="213"/>
      <c r="C196" s="213"/>
      <c r="D196" s="213"/>
      <c r="E196" s="213"/>
      <c r="F196" s="213"/>
    </row>
    <row r="197" spans="1:6" ht="13">
      <c r="A197" s="212"/>
      <c r="B197" s="213"/>
      <c r="C197" s="213"/>
      <c r="D197" s="213"/>
      <c r="E197" s="213"/>
      <c r="F197" s="213"/>
    </row>
    <row r="198" spans="1:6" ht="13">
      <c r="A198" s="212"/>
      <c r="B198" s="213"/>
      <c r="C198" s="213"/>
      <c r="D198" s="213"/>
      <c r="E198" s="213"/>
      <c r="F198" s="213"/>
    </row>
    <row r="199" spans="1:6" ht="13">
      <c r="A199" s="212"/>
      <c r="B199" s="213"/>
      <c r="C199" s="213"/>
      <c r="D199" s="213"/>
      <c r="E199" s="213"/>
      <c r="F199" s="213"/>
    </row>
    <row r="200" spans="1:6" ht="13">
      <c r="A200" s="214"/>
      <c r="B200" s="215"/>
      <c r="C200" s="215"/>
      <c r="D200" s="215"/>
      <c r="E200" s="215"/>
      <c r="F200" s="215"/>
    </row>
  </sheetData>
  <mergeCells count="263">
    <mergeCell ref="I11:N21"/>
    <mergeCell ref="P11:U16"/>
    <mergeCell ref="W11:AB21"/>
    <mergeCell ref="AD11:AI16"/>
    <mergeCell ref="AD18:AI22"/>
    <mergeCell ref="I22:N22"/>
    <mergeCell ref="W22:AB22"/>
    <mergeCell ref="AK22:AP22"/>
    <mergeCell ref="A24:F24"/>
    <mergeCell ref="I24:N24"/>
    <mergeCell ref="P24:U24"/>
    <mergeCell ref="W24:AB24"/>
    <mergeCell ref="AD24:AI24"/>
    <mergeCell ref="A11:F21"/>
    <mergeCell ref="A22:F22"/>
    <mergeCell ref="AR1:AW1"/>
    <mergeCell ref="AY1:BD1"/>
    <mergeCell ref="BF1:BK1"/>
    <mergeCell ref="BM1:BR1"/>
    <mergeCell ref="BF8:BK10"/>
    <mergeCell ref="BM8:BR9"/>
    <mergeCell ref="P17:U17"/>
    <mergeCell ref="AD17:AI17"/>
    <mergeCell ref="P18:U22"/>
    <mergeCell ref="BT1:BY1"/>
    <mergeCell ref="A2:F2"/>
    <mergeCell ref="B1:F1"/>
    <mergeCell ref="I1:N1"/>
    <mergeCell ref="P1:U1"/>
    <mergeCell ref="W1:AB1"/>
    <mergeCell ref="AD1:AI1"/>
    <mergeCell ref="AK1:AP1"/>
    <mergeCell ref="W6:AB10"/>
    <mergeCell ref="AD6:AI10"/>
    <mergeCell ref="AK6:AP7"/>
    <mergeCell ref="AR6:AW10"/>
    <mergeCell ref="AY6:BD7"/>
    <mergeCell ref="BF6:BK7"/>
    <mergeCell ref="A3:F3"/>
    <mergeCell ref="A4:F4"/>
    <mergeCell ref="A5:F5"/>
    <mergeCell ref="A6:F10"/>
    <mergeCell ref="I6:N10"/>
    <mergeCell ref="P6:U10"/>
    <mergeCell ref="BM6:BR7"/>
    <mergeCell ref="BT6:BY7"/>
    <mergeCell ref="AK8:AP8"/>
    <mergeCell ref="AY8:BD9"/>
    <mergeCell ref="BT8:BY10"/>
    <mergeCell ref="AK9:AP10"/>
    <mergeCell ref="AY10:BD10"/>
    <mergeCell ref="BM10:BR10"/>
    <mergeCell ref="AR11:AW17"/>
    <mergeCell ref="AY11:BD21"/>
    <mergeCell ref="BF11:BK17"/>
    <mergeCell ref="BM11:BR21"/>
    <mergeCell ref="BT11:BY17"/>
    <mergeCell ref="AK11:AP21"/>
    <mergeCell ref="AR18:AW18"/>
    <mergeCell ref="BF18:BK18"/>
    <mergeCell ref="BT18:BY18"/>
    <mergeCell ref="AR19:AW22"/>
    <mergeCell ref="BF19:BK24"/>
    <mergeCell ref="BT19:BY24"/>
    <mergeCell ref="AY22:BD22"/>
    <mergeCell ref="BM22:BR22"/>
    <mergeCell ref="AR23:AW23"/>
    <mergeCell ref="AY23:BD23"/>
    <mergeCell ref="BM23:BR23"/>
    <mergeCell ref="AK24:AP25"/>
    <mergeCell ref="AR24:AW24"/>
    <mergeCell ref="AY24:BD24"/>
    <mergeCell ref="BM24:BR24"/>
    <mergeCell ref="A23:F23"/>
    <mergeCell ref="I23:N23"/>
    <mergeCell ref="P23:U23"/>
    <mergeCell ref="W23:AB23"/>
    <mergeCell ref="AD23:AI23"/>
    <mergeCell ref="AK23:AP23"/>
    <mergeCell ref="AY25:BD25"/>
    <mergeCell ref="BF25:BK25"/>
    <mergeCell ref="BM25:BR25"/>
    <mergeCell ref="BT25:BY25"/>
    <mergeCell ref="I26:N27"/>
    <mergeCell ref="P26:U27"/>
    <mergeCell ref="W26:AB26"/>
    <mergeCell ref="AD26:AI26"/>
    <mergeCell ref="AK26:AP27"/>
    <mergeCell ref="A25:F25"/>
    <mergeCell ref="I25:N25"/>
    <mergeCell ref="P25:U25"/>
    <mergeCell ref="W25:AB25"/>
    <mergeCell ref="AD25:AI25"/>
    <mergeCell ref="AR25:AW25"/>
    <mergeCell ref="AR26:AW26"/>
    <mergeCell ref="AY26:BD26"/>
    <mergeCell ref="BF26:BK26"/>
    <mergeCell ref="BM26:BR26"/>
    <mergeCell ref="BT26:BY26"/>
    <mergeCell ref="W27:AB27"/>
    <mergeCell ref="AD27:AI27"/>
    <mergeCell ref="AR27:AW27"/>
    <mergeCell ref="AY27:BD27"/>
    <mergeCell ref="BF27:BK27"/>
    <mergeCell ref="A31:F31"/>
    <mergeCell ref="I31:N31"/>
    <mergeCell ref="P31:U31"/>
    <mergeCell ref="W31:AB31"/>
    <mergeCell ref="AD31:AI31"/>
    <mergeCell ref="AK31:AP31"/>
    <mergeCell ref="AR31:AW31"/>
    <mergeCell ref="BM27:BR27"/>
    <mergeCell ref="BT27:BY27"/>
    <mergeCell ref="A28:F28"/>
    <mergeCell ref="I28:N28"/>
    <mergeCell ref="P28:U28"/>
    <mergeCell ref="W28:AB28"/>
    <mergeCell ref="AD28:AI28"/>
    <mergeCell ref="AK28:AP28"/>
    <mergeCell ref="AR28:AW28"/>
    <mergeCell ref="AY28:BD28"/>
    <mergeCell ref="BF28:BK28"/>
    <mergeCell ref="BM28:BR28"/>
    <mergeCell ref="BT28:BY28"/>
    <mergeCell ref="AY29:BD29"/>
    <mergeCell ref="BF29:BK29"/>
    <mergeCell ref="BM29:BR29"/>
    <mergeCell ref="BT29:BY29"/>
    <mergeCell ref="A30:F30"/>
    <mergeCell ref="I30:N30"/>
    <mergeCell ref="P30:U30"/>
    <mergeCell ref="W30:AB30"/>
    <mergeCell ref="AD30:AI30"/>
    <mergeCell ref="AK30:AP30"/>
    <mergeCell ref="A29:F29"/>
    <mergeCell ref="I29:N29"/>
    <mergeCell ref="P29:U29"/>
    <mergeCell ref="W29:AB29"/>
    <mergeCell ref="AD29:AI29"/>
    <mergeCell ref="AK29:AP29"/>
    <mergeCell ref="AR29:AW29"/>
    <mergeCell ref="AY31:BD31"/>
    <mergeCell ref="BF31:BK31"/>
    <mergeCell ref="BM31:BR31"/>
    <mergeCell ref="BT31:BY31"/>
    <mergeCell ref="AR30:AW30"/>
    <mergeCell ref="AY30:BD30"/>
    <mergeCell ref="BF30:BK30"/>
    <mergeCell ref="BM30:BR30"/>
    <mergeCell ref="BT30:BY30"/>
    <mergeCell ref="AR32:AW32"/>
    <mergeCell ref="AY32:BD32"/>
    <mergeCell ref="BF32:BK32"/>
    <mergeCell ref="BM32:BR32"/>
    <mergeCell ref="BT32:BY32"/>
    <mergeCell ref="A34:F34"/>
    <mergeCell ref="A32:F32"/>
    <mergeCell ref="I32:N32"/>
    <mergeCell ref="P32:U32"/>
    <mergeCell ref="W32:AB32"/>
    <mergeCell ref="AD32:AI32"/>
    <mergeCell ref="AK32:AP32"/>
    <mergeCell ref="B40:F40"/>
    <mergeCell ref="P40:T40"/>
    <mergeCell ref="B41:F41"/>
    <mergeCell ref="P41:T41"/>
    <mergeCell ref="B58:F58"/>
    <mergeCell ref="A59:F59"/>
    <mergeCell ref="I59:N59"/>
    <mergeCell ref="P59:U59"/>
    <mergeCell ref="A35:F35"/>
    <mergeCell ref="A36:F36"/>
    <mergeCell ref="A37:F37"/>
    <mergeCell ref="B38:F38"/>
    <mergeCell ref="B39:F39"/>
    <mergeCell ref="P39:T39"/>
    <mergeCell ref="BM59:BR59"/>
    <mergeCell ref="BT59:BY59"/>
    <mergeCell ref="A60:F60"/>
    <mergeCell ref="I60:N60"/>
    <mergeCell ref="P60:U60"/>
    <mergeCell ref="W60:AB60"/>
    <mergeCell ref="AD60:AI60"/>
    <mergeCell ref="AK60:AP60"/>
    <mergeCell ref="AR60:AW60"/>
    <mergeCell ref="AY60:BD60"/>
    <mergeCell ref="W59:AB59"/>
    <mergeCell ref="AD59:AI59"/>
    <mergeCell ref="AK59:AP59"/>
    <mergeCell ref="AR59:AW59"/>
    <mergeCell ref="AY59:BD59"/>
    <mergeCell ref="BF59:BK59"/>
    <mergeCell ref="BF60:BK60"/>
    <mergeCell ref="BM60:BR60"/>
    <mergeCell ref="BT60:BY60"/>
    <mergeCell ref="BF62:BK62"/>
    <mergeCell ref="B63:F63"/>
    <mergeCell ref="AY61:BD61"/>
    <mergeCell ref="BF61:BK61"/>
    <mergeCell ref="BM61:BR61"/>
    <mergeCell ref="BT61:BY61"/>
    <mergeCell ref="A62:F62"/>
    <mergeCell ref="I62:N62"/>
    <mergeCell ref="P62:U62"/>
    <mergeCell ref="W62:AB62"/>
    <mergeCell ref="AD62:AI62"/>
    <mergeCell ref="AK62:AP62"/>
    <mergeCell ref="A61:F61"/>
    <mergeCell ref="I61:N61"/>
    <mergeCell ref="P61:U61"/>
    <mergeCell ref="W61:AB61"/>
    <mergeCell ref="AD61:AI61"/>
    <mergeCell ref="AK61:AP61"/>
    <mergeCell ref="AR61:AW61"/>
    <mergeCell ref="BM62:BR62"/>
    <mergeCell ref="BT62:BY62"/>
    <mergeCell ref="B91:F91"/>
    <mergeCell ref="B64:F64"/>
    <mergeCell ref="B65:F65"/>
    <mergeCell ref="B66:F66"/>
    <mergeCell ref="B83:F83"/>
    <mergeCell ref="A84:F84"/>
    <mergeCell ref="A85:F85"/>
    <mergeCell ref="AR62:AW62"/>
    <mergeCell ref="AY62:BD62"/>
    <mergeCell ref="A186:F186"/>
    <mergeCell ref="A187:F187"/>
    <mergeCell ref="B164:F164"/>
    <mergeCell ref="B165:F165"/>
    <mergeCell ref="B166:F166"/>
    <mergeCell ref="B183:F183"/>
    <mergeCell ref="A184:F184"/>
    <mergeCell ref="A185:F185"/>
    <mergeCell ref="B158:F158"/>
    <mergeCell ref="A159:F159"/>
    <mergeCell ref="A160:F160"/>
    <mergeCell ref="A161:F161"/>
    <mergeCell ref="A162:F162"/>
    <mergeCell ref="B163:F163"/>
    <mergeCell ref="A136:F136"/>
    <mergeCell ref="A137:F137"/>
    <mergeCell ref="B138:F138"/>
    <mergeCell ref="B139:F139"/>
    <mergeCell ref="B140:F140"/>
    <mergeCell ref="B141:F141"/>
    <mergeCell ref="B114:F114"/>
    <mergeCell ref="B115:F115"/>
    <mergeCell ref="A26:F27"/>
    <mergeCell ref="B116:F116"/>
    <mergeCell ref="B133:F133"/>
    <mergeCell ref="A134:F134"/>
    <mergeCell ref="A135:F135"/>
    <mergeCell ref="B108:F108"/>
    <mergeCell ref="A109:F109"/>
    <mergeCell ref="A110:F110"/>
    <mergeCell ref="A111:F111"/>
    <mergeCell ref="A112:F112"/>
    <mergeCell ref="B113:F113"/>
    <mergeCell ref="A86:F86"/>
    <mergeCell ref="A87:F87"/>
    <mergeCell ref="B88:F88"/>
    <mergeCell ref="B89:F89"/>
    <mergeCell ref="B90:F90"/>
  </mergeCells>
  <conditionalFormatting sqref="B43:F47 B48:B57">
    <cfRule type="expression" dxfId="883" priority="65">
      <formula>$E43&lt;&gt;""</formula>
    </cfRule>
  </conditionalFormatting>
  <conditionalFormatting sqref="B49:F49">
    <cfRule type="expression" dxfId="882" priority="64">
      <formula>$E49&lt;&gt;""</formula>
    </cfRule>
  </conditionalFormatting>
  <conditionalFormatting sqref="B48:F48">
    <cfRule type="expression" dxfId="881" priority="63">
      <formula>$E48&lt;&gt;""</formula>
    </cfRule>
  </conditionalFormatting>
  <conditionalFormatting sqref="C68:F72">
    <cfRule type="expression" dxfId="880" priority="62">
      <formula>$E68&lt;&gt;""</formula>
    </cfRule>
  </conditionalFormatting>
  <conditionalFormatting sqref="C74:F74">
    <cfRule type="expression" dxfId="879" priority="61">
      <formula>$E74&lt;&gt;""</formula>
    </cfRule>
  </conditionalFormatting>
  <conditionalFormatting sqref="C75:F75">
    <cfRule type="expression" dxfId="878" priority="60">
      <formula>$E75&lt;&gt;""</formula>
    </cfRule>
  </conditionalFormatting>
  <conditionalFormatting sqref="C73:F73">
    <cfRule type="expression" dxfId="877" priority="59">
      <formula>$E73&lt;&gt;""</formula>
    </cfRule>
  </conditionalFormatting>
  <conditionalFormatting sqref="C93:F97">
    <cfRule type="expression" dxfId="876" priority="58">
      <formula>$E93&lt;&gt;""</formula>
    </cfRule>
  </conditionalFormatting>
  <conditionalFormatting sqref="C99:F99">
    <cfRule type="expression" dxfId="875" priority="57">
      <formula>$E99&lt;&gt;""</formula>
    </cfRule>
  </conditionalFormatting>
  <conditionalFormatting sqref="C100:F100">
    <cfRule type="expression" dxfId="874" priority="56">
      <formula>$E100&lt;&gt;""</formula>
    </cfRule>
  </conditionalFormatting>
  <conditionalFormatting sqref="C101:F101">
    <cfRule type="expression" dxfId="873" priority="55">
      <formula>$E101&lt;&gt;""</formula>
    </cfRule>
  </conditionalFormatting>
  <conditionalFormatting sqref="C98:F98">
    <cfRule type="expression" dxfId="872" priority="54">
      <formula>$E98&lt;&gt;""</formula>
    </cfRule>
  </conditionalFormatting>
  <conditionalFormatting sqref="C118:F122">
    <cfRule type="expression" dxfId="871" priority="53">
      <formula>$E118&lt;&gt;""</formula>
    </cfRule>
  </conditionalFormatting>
  <conditionalFormatting sqref="C124:F124">
    <cfRule type="expression" dxfId="870" priority="52">
      <formula>$E124&lt;&gt;""</formula>
    </cfRule>
  </conditionalFormatting>
  <conditionalFormatting sqref="C125:F125">
    <cfRule type="expression" dxfId="869" priority="51">
      <formula>$E125&lt;&gt;""</formula>
    </cfRule>
  </conditionalFormatting>
  <conditionalFormatting sqref="C126:F126">
    <cfRule type="expression" dxfId="868" priority="50">
      <formula>$E126&lt;&gt;""</formula>
    </cfRule>
  </conditionalFormatting>
  <conditionalFormatting sqref="B131:G132 C127:G130">
    <cfRule type="expression" dxfId="867" priority="49">
      <formula>$E127&lt;&gt;""</formula>
    </cfRule>
  </conditionalFormatting>
  <conditionalFormatting sqref="B131:F131 C128:F130">
    <cfRule type="expression" dxfId="866" priority="48">
      <formula>$E128&lt;&gt;""</formula>
    </cfRule>
  </conditionalFormatting>
  <conditionalFormatting sqref="C123:F123">
    <cfRule type="expression" dxfId="865" priority="47">
      <formula>$E123&lt;&gt;""</formula>
    </cfRule>
  </conditionalFormatting>
  <conditionalFormatting sqref="C143:F147">
    <cfRule type="expression" dxfId="864" priority="46">
      <formula>$E143&lt;&gt;""</formula>
    </cfRule>
  </conditionalFormatting>
  <conditionalFormatting sqref="B156:F157 C149:F155">
    <cfRule type="expression" dxfId="863" priority="45">
      <formula>$E149&lt;&gt;""</formula>
    </cfRule>
  </conditionalFormatting>
  <conditionalFormatting sqref="C150:F150">
    <cfRule type="expression" dxfId="862" priority="44">
      <formula>$E150&lt;&gt;""</formula>
    </cfRule>
  </conditionalFormatting>
  <conditionalFormatting sqref="C151:F151">
    <cfRule type="expression" dxfId="861" priority="43">
      <formula>$E151&lt;&gt;""</formula>
    </cfRule>
  </conditionalFormatting>
  <conditionalFormatting sqref="C152:F152">
    <cfRule type="expression" dxfId="860" priority="42">
      <formula>$E152&lt;&gt;""</formula>
    </cfRule>
  </conditionalFormatting>
  <conditionalFormatting sqref="B156:F156 C153:F155">
    <cfRule type="expression" dxfId="859" priority="41">
      <formula>$E153&lt;&gt;""</formula>
    </cfRule>
  </conditionalFormatting>
  <conditionalFormatting sqref="C148:F148">
    <cfRule type="expression" dxfId="858" priority="40">
      <formula>$E148&lt;&gt;""</formula>
    </cfRule>
  </conditionalFormatting>
  <conditionalFormatting sqref="B83">
    <cfRule type="expression" dxfId="857" priority="39">
      <formula>$E83&lt;&gt;""</formula>
    </cfRule>
  </conditionalFormatting>
  <conditionalFormatting sqref="B81:F82 C76:F80">
    <cfRule type="expression" dxfId="856" priority="38">
      <formula>$E76&lt;&gt;""</formula>
    </cfRule>
  </conditionalFormatting>
  <conditionalFormatting sqref="B108">
    <cfRule type="expression" dxfId="855" priority="37">
      <formula>$E108&lt;&gt;""</formula>
    </cfRule>
  </conditionalFormatting>
  <conditionalFormatting sqref="B133">
    <cfRule type="expression" dxfId="854" priority="36">
      <formula>$E133&lt;&gt;""</formula>
    </cfRule>
  </conditionalFormatting>
  <conditionalFormatting sqref="B158">
    <cfRule type="expression" dxfId="853" priority="35">
      <formula>$E158&lt;&gt;""</formula>
    </cfRule>
  </conditionalFormatting>
  <conditionalFormatting sqref="B58">
    <cfRule type="expression" dxfId="852" priority="34">
      <formula>$E58&lt;&gt;""</formula>
    </cfRule>
  </conditionalFormatting>
  <conditionalFormatting sqref="C168:F172">
    <cfRule type="expression" dxfId="851" priority="33">
      <formula>$E168&lt;&gt;""</formula>
    </cfRule>
  </conditionalFormatting>
  <conditionalFormatting sqref="C174:F174">
    <cfRule type="expression" dxfId="850" priority="32">
      <formula>$E174&lt;&gt;""</formula>
    </cfRule>
  </conditionalFormatting>
  <conditionalFormatting sqref="C175:F175">
    <cfRule type="expression" dxfId="849" priority="31">
      <formula>$E175&lt;&gt;""</formula>
    </cfRule>
  </conditionalFormatting>
  <conditionalFormatting sqref="C176:F176">
    <cfRule type="expression" dxfId="848" priority="30">
      <formula>$E176&lt;&gt;""</formula>
    </cfRule>
  </conditionalFormatting>
  <conditionalFormatting sqref="C177:F177">
    <cfRule type="expression" dxfId="847" priority="29">
      <formula>$E177&lt;&gt;""</formula>
    </cfRule>
  </conditionalFormatting>
  <conditionalFormatting sqref="B181:F182 C173:F180">
    <cfRule type="expression" dxfId="846" priority="28">
      <formula>$E173&lt;&gt;""</formula>
    </cfRule>
  </conditionalFormatting>
  <conditionalFormatting sqref="B183">
    <cfRule type="expression" dxfId="845" priority="27">
      <formula>$E183&lt;&gt;""</formula>
    </cfRule>
  </conditionalFormatting>
  <conditionalFormatting sqref="B181:F181 C178:F180">
    <cfRule type="expression" dxfId="844" priority="26">
      <formula>$E178&lt;&gt;""</formula>
    </cfRule>
  </conditionalFormatting>
  <conditionalFormatting sqref="B132:F132">
    <cfRule type="expression" dxfId="843" priority="25">
      <formula>$E132&lt;&gt;""</formula>
    </cfRule>
  </conditionalFormatting>
  <conditionalFormatting sqref="B157:F157">
    <cfRule type="expression" dxfId="842" priority="24">
      <formula>$E157&lt;&gt;""</formula>
    </cfRule>
  </conditionalFormatting>
  <conditionalFormatting sqref="B182:F182">
    <cfRule type="expression" dxfId="841" priority="23">
      <formula>$E182&lt;&gt;""</formula>
    </cfRule>
  </conditionalFormatting>
  <conditionalFormatting sqref="B50:F57">
    <cfRule type="expression" dxfId="840" priority="22">
      <formula>$E50&lt;&gt;""</formula>
    </cfRule>
  </conditionalFormatting>
  <conditionalFormatting sqref="B106:F107 C102:F105">
    <cfRule type="expression" dxfId="839" priority="21">
      <formula>$E102&lt;&gt;""</formula>
    </cfRule>
  </conditionalFormatting>
  <conditionalFormatting sqref="B68:B80">
    <cfRule type="expression" dxfId="838" priority="20">
      <formula>$E68&lt;&gt;""</formula>
    </cfRule>
  </conditionalFormatting>
  <conditionalFormatting sqref="B74">
    <cfRule type="expression" dxfId="837" priority="19">
      <formula>$E74&lt;&gt;""</formula>
    </cfRule>
  </conditionalFormatting>
  <conditionalFormatting sqref="B73">
    <cfRule type="expression" dxfId="836" priority="18">
      <formula>$E73&lt;&gt;""</formula>
    </cfRule>
  </conditionalFormatting>
  <conditionalFormatting sqref="B75:B80">
    <cfRule type="expression" dxfId="835" priority="17">
      <formula>$E75&lt;&gt;""</formula>
    </cfRule>
  </conditionalFormatting>
  <conditionalFormatting sqref="B93:B105">
    <cfRule type="expression" dxfId="834" priority="16">
      <formula>$E93&lt;&gt;""</formula>
    </cfRule>
  </conditionalFormatting>
  <conditionalFormatting sqref="B99">
    <cfRule type="expression" dxfId="833" priority="15">
      <formula>$E99&lt;&gt;""</formula>
    </cfRule>
  </conditionalFormatting>
  <conditionalFormatting sqref="B98">
    <cfRule type="expression" dxfId="832" priority="14">
      <formula>$E98&lt;&gt;""</formula>
    </cfRule>
  </conditionalFormatting>
  <conditionalFormatting sqref="B100:B105">
    <cfRule type="expression" dxfId="831" priority="13">
      <formula>$E100&lt;&gt;""</formula>
    </cfRule>
  </conditionalFormatting>
  <conditionalFormatting sqref="B118:B130">
    <cfRule type="expression" dxfId="830" priority="12">
      <formula>$E118&lt;&gt;""</formula>
    </cfRule>
  </conditionalFormatting>
  <conditionalFormatting sqref="B124">
    <cfRule type="expression" dxfId="829" priority="11">
      <formula>$E124&lt;&gt;""</formula>
    </cfRule>
  </conditionalFormatting>
  <conditionalFormatting sqref="B123">
    <cfRule type="expression" dxfId="828" priority="10">
      <formula>$E123&lt;&gt;""</formula>
    </cfRule>
  </conditionalFormatting>
  <conditionalFormatting sqref="B125:B130">
    <cfRule type="expression" dxfId="827" priority="9">
      <formula>$E125&lt;&gt;""</formula>
    </cfRule>
  </conditionalFormatting>
  <conditionalFormatting sqref="B143:B155">
    <cfRule type="expression" dxfId="826" priority="8">
      <formula>$E143&lt;&gt;""</formula>
    </cfRule>
  </conditionalFormatting>
  <conditionalFormatting sqref="B149">
    <cfRule type="expression" dxfId="825" priority="7">
      <formula>$E149&lt;&gt;""</formula>
    </cfRule>
  </conditionalFormatting>
  <conditionalFormatting sqref="B148">
    <cfRule type="expression" dxfId="824" priority="6">
      <formula>$E148&lt;&gt;""</formula>
    </cfRule>
  </conditionalFormatting>
  <conditionalFormatting sqref="B150:B155">
    <cfRule type="expression" dxfId="823" priority="5">
      <formula>$E150&lt;&gt;""</formula>
    </cfRule>
  </conditionalFormatting>
  <conditionalFormatting sqref="B168:B180">
    <cfRule type="expression" dxfId="822" priority="4">
      <formula>$E168&lt;&gt;""</formula>
    </cfRule>
  </conditionalFormatting>
  <conditionalFormatting sqref="B174">
    <cfRule type="expression" dxfId="821" priority="3">
      <formula>$E174&lt;&gt;""</formula>
    </cfRule>
  </conditionalFormatting>
  <conditionalFormatting sqref="B173">
    <cfRule type="expression" dxfId="820" priority="2">
      <formula>$E173&lt;&gt;""</formula>
    </cfRule>
  </conditionalFormatting>
  <conditionalFormatting sqref="B175:B180">
    <cfRule type="expression" dxfId="819" priority="1">
      <formula>$E175&lt;&gt;""</formula>
    </cfRule>
  </conditionalFormatting>
  <hyperlinks>
    <hyperlink ref="I31" r:id="rId1" display="mailto:Leticia.Lee@westernunion.com" xr:uid="{D3EA71F0-8A21-4F50-9AE5-692A8ABE6B64}"/>
    <hyperlink ref="P31" r:id="rId2" display="mailto:Leticia.Lee@westernunion.com" xr:uid="{DC88C1A6-68A9-4E01-9F15-77B0D865B025}"/>
    <hyperlink ref="W31" r:id="rId3" display="mailto:Leticia.Lee@westernunion.com" xr:uid="{F39437F5-2BC1-4D5A-BD18-3FED1AA470AA}"/>
    <hyperlink ref="AD31" r:id="rId4" display="mailto:Leticia.Lee@westernunion.com" xr:uid="{A5C40D43-1C5F-4B4E-A6EE-30B1A2055E64}"/>
    <hyperlink ref="AK31" r:id="rId5" display="mailto:Leticia.Lee@westernunion.com" xr:uid="{2E29AEA3-3E0E-40BB-B243-AEB717D0DB75}"/>
    <hyperlink ref="AR31" r:id="rId6" display="mailto:Leticia.Lee@westernunion.com" xr:uid="{73659C78-736F-472F-941D-1F4914FBCFC5}"/>
    <hyperlink ref="AY31" r:id="rId7" display="mailto:Leticia.Lee@westernunion.com" xr:uid="{4743CAB1-27CE-4A81-91F7-4F5ED18D545D}"/>
    <hyperlink ref="BF31" r:id="rId8" display="mailto:Leticia.Lee@westernunion.com" xr:uid="{2B468F64-2A7B-4B24-8947-4C518952AE0F}"/>
    <hyperlink ref="BM31" r:id="rId9" display="mailto:Leticia.Lee@westernunion.com" xr:uid="{2C42FDC0-D042-4F28-882D-49EE684379DC}"/>
    <hyperlink ref="BT31" r:id="rId10" display="mailto:Leticia.Lee@westernunion.com" xr:uid="{B51B986C-5EE3-44C9-BF68-D1DEC979EBE1}"/>
  </hyperlinks>
  <pageMargins left="0.25" right="0.25" top="0.4" bottom="0.4" header="0.3" footer="0.2"/>
  <pageSetup scale="89" fitToWidth="0" fitToHeight="2" orientation="portrait" r:id="rId11"/>
  <headerFooter>
    <oddFooter>&amp;L&amp;1#&amp;"Calibri"&amp;10&amp;K000000Classification: Western Union Unrestricted Internal</oddFooter>
  </headerFooter>
  <rowBreaks count="4" manualBreakCount="4">
    <brk id="37" max="16383" man="1"/>
    <brk id="62" max="5" man="1"/>
    <brk id="87" max="5" man="1"/>
    <brk id="112" max="5" man="1"/>
  </rowBreaks>
  <customProperties>
    <customPr name="workbookAdvencedSettings" r:id="rId12"/>
    <customPr name="workbookExecutionSettings" r:id="rId13"/>
    <customPr name="workbookGatewaySettings" r:id="rId14"/>
  </customProperties>
  <drawing r:id="rId1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3589D0-3AB1-402D-A682-BE70E4D8015E}">
  <sheetPr codeName="Sheet12"/>
  <dimension ref="A1:H49"/>
  <sheetViews>
    <sheetView showGridLines="0" zoomScale="70" zoomScaleNormal="70" workbookViewId="0">
      <selection activeCell="D20" sqref="D20:H20"/>
    </sheetView>
  </sheetViews>
  <sheetFormatPr defaultRowHeight="14.5"/>
  <cols>
    <col min="1" max="1" width="15.453125" bestFit="1" customWidth="1"/>
    <col min="2" max="2" width="29" bestFit="1" customWidth="1"/>
    <col min="3" max="3" width="34.453125" bestFit="1" customWidth="1"/>
    <col min="4" max="4" width="66.453125" bestFit="1" customWidth="1"/>
    <col min="5" max="5" width="28.54296875" bestFit="1" customWidth="1"/>
    <col min="6" max="6" width="14.453125" bestFit="1" customWidth="1"/>
    <col min="7" max="7" width="46.54296875" bestFit="1" customWidth="1"/>
    <col min="8" max="8" width="36.54296875" bestFit="1" customWidth="1"/>
  </cols>
  <sheetData>
    <row r="1" spans="1:8">
      <c r="A1" s="146" t="s">
        <v>324</v>
      </c>
      <c r="B1" s="147" t="s">
        <v>325</v>
      </c>
      <c r="C1" s="147" t="s">
        <v>326</v>
      </c>
      <c r="D1" s="147" t="s">
        <v>327</v>
      </c>
      <c r="E1" s="147" t="s">
        <v>328</v>
      </c>
      <c r="F1" s="147" t="s">
        <v>329</v>
      </c>
      <c r="G1" s="147" t="s">
        <v>330</v>
      </c>
      <c r="H1" s="147" t="s">
        <v>331</v>
      </c>
    </row>
    <row r="2" spans="1:8">
      <c r="A2" s="148" t="s">
        <v>335</v>
      </c>
      <c r="B2" s="149" t="s">
        <v>332</v>
      </c>
      <c r="C2" s="149" t="s">
        <v>336</v>
      </c>
      <c r="D2" s="149" t="s">
        <v>334</v>
      </c>
      <c r="E2" s="149" t="s">
        <v>337</v>
      </c>
      <c r="F2" s="149" t="s">
        <v>42</v>
      </c>
      <c r="G2" s="149" t="s">
        <v>338</v>
      </c>
      <c r="H2" s="149"/>
    </row>
    <row r="3" spans="1:8">
      <c r="A3" s="148" t="s">
        <v>339</v>
      </c>
      <c r="B3" s="149" t="s">
        <v>332</v>
      </c>
      <c r="C3" s="149" t="s">
        <v>340</v>
      </c>
      <c r="D3" s="149" t="s">
        <v>341</v>
      </c>
      <c r="E3" s="149" t="s">
        <v>342</v>
      </c>
      <c r="F3" s="149" t="s">
        <v>42</v>
      </c>
      <c r="G3" s="149" t="s">
        <v>343</v>
      </c>
      <c r="H3" s="149"/>
    </row>
    <row r="4" spans="1:8">
      <c r="A4" s="148" t="s">
        <v>344</v>
      </c>
      <c r="B4" s="149" t="s">
        <v>332</v>
      </c>
      <c r="C4" s="149" t="s">
        <v>345</v>
      </c>
      <c r="D4" s="149" t="s">
        <v>346</v>
      </c>
      <c r="E4" s="149" t="s">
        <v>347</v>
      </c>
      <c r="F4" s="149" t="s">
        <v>42</v>
      </c>
      <c r="G4" s="149" t="s">
        <v>348</v>
      </c>
      <c r="H4" s="149"/>
    </row>
    <row r="5" spans="1:8">
      <c r="A5" s="148" t="s">
        <v>349</v>
      </c>
      <c r="B5" s="149" t="s">
        <v>332</v>
      </c>
      <c r="C5" s="149" t="s">
        <v>350</v>
      </c>
      <c r="D5" s="149" t="s">
        <v>334</v>
      </c>
      <c r="E5" s="149" t="s">
        <v>351</v>
      </c>
      <c r="F5" s="149" t="s">
        <v>42</v>
      </c>
      <c r="G5" s="149" t="s">
        <v>352</v>
      </c>
      <c r="H5" s="149"/>
    </row>
    <row r="6" spans="1:8">
      <c r="A6" s="148" t="s">
        <v>353</v>
      </c>
      <c r="B6" s="149" t="s">
        <v>332</v>
      </c>
      <c r="C6" s="149" t="s">
        <v>354</v>
      </c>
      <c r="D6" s="149" t="s">
        <v>334</v>
      </c>
      <c r="E6" s="149" t="s">
        <v>355</v>
      </c>
      <c r="F6" s="149" t="s">
        <v>42</v>
      </c>
      <c r="G6" s="149" t="s">
        <v>356</v>
      </c>
      <c r="H6" s="149"/>
    </row>
    <row r="7" spans="1:8">
      <c r="A7" s="148" t="s">
        <v>357</v>
      </c>
      <c r="B7" s="149" t="s">
        <v>332</v>
      </c>
      <c r="C7" s="149" t="s">
        <v>358</v>
      </c>
      <c r="D7" s="149" t="s">
        <v>334</v>
      </c>
      <c r="E7" s="149" t="s">
        <v>359</v>
      </c>
      <c r="F7" s="149" t="s">
        <v>42</v>
      </c>
      <c r="G7" s="149" t="s">
        <v>360</v>
      </c>
      <c r="H7" s="149"/>
    </row>
    <row r="8" spans="1:8">
      <c r="A8" s="148" t="s">
        <v>361</v>
      </c>
      <c r="B8" s="149" t="s">
        <v>332</v>
      </c>
      <c r="C8" s="149" t="s">
        <v>362</v>
      </c>
      <c r="D8" s="149" t="s">
        <v>334</v>
      </c>
      <c r="E8" s="149" t="s">
        <v>363</v>
      </c>
      <c r="F8" s="149" t="s">
        <v>42</v>
      </c>
      <c r="G8" s="149" t="s">
        <v>364</v>
      </c>
      <c r="H8" s="149"/>
    </row>
    <row r="9" spans="1:8">
      <c r="A9" s="148" t="s">
        <v>365</v>
      </c>
      <c r="B9" s="149" t="s">
        <v>5255</v>
      </c>
      <c r="C9" s="149" t="s">
        <v>366</v>
      </c>
      <c r="D9" s="149" t="s">
        <v>334</v>
      </c>
      <c r="E9" s="149" t="s">
        <v>367</v>
      </c>
      <c r="F9" s="149" t="s">
        <v>42</v>
      </c>
      <c r="G9" s="149" t="s">
        <v>368</v>
      </c>
      <c r="H9" s="149"/>
    </row>
    <row r="10" spans="1:8">
      <c r="A10" s="148" t="s">
        <v>369</v>
      </c>
      <c r="B10" s="149" t="s">
        <v>5255</v>
      </c>
      <c r="C10" s="149" t="s">
        <v>370</v>
      </c>
      <c r="D10" s="149" t="s">
        <v>334</v>
      </c>
      <c r="E10" s="149" t="s">
        <v>371</v>
      </c>
      <c r="F10" s="149" t="s">
        <v>42</v>
      </c>
      <c r="G10" s="149" t="s">
        <v>372</v>
      </c>
      <c r="H10" s="149"/>
    </row>
    <row r="11" spans="1:8">
      <c r="A11" s="148" t="s">
        <v>373</v>
      </c>
      <c r="B11" s="149" t="s">
        <v>332</v>
      </c>
      <c r="C11" s="149" t="s">
        <v>374</v>
      </c>
      <c r="D11" s="149" t="s">
        <v>346</v>
      </c>
      <c r="E11" s="149" t="s">
        <v>375</v>
      </c>
      <c r="F11" s="149" t="s">
        <v>42</v>
      </c>
      <c r="G11" s="149" t="s">
        <v>376</v>
      </c>
      <c r="H11" s="149"/>
    </row>
    <row r="12" spans="1:8">
      <c r="A12" s="148" t="s">
        <v>377</v>
      </c>
      <c r="B12" s="149" t="s">
        <v>332</v>
      </c>
      <c r="C12" s="149" t="s">
        <v>378</v>
      </c>
      <c r="D12" s="149" t="s">
        <v>334</v>
      </c>
      <c r="E12" s="149" t="s">
        <v>379</v>
      </c>
      <c r="F12" s="149" t="s">
        <v>42</v>
      </c>
      <c r="G12" s="149" t="s">
        <v>380</v>
      </c>
      <c r="H12" s="149"/>
    </row>
    <row r="13" spans="1:8">
      <c r="A13" s="148" t="s">
        <v>381</v>
      </c>
      <c r="B13" s="149" t="s">
        <v>5255</v>
      </c>
      <c r="C13" s="149" t="s">
        <v>382</v>
      </c>
      <c r="D13" s="149" t="s">
        <v>341</v>
      </c>
      <c r="E13" s="149" t="s">
        <v>383</v>
      </c>
      <c r="F13" s="149" t="s">
        <v>42</v>
      </c>
      <c r="G13" s="149" t="s">
        <v>384</v>
      </c>
      <c r="H13" s="149"/>
    </row>
    <row r="14" spans="1:8">
      <c r="A14" s="148" t="s">
        <v>385</v>
      </c>
      <c r="B14" s="149" t="s">
        <v>332</v>
      </c>
      <c r="C14" s="149" t="s">
        <v>386</v>
      </c>
      <c r="D14" s="149" t="s">
        <v>334</v>
      </c>
      <c r="E14" s="149" t="s">
        <v>387</v>
      </c>
      <c r="F14" s="149" t="s">
        <v>42</v>
      </c>
      <c r="G14" s="149" t="s">
        <v>388</v>
      </c>
      <c r="H14" s="149"/>
    </row>
    <row r="15" spans="1:8">
      <c r="A15" s="148" t="s">
        <v>389</v>
      </c>
      <c r="B15" s="149" t="s">
        <v>332</v>
      </c>
      <c r="C15" s="149" t="s">
        <v>89</v>
      </c>
      <c r="D15" s="149" t="s">
        <v>390</v>
      </c>
      <c r="E15" s="149" t="s">
        <v>391</v>
      </c>
      <c r="F15" s="149" t="s">
        <v>42</v>
      </c>
      <c r="G15" s="149" t="s">
        <v>392</v>
      </c>
      <c r="H15" s="149"/>
    </row>
    <row r="16" spans="1:8">
      <c r="A16" s="148" t="s">
        <v>393</v>
      </c>
      <c r="B16" s="149" t="s">
        <v>332</v>
      </c>
      <c r="C16" s="149" t="s">
        <v>394</v>
      </c>
      <c r="D16" s="149" t="s">
        <v>334</v>
      </c>
      <c r="E16" s="149" t="s">
        <v>395</v>
      </c>
      <c r="F16" s="149" t="s">
        <v>42</v>
      </c>
      <c r="G16" s="149" t="s">
        <v>396</v>
      </c>
      <c r="H16" s="149"/>
    </row>
    <row r="17" spans="1:8">
      <c r="A17" s="148" t="s">
        <v>397</v>
      </c>
      <c r="B17" s="149" t="s">
        <v>332</v>
      </c>
      <c r="C17" s="149" t="s">
        <v>398</v>
      </c>
      <c r="D17" s="149" t="s">
        <v>390</v>
      </c>
      <c r="E17" s="149" t="s">
        <v>399</v>
      </c>
      <c r="F17" s="149" t="s">
        <v>42</v>
      </c>
      <c r="G17" s="149" t="s">
        <v>400</v>
      </c>
      <c r="H17" s="149"/>
    </row>
    <row r="18" spans="1:8">
      <c r="A18" s="148" t="s">
        <v>401</v>
      </c>
      <c r="B18" s="149" t="s">
        <v>5255</v>
      </c>
      <c r="C18" s="149" t="s">
        <v>402</v>
      </c>
      <c r="D18" s="149" t="s">
        <v>403</v>
      </c>
      <c r="E18" s="149" t="s">
        <v>404</v>
      </c>
      <c r="F18" s="149" t="s">
        <v>42</v>
      </c>
      <c r="G18" s="150" t="s">
        <v>405</v>
      </c>
      <c r="H18" s="149" t="s">
        <v>406</v>
      </c>
    </row>
    <row r="19" spans="1:8">
      <c r="A19" s="148" t="s">
        <v>407</v>
      </c>
      <c r="B19" s="149" t="s">
        <v>5255</v>
      </c>
      <c r="C19" s="149" t="s">
        <v>408</v>
      </c>
      <c r="D19" s="149" t="s">
        <v>341</v>
      </c>
      <c r="E19" s="149" t="s">
        <v>409</v>
      </c>
      <c r="F19" s="149" t="s">
        <v>42</v>
      </c>
      <c r="G19" s="150" t="s">
        <v>410</v>
      </c>
      <c r="H19" s="149" t="s">
        <v>411</v>
      </c>
    </row>
    <row r="20" spans="1:8">
      <c r="A20" s="148" t="s">
        <v>415</v>
      </c>
      <c r="B20" s="149" t="s">
        <v>5255</v>
      </c>
      <c r="C20" s="149" t="s">
        <v>416</v>
      </c>
      <c r="D20" s="149" t="s">
        <v>334</v>
      </c>
      <c r="E20" s="149" t="s">
        <v>42</v>
      </c>
      <c r="F20" s="149" t="s">
        <v>42</v>
      </c>
      <c r="G20" s="150" t="s">
        <v>417</v>
      </c>
      <c r="H20" s="149" t="s">
        <v>418</v>
      </c>
    </row>
    <row r="21" spans="1:8">
      <c r="A21" s="148" t="s">
        <v>419</v>
      </c>
      <c r="B21" s="149" t="s">
        <v>332</v>
      </c>
      <c r="C21" s="149" t="s">
        <v>420</v>
      </c>
      <c r="D21" s="149" t="s">
        <v>341</v>
      </c>
      <c r="E21" s="149" t="s">
        <v>421</v>
      </c>
      <c r="F21" s="149" t="s">
        <v>42</v>
      </c>
      <c r="G21" s="150" t="s">
        <v>422</v>
      </c>
      <c r="H21" s="149"/>
    </row>
    <row r="22" spans="1:8">
      <c r="A22" s="148" t="s">
        <v>423</v>
      </c>
      <c r="B22" s="149" t="s">
        <v>332</v>
      </c>
      <c r="C22" s="149" t="s">
        <v>424</v>
      </c>
      <c r="D22" s="149" t="s">
        <v>334</v>
      </c>
      <c r="E22" s="149" t="s">
        <v>425</v>
      </c>
      <c r="F22" s="149" t="s">
        <v>42</v>
      </c>
      <c r="G22" s="150" t="s">
        <v>426</v>
      </c>
      <c r="H22" s="149"/>
    </row>
    <row r="23" spans="1:8">
      <c r="A23" s="148" t="s">
        <v>427</v>
      </c>
      <c r="B23" s="149" t="s">
        <v>332</v>
      </c>
      <c r="C23" s="149" t="s">
        <v>428</v>
      </c>
      <c r="D23" s="149" t="s">
        <v>429</v>
      </c>
      <c r="E23" s="149" t="s">
        <v>430</v>
      </c>
      <c r="F23" s="149" t="s">
        <v>42</v>
      </c>
      <c r="G23" s="150" t="s">
        <v>431</v>
      </c>
      <c r="H23" s="149"/>
    </row>
    <row r="24" spans="1:8">
      <c r="A24" s="148" t="s">
        <v>432</v>
      </c>
      <c r="B24" s="149" t="s">
        <v>332</v>
      </c>
      <c r="C24" s="149" t="s">
        <v>433</v>
      </c>
      <c r="D24" s="149" t="s">
        <v>334</v>
      </c>
      <c r="E24" s="149" t="s">
        <v>434</v>
      </c>
      <c r="F24" s="149" t="s">
        <v>42</v>
      </c>
      <c r="G24" s="150" t="s">
        <v>435</v>
      </c>
      <c r="H24" s="149"/>
    </row>
    <row r="25" spans="1:8">
      <c r="A25" s="148" t="s">
        <v>438</v>
      </c>
      <c r="B25" s="149" t="s">
        <v>5255</v>
      </c>
      <c r="C25" s="149" t="s">
        <v>439</v>
      </c>
      <c r="D25" s="149" t="s">
        <v>440</v>
      </c>
      <c r="E25" s="149" t="s">
        <v>441</v>
      </c>
      <c r="F25" s="149" t="s">
        <v>42</v>
      </c>
      <c r="G25" s="149" t="s">
        <v>442</v>
      </c>
      <c r="H25" s="149" t="s">
        <v>443</v>
      </c>
    </row>
    <row r="26" spans="1:8">
      <c r="A26" s="148" t="s">
        <v>444</v>
      </c>
      <c r="B26" s="149" t="s">
        <v>5255</v>
      </c>
      <c r="C26" s="149" t="s">
        <v>445</v>
      </c>
      <c r="D26" s="149" t="s">
        <v>437</v>
      </c>
      <c r="E26" s="149" t="s">
        <v>446</v>
      </c>
      <c r="F26" s="149" t="s">
        <v>42</v>
      </c>
      <c r="G26" s="149" t="s">
        <v>447</v>
      </c>
      <c r="H26" s="149"/>
    </row>
    <row r="27" spans="1:8">
      <c r="A27" s="148" t="s">
        <v>448</v>
      </c>
      <c r="B27" s="149" t="s">
        <v>332</v>
      </c>
      <c r="C27" s="149" t="s">
        <v>449</v>
      </c>
      <c r="D27" s="149" t="s">
        <v>450</v>
      </c>
      <c r="E27" s="149" t="s">
        <v>451</v>
      </c>
      <c r="F27" s="149" t="s">
        <v>452</v>
      </c>
      <c r="G27" s="150" t="s">
        <v>453</v>
      </c>
      <c r="H27" s="149"/>
    </row>
    <row r="28" spans="1:8">
      <c r="A28" s="148" t="s">
        <v>454</v>
      </c>
      <c r="B28" s="149" t="s">
        <v>332</v>
      </c>
      <c r="C28" s="149" t="s">
        <v>455</v>
      </c>
      <c r="D28" s="149" t="s">
        <v>334</v>
      </c>
      <c r="E28" s="149" t="s">
        <v>456</v>
      </c>
      <c r="F28" s="149" t="s">
        <v>457</v>
      </c>
      <c r="G28" s="150" t="s">
        <v>458</v>
      </c>
      <c r="H28" s="149"/>
    </row>
    <row r="29" spans="1:8">
      <c r="A29" s="148" t="s">
        <v>459</v>
      </c>
      <c r="B29" s="149" t="s">
        <v>332</v>
      </c>
      <c r="C29" s="149" t="s">
        <v>460</v>
      </c>
      <c r="D29" s="149" t="s">
        <v>5263</v>
      </c>
      <c r="E29" s="149" t="s">
        <v>461</v>
      </c>
      <c r="F29" s="149" t="s">
        <v>462</v>
      </c>
      <c r="G29" s="150" t="s">
        <v>463</v>
      </c>
      <c r="H29" s="149"/>
    </row>
    <row r="30" spans="1:8">
      <c r="A30" s="148" t="s">
        <v>464</v>
      </c>
      <c r="B30" s="149" t="s">
        <v>332</v>
      </c>
      <c r="C30" s="149" t="s">
        <v>428</v>
      </c>
      <c r="D30" s="149" t="s">
        <v>333</v>
      </c>
      <c r="E30" s="149" t="s">
        <v>465</v>
      </c>
      <c r="F30" s="149" t="s">
        <v>466</v>
      </c>
      <c r="G30" s="150" t="s">
        <v>467</v>
      </c>
      <c r="H30" s="149"/>
    </row>
    <row r="31" spans="1:8">
      <c r="A31" s="148" t="s">
        <v>468</v>
      </c>
      <c r="B31" s="149" t="s">
        <v>332</v>
      </c>
      <c r="C31" s="149" t="s">
        <v>469</v>
      </c>
      <c r="D31" s="149" t="s">
        <v>341</v>
      </c>
      <c r="E31" s="149" t="s">
        <v>470</v>
      </c>
      <c r="F31" s="149" t="s">
        <v>42</v>
      </c>
      <c r="G31" s="150" t="s">
        <v>471</v>
      </c>
      <c r="H31" s="149" t="s">
        <v>439</v>
      </c>
    </row>
    <row r="32" spans="1:8">
      <c r="A32" s="148" t="s">
        <v>472</v>
      </c>
      <c r="B32" s="149" t="s">
        <v>332</v>
      </c>
      <c r="C32" s="149" t="s">
        <v>473</v>
      </c>
      <c r="D32" s="149" t="s">
        <v>474</v>
      </c>
      <c r="E32" s="149" t="s">
        <v>475</v>
      </c>
      <c r="F32" s="149" t="s">
        <v>476</v>
      </c>
      <c r="G32" s="150" t="s">
        <v>477</v>
      </c>
      <c r="H32" s="149" t="s">
        <v>439</v>
      </c>
    </row>
    <row r="33" spans="1:8">
      <c r="A33" s="148" t="s">
        <v>478</v>
      </c>
      <c r="B33" s="149" t="s">
        <v>332</v>
      </c>
      <c r="C33" s="149" t="s">
        <v>479</v>
      </c>
      <c r="D33" s="149" t="s">
        <v>334</v>
      </c>
      <c r="E33" s="149" t="s">
        <v>480</v>
      </c>
      <c r="F33" s="149" t="s">
        <v>42</v>
      </c>
      <c r="G33" s="150" t="s">
        <v>481</v>
      </c>
      <c r="H33" s="149" t="s">
        <v>398</v>
      </c>
    </row>
    <row r="34" spans="1:8">
      <c r="A34" s="148" t="s">
        <v>482</v>
      </c>
      <c r="B34" s="149" t="s">
        <v>5255</v>
      </c>
      <c r="C34" s="149" t="s">
        <v>483</v>
      </c>
      <c r="D34" s="149" t="s">
        <v>484</v>
      </c>
      <c r="E34" s="149" t="s">
        <v>485</v>
      </c>
      <c r="F34" s="149" t="s">
        <v>486</v>
      </c>
      <c r="G34" s="150" t="s">
        <v>487</v>
      </c>
      <c r="H34" s="149" t="s">
        <v>488</v>
      </c>
    </row>
    <row r="35" spans="1:8">
      <c r="A35" s="148" t="s">
        <v>489</v>
      </c>
      <c r="B35" s="149" t="s">
        <v>5255</v>
      </c>
      <c r="C35" s="149" t="s">
        <v>490</v>
      </c>
      <c r="D35" s="149" t="s">
        <v>334</v>
      </c>
      <c r="E35" s="149" t="s">
        <v>491</v>
      </c>
      <c r="F35" s="149" t="s">
        <v>492</v>
      </c>
      <c r="G35" s="150" t="s">
        <v>493</v>
      </c>
      <c r="H35" s="149" t="s">
        <v>414</v>
      </c>
    </row>
    <row r="36" spans="1:8">
      <c r="A36" s="148" t="s">
        <v>494</v>
      </c>
      <c r="B36" s="149" t="s">
        <v>332</v>
      </c>
      <c r="C36" s="149" t="s">
        <v>495</v>
      </c>
      <c r="D36" s="149" t="s">
        <v>334</v>
      </c>
      <c r="E36" s="149" t="s">
        <v>496</v>
      </c>
      <c r="F36" s="149" t="s">
        <v>497</v>
      </c>
      <c r="G36" s="150" t="s">
        <v>498</v>
      </c>
      <c r="H36" s="149" t="s">
        <v>499</v>
      </c>
    </row>
    <row r="37" spans="1:8">
      <c r="A37" s="148" t="s">
        <v>500</v>
      </c>
      <c r="B37" s="149" t="s">
        <v>332</v>
      </c>
      <c r="C37" s="149" t="s">
        <v>501</v>
      </c>
      <c r="D37" s="149" t="s">
        <v>334</v>
      </c>
      <c r="E37" s="149" t="s">
        <v>502</v>
      </c>
      <c r="F37" s="149" t="s">
        <v>503</v>
      </c>
      <c r="G37" s="150" t="s">
        <v>504</v>
      </c>
      <c r="H37" s="149" t="s">
        <v>505</v>
      </c>
    </row>
    <row r="38" spans="1:8">
      <c r="A38" s="148" t="s">
        <v>506</v>
      </c>
      <c r="B38" s="149" t="s">
        <v>507</v>
      </c>
      <c r="C38" s="149" t="s">
        <v>508</v>
      </c>
      <c r="D38" s="149" t="s">
        <v>474</v>
      </c>
      <c r="E38" s="149" t="s">
        <v>509</v>
      </c>
      <c r="F38" s="149" t="s">
        <v>510</v>
      </c>
      <c r="G38" s="150" t="s">
        <v>511</v>
      </c>
      <c r="H38" s="149" t="s">
        <v>499</v>
      </c>
    </row>
    <row r="39" spans="1:8">
      <c r="A39" s="148" t="s">
        <v>512</v>
      </c>
      <c r="B39" s="149" t="s">
        <v>507</v>
      </c>
      <c r="C39" s="149" t="s">
        <v>513</v>
      </c>
      <c r="D39" s="149" t="s">
        <v>334</v>
      </c>
      <c r="E39" s="149" t="s">
        <v>514</v>
      </c>
      <c r="F39" s="149" t="s">
        <v>515</v>
      </c>
      <c r="G39" s="150" t="s">
        <v>516</v>
      </c>
      <c r="H39" s="149" t="s">
        <v>517</v>
      </c>
    </row>
    <row r="40" spans="1:8">
      <c r="A40" s="148" t="s">
        <v>518</v>
      </c>
      <c r="B40" s="149" t="s">
        <v>5255</v>
      </c>
      <c r="C40" s="149" t="s">
        <v>519</v>
      </c>
      <c r="D40" s="149" t="s">
        <v>334</v>
      </c>
      <c r="E40" s="149" t="s">
        <v>520</v>
      </c>
      <c r="F40" s="149" t="s">
        <v>42</v>
      </c>
      <c r="G40" s="150" t="s">
        <v>521</v>
      </c>
      <c r="H40" s="149" t="s">
        <v>522</v>
      </c>
    </row>
    <row r="41" spans="1:8">
      <c r="A41" s="148" t="s">
        <v>525</v>
      </c>
      <c r="B41" s="149" t="s">
        <v>332</v>
      </c>
      <c r="C41" s="149" t="s">
        <v>526</v>
      </c>
      <c r="D41" s="149" t="s">
        <v>334</v>
      </c>
      <c r="E41" s="149" t="s">
        <v>527</v>
      </c>
      <c r="F41" s="149"/>
      <c r="G41" s="150" t="s">
        <v>528</v>
      </c>
      <c r="H41" s="149" t="s">
        <v>418</v>
      </c>
    </row>
    <row r="42" spans="1:8">
      <c r="A42" s="148" t="s">
        <v>529</v>
      </c>
      <c r="B42" s="149" t="s">
        <v>332</v>
      </c>
      <c r="C42" s="149" t="s">
        <v>530</v>
      </c>
      <c r="D42" s="149" t="s">
        <v>531</v>
      </c>
      <c r="E42" s="149" t="s">
        <v>532</v>
      </c>
      <c r="F42" s="149"/>
      <c r="G42" s="150" t="s">
        <v>533</v>
      </c>
      <c r="H42" s="149" t="s">
        <v>488</v>
      </c>
    </row>
    <row r="43" spans="1:8">
      <c r="A43" s="148" t="s">
        <v>534</v>
      </c>
      <c r="B43" s="149" t="s">
        <v>332</v>
      </c>
      <c r="C43" s="149" t="s">
        <v>535</v>
      </c>
      <c r="D43" s="149" t="s">
        <v>523</v>
      </c>
      <c r="E43" s="149" t="s">
        <v>536</v>
      </c>
      <c r="F43" s="149" t="s">
        <v>537</v>
      </c>
      <c r="G43" s="150" t="s">
        <v>538</v>
      </c>
      <c r="H43" s="149" t="s">
        <v>418</v>
      </c>
    </row>
    <row r="44" spans="1:8">
      <c r="A44" s="148" t="s">
        <v>539</v>
      </c>
      <c r="B44" s="149" t="s">
        <v>332</v>
      </c>
      <c r="C44" s="149" t="s">
        <v>540</v>
      </c>
      <c r="D44" s="149" t="s">
        <v>523</v>
      </c>
      <c r="E44" s="149" t="s">
        <v>541</v>
      </c>
      <c r="F44" s="149"/>
      <c r="G44" s="150" t="s">
        <v>542</v>
      </c>
      <c r="H44" s="149" t="s">
        <v>488</v>
      </c>
    </row>
    <row r="45" spans="1:8">
      <c r="A45" s="148" t="s">
        <v>543</v>
      </c>
      <c r="B45" s="149" t="s">
        <v>5255</v>
      </c>
      <c r="C45" s="149" t="s">
        <v>544</v>
      </c>
      <c r="D45" s="149" t="s">
        <v>413</v>
      </c>
      <c r="E45" s="149" t="s">
        <v>42</v>
      </c>
      <c r="F45" s="149" t="s">
        <v>42</v>
      </c>
      <c r="G45" s="150" t="s">
        <v>545</v>
      </c>
      <c r="H45" s="149" t="s">
        <v>412</v>
      </c>
    </row>
    <row r="46" spans="1:8">
      <c r="A46" s="148" t="s">
        <v>546</v>
      </c>
      <c r="B46" s="149" t="s">
        <v>5255</v>
      </c>
      <c r="C46" s="149" t="s">
        <v>547</v>
      </c>
      <c r="D46" s="149" t="s">
        <v>436</v>
      </c>
      <c r="E46" s="149"/>
      <c r="F46" s="149"/>
      <c r="G46" s="150" t="s">
        <v>548</v>
      </c>
      <c r="H46" s="149" t="s">
        <v>549</v>
      </c>
    </row>
    <row r="47" spans="1:8">
      <c r="A47" s="151">
        <v>305525</v>
      </c>
      <c r="B47" s="149" t="s">
        <v>5255</v>
      </c>
      <c r="C47" s="152" t="s">
        <v>550</v>
      </c>
      <c r="D47" s="103" t="s">
        <v>341</v>
      </c>
      <c r="E47" s="149">
        <v>50672937293</v>
      </c>
      <c r="F47" s="152"/>
      <c r="G47" s="150" t="s">
        <v>551</v>
      </c>
      <c r="H47" s="152" t="s">
        <v>544</v>
      </c>
    </row>
    <row r="48" spans="1:8">
      <c r="A48" s="151">
        <v>301552</v>
      </c>
      <c r="B48" s="152" t="s">
        <v>5255</v>
      </c>
      <c r="C48" s="152" t="s">
        <v>5256</v>
      </c>
      <c r="D48" s="103" t="s">
        <v>341</v>
      </c>
      <c r="E48" s="152" t="s">
        <v>5257</v>
      </c>
      <c r="F48" s="152"/>
      <c r="G48" s="150" t="s">
        <v>5258</v>
      </c>
      <c r="H48" s="152" t="s">
        <v>449</v>
      </c>
    </row>
    <row r="49" spans="1:8">
      <c r="A49" s="151" t="s">
        <v>5259</v>
      </c>
      <c r="B49" s="152" t="s">
        <v>5255</v>
      </c>
      <c r="C49" s="152" t="s">
        <v>5260</v>
      </c>
      <c r="D49" s="103" t="s">
        <v>341</v>
      </c>
      <c r="E49" s="152" t="s">
        <v>5261</v>
      </c>
      <c r="F49" s="152"/>
      <c r="G49" s="150" t="s">
        <v>5262</v>
      </c>
      <c r="H49" s="152" t="s">
        <v>449</v>
      </c>
    </row>
  </sheetData>
  <sheetProtection autoFilter="0"/>
  <phoneticPr fontId="30" type="noConversion"/>
  <hyperlinks>
    <hyperlink ref="G47" r:id="rId1" xr:uid="{1F16CB06-216C-47A0-801E-6D0A1347DB7A}"/>
    <hyperlink ref="G48" r:id="rId2" xr:uid="{E907EA30-F014-4104-9FDD-B7AB9780F2FE}"/>
    <hyperlink ref="G49" r:id="rId3" xr:uid="{CAA9A948-3198-4145-893F-CD7A6AA5758F}"/>
  </hyperlinks>
  <pageMargins left="0.7" right="0.7" top="0.75" bottom="0.75" header="0.3" footer="0.3"/>
  <customProperties>
    <customPr name="workbookAdvencedSettings" r:id="rId4"/>
    <customPr name="workbookExecutionSettings" r:id="rId5"/>
    <customPr name="workbookGatewaySettings" r:id="rId6"/>
  </customProperties>
  <tableParts count="1">
    <tablePart r:id="rId7"/>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A7B0C-D38D-4684-853C-C3E6BC95ABAA}">
  <sheetPr codeName="Sheet7"/>
  <dimension ref="D5:BD295"/>
  <sheetViews>
    <sheetView showGridLines="0" topLeftCell="C55" zoomScale="85" zoomScaleNormal="85" workbookViewId="0">
      <pane ySplit="1" topLeftCell="A70" activePane="bottomLeft" state="frozen"/>
      <selection activeCell="D55" sqref="D55"/>
      <selection pane="bottomLeft" activeCell="E71" sqref="E71"/>
    </sheetView>
  </sheetViews>
  <sheetFormatPr defaultColWidth="8.54296875" defaultRowHeight="14.5" outlineLevelRow="1"/>
  <cols>
    <col min="1" max="2" width="17.453125" style="103" customWidth="1"/>
    <col min="3" max="3" width="1.54296875" style="103" customWidth="1"/>
    <col min="4" max="4" width="10.54296875" style="103" customWidth="1"/>
    <col min="5" max="5" width="111.1796875" style="103" customWidth="1"/>
    <col min="6" max="6" width="21.453125" style="103" customWidth="1"/>
    <col min="7" max="7" width="41.54296875" style="103" customWidth="1"/>
    <col min="8" max="8" width="90.54296875" style="103" customWidth="1"/>
    <col min="9" max="9" width="59.453125" style="103" customWidth="1"/>
    <col min="10" max="10" width="77.453125" style="103" customWidth="1"/>
    <col min="11" max="11" width="57.453125" style="103" customWidth="1"/>
    <col min="12" max="12" width="48.453125" style="103" customWidth="1"/>
    <col min="13" max="14" width="18.453125" style="103" customWidth="1"/>
    <col min="15" max="15" width="11.453125" style="103" customWidth="1"/>
    <col min="16" max="16" width="21.453125" style="103" customWidth="1"/>
    <col min="17" max="17" width="47.453125" style="103" customWidth="1"/>
    <col min="18" max="19" width="10.54296875" style="103" customWidth="1"/>
    <col min="20" max="20" width="12" style="103" customWidth="1"/>
    <col min="21" max="21" width="55.54296875" style="103" customWidth="1"/>
    <col min="22" max="22" width="24.453125" style="103" customWidth="1"/>
    <col min="23" max="23" width="25.453125" style="103" customWidth="1"/>
    <col min="24" max="24" width="25" style="103" customWidth="1"/>
    <col min="25" max="25" width="24.54296875" style="103" customWidth="1"/>
    <col min="26" max="26" width="24" style="103" customWidth="1"/>
    <col min="27" max="27" width="28.54296875" style="103" customWidth="1"/>
    <col min="28" max="28" width="28.453125" style="103" customWidth="1"/>
    <col min="29" max="29" width="17.453125" style="103" customWidth="1"/>
    <col min="30" max="31" width="4.453125" style="103" customWidth="1"/>
    <col min="32" max="32" width="13.54296875" style="103" customWidth="1"/>
    <col min="33" max="33" width="17.453125" style="103" customWidth="1"/>
    <col min="34" max="34" width="22.54296875" style="103" customWidth="1"/>
    <col min="35" max="35" width="28.54296875" style="103" customWidth="1"/>
    <col min="36" max="38" width="15.54296875" style="103" customWidth="1"/>
    <col min="39" max="39" width="16.54296875" style="103" customWidth="1"/>
    <col min="40" max="41" width="21.453125" style="103" customWidth="1"/>
    <col min="42" max="42" width="18.54296875" style="103" customWidth="1"/>
    <col min="43" max="43" width="10.453125" style="103" customWidth="1"/>
    <col min="44" max="44" width="33.453125" style="103" customWidth="1"/>
    <col min="45" max="45" width="32.453125" style="103" customWidth="1"/>
    <col min="46" max="46" width="18.453125" style="103" customWidth="1"/>
    <col min="47" max="47" width="17.453125" style="103" customWidth="1"/>
    <col min="48" max="48" width="14.54296875" style="103" customWidth="1"/>
    <col min="49" max="49" width="32.453125" style="103" customWidth="1"/>
    <col min="50" max="50" width="44.453125" style="103" customWidth="1"/>
    <col min="51" max="51" width="46.54296875" style="103" customWidth="1"/>
    <col min="52" max="52" width="44.453125" style="103" customWidth="1"/>
    <col min="53" max="53" width="53.54296875" style="103" customWidth="1"/>
    <col min="54" max="54" width="43" style="103" customWidth="1"/>
    <col min="55" max="55" width="52.54296875" style="103" customWidth="1"/>
    <col min="56" max="56" width="50.453125" style="103" customWidth="1"/>
    <col min="57" max="16384" width="8.54296875" style="103"/>
  </cols>
  <sheetData>
    <row r="5" spans="4:56" s="381" customFormat="1" ht="41.9" customHeight="1">
      <c r="D5" s="381" t="s">
        <v>69</v>
      </c>
      <c r="E5" s="381" t="s">
        <v>120</v>
      </c>
      <c r="F5" s="381" t="s">
        <v>552</v>
      </c>
      <c r="G5" s="381" t="s">
        <v>553</v>
      </c>
      <c r="H5" s="381" t="s">
        <v>554</v>
      </c>
      <c r="I5" s="381" t="s">
        <v>555</v>
      </c>
      <c r="J5" s="460" t="s">
        <v>556</v>
      </c>
      <c r="K5" s="381" t="s">
        <v>557</v>
      </c>
      <c r="L5" s="381" t="s">
        <v>558</v>
      </c>
      <c r="M5" s="381" t="s">
        <v>559</v>
      </c>
      <c r="N5" s="381" t="s">
        <v>115</v>
      </c>
      <c r="O5" s="381" t="s">
        <v>68</v>
      </c>
      <c r="P5" s="381" t="s">
        <v>560</v>
      </c>
      <c r="Q5" s="381" t="s">
        <v>561</v>
      </c>
      <c r="R5" s="386" t="s">
        <v>562</v>
      </c>
      <c r="S5" s="386" t="s">
        <v>563</v>
      </c>
      <c r="T5" s="381" t="s">
        <v>564</v>
      </c>
      <c r="U5" s="381" t="s">
        <v>565</v>
      </c>
      <c r="V5" s="381" t="s">
        <v>566</v>
      </c>
      <c r="W5" s="381" t="s">
        <v>567</v>
      </c>
      <c r="X5" s="381" t="s">
        <v>568</v>
      </c>
      <c r="Y5" s="381" t="s">
        <v>569</v>
      </c>
      <c r="Z5" s="381" t="s">
        <v>570</v>
      </c>
      <c r="AA5" s="381" t="s">
        <v>571</v>
      </c>
      <c r="AB5" s="381" t="s">
        <v>572</v>
      </c>
      <c r="AF5" s="381" t="s">
        <v>69</v>
      </c>
      <c r="AG5" s="381" t="s">
        <v>120</v>
      </c>
      <c r="AH5" s="381" t="s">
        <v>552</v>
      </c>
      <c r="AI5" s="381" t="s">
        <v>553</v>
      </c>
      <c r="AJ5" s="381" t="s">
        <v>573</v>
      </c>
      <c r="AK5" s="381" t="s">
        <v>574</v>
      </c>
      <c r="AL5" s="381" t="s">
        <v>575</v>
      </c>
      <c r="AM5" s="381" t="s">
        <v>557</v>
      </c>
      <c r="AN5" s="381" t="s">
        <v>558</v>
      </c>
      <c r="AO5" s="386" t="s">
        <v>559</v>
      </c>
      <c r="AP5" s="386" t="s">
        <v>115</v>
      </c>
      <c r="AQ5" s="386" t="s">
        <v>68</v>
      </c>
      <c r="AR5" s="386" t="s">
        <v>560</v>
      </c>
      <c r="AS5" s="386" t="s">
        <v>561</v>
      </c>
      <c r="AT5" s="381" t="s">
        <v>562</v>
      </c>
      <c r="AU5" s="381" t="s">
        <v>563</v>
      </c>
      <c r="AV5" s="381" t="s">
        <v>564</v>
      </c>
      <c r="AW5" s="381" t="s">
        <v>565</v>
      </c>
      <c r="AX5" s="381" t="s">
        <v>566</v>
      </c>
      <c r="AY5" s="381" t="s">
        <v>567</v>
      </c>
      <c r="AZ5" s="381" t="s">
        <v>568</v>
      </c>
      <c r="BA5" s="381" t="s">
        <v>569</v>
      </c>
      <c r="BB5" s="381" t="s">
        <v>570</v>
      </c>
      <c r="BC5" s="381" t="s">
        <v>571</v>
      </c>
      <c r="BD5" s="381" t="s">
        <v>572</v>
      </c>
    </row>
    <row r="6" spans="4:56" outlineLevel="1">
      <c r="D6" s="103" t="s">
        <v>576</v>
      </c>
      <c r="E6" s="103" t="s">
        <v>577</v>
      </c>
      <c r="H6" s="103" t="s">
        <v>578</v>
      </c>
      <c r="I6" s="103" t="s">
        <v>42</v>
      </c>
      <c r="J6" s="103" t="s">
        <v>42</v>
      </c>
      <c r="K6" s="103" t="s">
        <v>42</v>
      </c>
      <c r="L6" s="387" t="str" cm="1">
        <f t="array" ref="L6">LocationInfo[WUCO
Name]</f>
        <v>enter manually</v>
      </c>
      <c r="M6" s="103">
        <f ca="1">IFERROR(VLOOKUP(Network_Agent[[#This Row],[iWatch '#]],INDIRECT('Defined Ranges'!$C$28&amp;"Order"&amp;'Defined Ranges'!$C$29),2,FALSE),"")</f>
        <v>1</v>
      </c>
      <c r="N6" s="103">
        <f ca="1">IFERROR(VLOOKUP(Network_Agent[[#This Row],[iWatch '#]],INDIRECT('Defined Ranges'!$C$28&amp;"Order"&amp;'Defined Ranges'!$C$29),3,FALSE),"")</f>
        <v>1</v>
      </c>
      <c r="O6" s="103">
        <v>1</v>
      </c>
      <c r="P6" s="103" cm="1">
        <f t="array" ref="P6">_xlfn.IFS(LSelected="English",Network_Agent[[#This Row],[Verification Type English]],LSelected="Spanish",Network_Agent[[#This Row],[Verification Type Spanish]],LSelected="French",Network_Agent[[#This Row],[Verification Type French]],LSelected="Portuguese",Network_Agent[[#This Row],[Verification Type Portuguese]])</f>
        <v>0</v>
      </c>
      <c r="Q6" s="103" t="str" cm="1">
        <f t="array" ref="Q6">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 xml:space="preserve"> </v>
      </c>
      <c r="V6" s="103" t="s">
        <v>42</v>
      </c>
      <c r="W6" s="388"/>
      <c r="X6" s="103" t="s">
        <v>42</v>
      </c>
      <c r="Y6" s="99"/>
      <c r="Z6" s="99" t="s">
        <v>42</v>
      </c>
      <c r="AA6" s="382"/>
      <c r="AB6" s="103" t="s">
        <v>42</v>
      </c>
      <c r="AF6" s="353" t="s">
        <v>579</v>
      </c>
      <c r="AG6" s="99" t="s">
        <v>580</v>
      </c>
      <c r="AH6" s="383">
        <v>3</v>
      </c>
      <c r="AI6" s="99" t="s">
        <v>581</v>
      </c>
      <c r="AJ6" s="99" t="s">
        <v>582</v>
      </c>
      <c r="AK6" s="99" t="s">
        <v>583</v>
      </c>
      <c r="AL6" s="99"/>
      <c r="AM6" s="99" t="s">
        <v>584</v>
      </c>
      <c r="AN6" s="99"/>
      <c r="AO6" s="383" t="str">
        <f ca="1">IFERROR(VLOOKUP(Network_Agent_United_States[[#This Row],[iWatch '#]],INDIRECT('Defined Ranges'!$C$28&amp;"ROrder"&amp;'Defined Ranges'!$C$29),2,FALSE),"")</f>
        <v/>
      </c>
      <c r="AP6" s="383" t="str">
        <f ca="1">IFERROR(VLOOKUP(Network_Agent_United_States[[#This Row],[iWatch '#]],INDIRECT('Defined Ranges'!$C$28&amp;"ROrder"&amp;'Defined Ranges'!$C$29),3,FALSE),"")</f>
        <v/>
      </c>
      <c r="AQ6" s="99">
        <f ca="1">'Defined Ranges'!$D$23+1</f>
        <v>42</v>
      </c>
      <c r="AR6" s="99" t="str" cm="1">
        <f t="array" ref="AR6">_xlfn.IFS(LSelected="English",Network_Agent_United_States[[#This Row],[Verification Type English]],LSelected="Spanish",Network_Agent_United_States[[#This Row],[Verification Type Spanish]],LSelected="French",Network_Agent_United_States[[#This Row],[Verification Type French]],LSelected="Portuguese",Network_Agent_United_States[[#This Row],[Verification Type Portuguese]])</f>
        <v>Protección del Consumidor</v>
      </c>
      <c r="AS6" s="99" t="str" cm="1">
        <f t="array" ref="AS6">_xlfn.IFS(SScript="English",Network_Agent_United_States[[#This Row],[Suggested script English]],SScript="Spanish",Network_Agent_United_States[[#This Row],[Suggested script Spanish]],SScript="French",Network_Agent_United_States[[#This Row],[Suggested script French]],SScript="Portuguese",Network_Agent_United_States[[#This Row],[Suggested script Portuguese]])</f>
        <v xml:space="preserve">Let’s say I am a consumer who is sending $300 outside the United States, before I can pay the transaction the system prints the Pre- Transaction Disclosure Statement (PDS), what do you do with it?
</v>
      </c>
      <c r="AT6" s="99"/>
      <c r="AU6" s="99"/>
      <c r="AV6" s="354" t="s">
        <v>585</v>
      </c>
      <c r="AW6" s="99" t="s">
        <v>159</v>
      </c>
      <c r="AX6" s="99" t="s">
        <v>586</v>
      </c>
      <c r="AY6" s="353" t="s">
        <v>160</v>
      </c>
      <c r="AZ6" s="99" t="s">
        <v>587</v>
      </c>
      <c r="BA6" s="353" t="s">
        <v>161</v>
      </c>
      <c r="BB6" s="99" t="s">
        <v>42</v>
      </c>
      <c r="BC6" s="353" t="s">
        <v>588</v>
      </c>
      <c r="BD6" s="99" t="s">
        <v>42</v>
      </c>
    </row>
    <row r="7" spans="4:56" outlineLevel="1">
      <c r="D7" s="103" t="s">
        <v>589</v>
      </c>
      <c r="E7" s="103" t="s">
        <v>590</v>
      </c>
      <c r="H7" s="103" t="s">
        <v>591</v>
      </c>
      <c r="I7" s="103" t="s">
        <v>42</v>
      </c>
      <c r="J7" s="103" t="s">
        <v>42</v>
      </c>
      <c r="K7" s="103" t="s">
        <v>42</v>
      </c>
      <c r="L7" s="389">
        <f>IF('Gen Info'!$B$7=0,"",'Gen Info'!$B$7)</f>
        <v>45902</v>
      </c>
      <c r="M7" s="103">
        <f ca="1">IFERROR(VLOOKUP(Network_Agent[[#This Row],[iWatch '#]],INDIRECT('Defined Ranges'!$C$28&amp;"Order"&amp;'Defined Ranges'!$C$29),2,FALSE),"")</f>
        <v>2</v>
      </c>
      <c r="N7" s="103">
        <f ca="1">IFERROR(VLOOKUP(Network_Agent[[#This Row],[iWatch '#]],INDIRECT('Defined Ranges'!$C$28&amp;"Order"&amp;'Defined Ranges'!$C$29),3,FALSE),"")</f>
        <v>2</v>
      </c>
      <c r="O7" s="103">
        <f t="shared" ref="O7:O46" si="0">O6+1</f>
        <v>2</v>
      </c>
      <c r="P7" s="103" cm="1">
        <f t="array" ref="P7">_xlfn.IFS(LSelected="English",Network_Agent[[#This Row],[Verification Type English]],LSelected="Spanish",Network_Agent[[#This Row],[Verification Type Spanish]],LSelected="French",Network_Agent[[#This Row],[Verification Type French]],LSelected="Portuguese",Network_Agent[[#This Row],[Verification Type Portuguese]])</f>
        <v>0</v>
      </c>
      <c r="Q7" s="103" t="str" cm="1">
        <f t="array" ref="Q7">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 xml:space="preserve"> </v>
      </c>
      <c r="V7" s="103" t="s">
        <v>42</v>
      </c>
      <c r="W7" s="388"/>
      <c r="X7" s="103" t="s">
        <v>42</v>
      </c>
      <c r="Y7" s="99"/>
      <c r="Z7" s="99" t="s">
        <v>42</v>
      </c>
      <c r="AA7" s="382"/>
      <c r="AB7" s="103" t="s">
        <v>42</v>
      </c>
      <c r="AF7" s="353" t="s">
        <v>592</v>
      </c>
      <c r="AG7" s="99" t="s">
        <v>593</v>
      </c>
      <c r="AH7" s="383">
        <v>3</v>
      </c>
      <c r="AI7" s="99" t="s">
        <v>581</v>
      </c>
      <c r="AJ7" s="99" t="s">
        <v>594</v>
      </c>
      <c r="AK7" s="99" t="s">
        <v>595</v>
      </c>
      <c r="AL7" s="99"/>
      <c r="AM7" s="99" t="s">
        <v>584</v>
      </c>
      <c r="AN7" s="99"/>
      <c r="AO7" s="383" t="str">
        <f ca="1">IFERROR(VLOOKUP(Network_Agent_United_States[[#This Row],[iWatch '#]],INDIRECT('Defined Ranges'!$C$28&amp;"ROrder"&amp;'Defined Ranges'!$C$29),2,FALSE),"")</f>
        <v/>
      </c>
      <c r="AP7" s="383" t="str">
        <f ca="1">IFERROR(VLOOKUP(Network_Agent_United_States[[#This Row],[iWatch '#]],INDIRECT('Defined Ranges'!$C$28&amp;"ROrder"&amp;'Defined Ranges'!$C$29),3,FALSE),"")</f>
        <v/>
      </c>
      <c r="AQ7" s="99">
        <f ca="1">AQ6+1</f>
        <v>43</v>
      </c>
      <c r="AR7" s="99" t="str" cm="1">
        <f t="array" ref="AR7">_xlfn.IFS(LSelected="English",Network_Agent_United_States[[#This Row],[Verification Type English]],LSelected="Spanish",Network_Agent_United_States[[#This Row],[Verification Type Spanish]],LSelected="French",Network_Agent_United_States[[#This Row],[Verification Type French]],LSelected="Portuguese",Network_Agent_United_States[[#This Row],[Verification Type Portuguese]])</f>
        <v>Protección del Consumidor</v>
      </c>
      <c r="AS7" s="99" t="str" cm="1">
        <f t="array" ref="AS7">_xlfn.IFS(SScript="English",Network_Agent_United_States[[#This Row],[Suggested script English]],SScript="Spanish",Network_Agent_United_States[[#This Row],[Suggested script Spanish]],SScript="French",Network_Agent_United_States[[#This Row],[Suggested script French]],SScript="Portuguese",Network_Agent_United_States[[#This Row],[Suggested script Portuguese]])</f>
        <v>If a consumer wants to cancel a transaction, how do you process this?              
                                                                                           (Through WUPOS OR by calling on behalf of the consumer to WU 1-800-435-2227)</v>
      </c>
      <c r="AT7" s="99"/>
      <c r="AU7" s="99"/>
      <c r="AV7" s="354" t="s">
        <v>585</v>
      </c>
      <c r="AW7" s="99" t="s">
        <v>159</v>
      </c>
      <c r="AX7" s="99" t="s">
        <v>596</v>
      </c>
      <c r="AY7" s="353" t="s">
        <v>160</v>
      </c>
      <c r="AZ7" s="99" t="s">
        <v>597</v>
      </c>
      <c r="BA7" s="353" t="s">
        <v>161</v>
      </c>
      <c r="BB7" s="99" t="s">
        <v>42</v>
      </c>
      <c r="BC7" s="353" t="s">
        <v>588</v>
      </c>
      <c r="BD7" s="99" t="s">
        <v>42</v>
      </c>
    </row>
    <row r="8" spans="4:56" outlineLevel="1">
      <c r="D8" s="103" t="s">
        <v>598</v>
      </c>
      <c r="E8" s="103" t="s">
        <v>599</v>
      </c>
      <c r="H8" s="103" t="s">
        <v>600</v>
      </c>
      <c r="I8" s="103" t="s">
        <v>42</v>
      </c>
      <c r="J8" s="103" t="s">
        <v>42</v>
      </c>
      <c r="K8" s="103" t="s">
        <v>42</v>
      </c>
      <c r="L8" s="387" t="str">
        <f>'Call Flow'!$L$5</f>
        <v>Carlos Eduardo
carlos.cedillo@progressa.mx</v>
      </c>
      <c r="M8" s="103">
        <f ca="1">IFERROR(VLOOKUP(Network_Agent[[#This Row],[iWatch '#]],INDIRECT('Defined Ranges'!$C$28&amp;"Order"&amp;'Defined Ranges'!$C$29),2,FALSE),"")</f>
        <v>3</v>
      </c>
      <c r="N8" s="103">
        <f ca="1">IFERROR(VLOOKUP(Network_Agent[[#This Row],[iWatch '#]],INDIRECT('Defined Ranges'!$C$28&amp;"Order"&amp;'Defined Ranges'!$C$29),3,FALSE),"")</f>
        <v>3</v>
      </c>
      <c r="O8" s="103">
        <f t="shared" si="0"/>
        <v>3</v>
      </c>
      <c r="P8" s="103" cm="1">
        <f t="array" ref="P8">_xlfn.IFS(LSelected="English",Network_Agent[[#This Row],[Verification Type English]],LSelected="Spanish",Network_Agent[[#This Row],[Verification Type Spanish]],LSelected="French",Network_Agent[[#This Row],[Verification Type French]],LSelected="Portuguese",Network_Agent[[#This Row],[Verification Type Portuguese]])</f>
        <v>0</v>
      </c>
      <c r="Q8" s="103" t="str" cm="1">
        <f t="array" ref="Q8">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 xml:space="preserve"> </v>
      </c>
      <c r="V8" s="103" t="s">
        <v>42</v>
      </c>
      <c r="W8" s="388"/>
      <c r="X8" s="103" t="s">
        <v>42</v>
      </c>
      <c r="Y8" s="99"/>
      <c r="Z8" s="99" t="s">
        <v>42</v>
      </c>
      <c r="AA8" s="382"/>
      <c r="AB8" s="103" t="s">
        <v>42</v>
      </c>
      <c r="AF8" s="353" t="s">
        <v>601</v>
      </c>
      <c r="AG8" s="99" t="s">
        <v>602</v>
      </c>
      <c r="AH8" s="383">
        <v>3</v>
      </c>
      <c r="AI8" s="99" t="s">
        <v>581</v>
      </c>
      <c r="AJ8" s="99" t="s">
        <v>603</v>
      </c>
      <c r="AK8" s="99" t="s">
        <v>604</v>
      </c>
      <c r="AL8" s="99"/>
      <c r="AM8" s="99" t="s">
        <v>584</v>
      </c>
      <c r="AN8" s="99"/>
      <c r="AO8" s="383" t="str">
        <f ca="1">IFERROR(VLOOKUP(Network_Agent_United_States[[#This Row],[iWatch '#]],INDIRECT('Defined Ranges'!$C$28&amp;"ROrder"&amp;'Defined Ranges'!$C$29),2,FALSE),"")</f>
        <v/>
      </c>
      <c r="AP8" s="383" t="str">
        <f ca="1">IFERROR(VLOOKUP(Network_Agent_United_States[[#This Row],[iWatch '#]],INDIRECT('Defined Ranges'!$C$28&amp;"ROrder"&amp;'Defined Ranges'!$C$29),3,FALSE),"")</f>
        <v/>
      </c>
      <c r="AQ8" s="99">
        <f t="shared" ref="AQ8:AQ19" ca="1" si="1">AQ7+1</f>
        <v>44</v>
      </c>
      <c r="AR8" s="99" t="str" cm="1">
        <f t="array" ref="AR8">_xlfn.IFS(LSelected="English",Network_Agent_United_States[[#This Row],[Verification Type English]],LSelected="Spanish",Network_Agent_United_States[[#This Row],[Verification Type Spanish]],LSelected="French",Network_Agent_United_States[[#This Row],[Verification Type French]],LSelected="Portuguese",Network_Agent_United_States[[#This Row],[Verification Type Portuguese]])</f>
        <v>Protección del Consumidor</v>
      </c>
      <c r="AS8" s="99" t="str" cm="1">
        <f t="array" ref="AS8">_xlfn.IFS(SScript="English",Network_Agent_United_States[[#This Row],[Suggested script English]],SScript="Spanish",Network_Agent_United_States[[#This Row],[Suggested script Spanish]],SScript="French",Network_Agent_United_States[[#This Row],[Suggested script French]],SScript="Portuguese",Network_Agent_United_States[[#This Row],[Suggested script Portuguese]])</f>
        <v>What happens if a consumer has a complaint about WU, how do you handle it? 
(Through WUPOS in the other services option complaints and fill out the consumer complaint form and submit it OR by calling on behalf of the consumer to 1-800-435-2227) Also in WU.com.</v>
      </c>
      <c r="AT8" s="99"/>
      <c r="AU8" s="99"/>
      <c r="AV8" s="354" t="s">
        <v>585</v>
      </c>
      <c r="AW8" s="99" t="s">
        <v>159</v>
      </c>
      <c r="AX8" s="99" t="s">
        <v>605</v>
      </c>
      <c r="AY8" s="353" t="s">
        <v>160</v>
      </c>
      <c r="AZ8" s="99" t="s">
        <v>606</v>
      </c>
      <c r="BA8" s="353" t="s">
        <v>161</v>
      </c>
      <c r="BB8" s="99" t="s">
        <v>42</v>
      </c>
      <c r="BC8" s="353" t="s">
        <v>588</v>
      </c>
      <c r="BD8" s="99" t="s">
        <v>42</v>
      </c>
    </row>
    <row r="9" spans="4:56" outlineLevel="1">
      <c r="D9" s="103" t="s">
        <v>607</v>
      </c>
      <c r="E9" s="103" t="s">
        <v>608</v>
      </c>
      <c r="F9" s="103">
        <v>2</v>
      </c>
      <c r="G9" s="103" t="s">
        <v>609</v>
      </c>
      <c r="H9" s="103" t="s">
        <v>610</v>
      </c>
      <c r="I9" s="103" t="s">
        <v>611</v>
      </c>
      <c r="J9" s="103" t="s">
        <v>42</v>
      </c>
      <c r="K9" s="103" t="s">
        <v>42</v>
      </c>
      <c r="L9" s="103" t="s">
        <v>42</v>
      </c>
      <c r="M9" s="103">
        <f ca="1">IFERROR(VLOOKUP(Network_Agent[[#This Row],[iWatch '#]],INDIRECT('Defined Ranges'!$C$28&amp;"Order"&amp;'Defined Ranges'!$C$29),2,FALSE),"")</f>
        <v>39</v>
      </c>
      <c r="N9" s="103">
        <f ca="1">IFERROR(VLOOKUP(Network_Agent[[#This Row],[iWatch '#]],INDIRECT('Defined Ranges'!$C$28&amp;"Order"&amp;'Defined Ranges'!$C$29),3,FALSE),"")</f>
        <v>4</v>
      </c>
      <c r="O9" s="103">
        <f t="shared" si="0"/>
        <v>4</v>
      </c>
      <c r="P9" s="103" cm="1">
        <f t="array" ref="P9">_xlfn.IFS(LSelected="English",Network_Agent[[#This Row],[Verification Type English]],LSelected="Spanish",Network_Agent[[#This Row],[Verification Type Spanish]],LSelected="French",Network_Agent[[#This Row],[Verification Type French]],LSelected="Portuguese",Network_Agent[[#This Row],[Verification Type Portuguese]])</f>
        <v>0</v>
      </c>
      <c r="Q9" s="103" t="str" cm="1">
        <f t="array" ref="Q9">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 xml:space="preserve"> </v>
      </c>
      <c r="V9" s="103" t="s">
        <v>42</v>
      </c>
      <c r="W9" s="388"/>
      <c r="X9" s="103" t="s">
        <v>42</v>
      </c>
      <c r="Y9" s="99"/>
      <c r="Z9" s="99" t="s">
        <v>42</v>
      </c>
      <c r="AA9" s="382"/>
      <c r="AB9" s="103" t="s">
        <v>42</v>
      </c>
      <c r="AF9" s="353" t="s">
        <v>612</v>
      </c>
      <c r="AG9" s="99" t="s">
        <v>613</v>
      </c>
      <c r="AH9" s="383">
        <v>3</v>
      </c>
      <c r="AI9" s="99" t="s">
        <v>581</v>
      </c>
      <c r="AJ9" s="99" t="s">
        <v>614</v>
      </c>
      <c r="AK9" s="99" t="s">
        <v>615</v>
      </c>
      <c r="AL9" s="99"/>
      <c r="AM9" s="99" t="s">
        <v>584</v>
      </c>
      <c r="AN9" s="99"/>
      <c r="AO9" s="383" t="str">
        <f ca="1">IFERROR(VLOOKUP(Network_Agent_United_States[[#This Row],[iWatch '#]],INDIRECT('Defined Ranges'!$C$28&amp;"ROrder"&amp;'Defined Ranges'!$C$29),2,FALSE),"")</f>
        <v/>
      </c>
      <c r="AP9" s="383" t="str">
        <f ca="1">IFERROR(VLOOKUP(Network_Agent_United_States[[#This Row],[iWatch '#]],INDIRECT('Defined Ranges'!$C$28&amp;"ROrder"&amp;'Defined Ranges'!$C$29),3,FALSE),"")</f>
        <v/>
      </c>
      <c r="AQ9" s="99">
        <f t="shared" ca="1" si="1"/>
        <v>45</v>
      </c>
      <c r="AR9" s="99" t="str" cm="1">
        <f t="array" ref="AR9">_xlfn.IFS(LSelected="English",Network_Agent_United_States[[#This Row],[Verification Type English]],LSelected="Spanish",Network_Agent_United_States[[#This Row],[Verification Type Spanish]],LSelected="French",Network_Agent_United_States[[#This Row],[Verification Type French]],LSelected="Portuguese",Network_Agent_United_States[[#This Row],[Verification Type Portuguese]])</f>
        <v>Protección del Consumidor</v>
      </c>
      <c r="AS9" s="99" t="str" cm="1">
        <f t="array" ref="AS9">_xlfn.IFS(SScript="English",Network_Agent_United_States[[#This Row],[Suggested script English]],SScript="Spanish",Network_Agent_United_States[[#This Row],[Suggested script Spanish]],SScript="French",Network_Agent_United_States[[#This Row],[Suggested script French]],SScript="Portuguese",Network_Agent_United_States[[#This Row],[Suggested script Portuguese]])</f>
        <v>If a client wants to know what rights they have regarding the Western Union services do you know where to find this information? There is a document that explains the client’s rights called the Error Resolution and Cancellation Rights…do you know where to find it?</v>
      </c>
      <c r="AT9" s="99"/>
      <c r="AU9" s="99"/>
      <c r="AV9" s="354" t="s">
        <v>585</v>
      </c>
      <c r="AW9" s="99" t="s">
        <v>159</v>
      </c>
      <c r="AX9" s="99" t="s">
        <v>616</v>
      </c>
      <c r="AY9" s="353" t="s">
        <v>160</v>
      </c>
      <c r="AZ9" s="99" t="s">
        <v>617</v>
      </c>
      <c r="BA9" s="353" t="s">
        <v>161</v>
      </c>
      <c r="BB9" s="99" t="s">
        <v>42</v>
      </c>
      <c r="BC9" s="353" t="s">
        <v>588</v>
      </c>
      <c r="BD9" s="99" t="s">
        <v>42</v>
      </c>
    </row>
    <row r="10" spans="4:56" outlineLevel="1">
      <c r="D10" s="103" t="s">
        <v>618</v>
      </c>
      <c r="E10" s="103" t="s">
        <v>619</v>
      </c>
      <c r="H10" s="103" t="s">
        <v>620</v>
      </c>
      <c r="I10" s="103" t="s">
        <v>42</v>
      </c>
      <c r="J10" s="103" t="s">
        <v>42</v>
      </c>
      <c r="K10" s="103" t="s">
        <v>42</v>
      </c>
      <c r="L10" s="103" t="s">
        <v>42</v>
      </c>
      <c r="M10" s="103">
        <f ca="1">IFERROR(VLOOKUP(Network_Agent[[#This Row],[iWatch '#]],INDIRECT('Defined Ranges'!$C$28&amp;"Order"&amp;'Defined Ranges'!$C$29),2,FALSE),"")</f>
        <v>40</v>
      </c>
      <c r="N10" s="103">
        <f ca="1">IFERROR(VLOOKUP(Network_Agent[[#This Row],[iWatch '#]],INDIRECT('Defined Ranges'!$C$28&amp;"Order"&amp;'Defined Ranges'!$C$29),3,FALSE),"")</f>
        <v>5</v>
      </c>
      <c r="O10" s="103">
        <f t="shared" si="0"/>
        <v>5</v>
      </c>
      <c r="P10" s="103" cm="1">
        <f t="array" ref="P10">_xlfn.IFS(LSelected="English",Network_Agent[[#This Row],[Verification Type English]],LSelected="Spanish",Network_Agent[[#This Row],[Verification Type Spanish]],LSelected="French",Network_Agent[[#This Row],[Verification Type French]],LSelected="Portuguese",Network_Agent[[#This Row],[Verification Type Portuguese]])</f>
        <v>0</v>
      </c>
      <c r="Q10" s="103" t="str" cm="1">
        <f t="array" ref="Q10">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 xml:space="preserve"> </v>
      </c>
      <c r="V10" s="103" t="s">
        <v>42</v>
      </c>
      <c r="W10" s="388"/>
      <c r="X10" s="103" t="s">
        <v>42</v>
      </c>
      <c r="Y10" s="99"/>
      <c r="Z10" s="99" t="s">
        <v>42</v>
      </c>
      <c r="AA10" s="382"/>
      <c r="AB10" s="103" t="s">
        <v>42</v>
      </c>
      <c r="AF10" s="353" t="s">
        <v>621</v>
      </c>
      <c r="AG10" s="99" t="s">
        <v>622</v>
      </c>
      <c r="AH10" s="383">
        <v>3</v>
      </c>
      <c r="AI10" s="99" t="s">
        <v>581</v>
      </c>
      <c r="AJ10" s="99" t="s">
        <v>623</v>
      </c>
      <c r="AK10" s="99" t="s">
        <v>624</v>
      </c>
      <c r="AL10" s="99"/>
      <c r="AM10" s="99" t="s">
        <v>625</v>
      </c>
      <c r="AN10" s="99"/>
      <c r="AO10" s="383" t="str">
        <f ca="1">IFERROR(VLOOKUP(Network_Agent_United_States[[#This Row],[iWatch '#]],INDIRECT('Defined Ranges'!$C$28&amp;"ROrder"&amp;'Defined Ranges'!$C$29),2,FALSE),"")</f>
        <v/>
      </c>
      <c r="AP10" s="383" t="str">
        <f ca="1">IFERROR(VLOOKUP(Network_Agent_United_States[[#This Row],[iWatch '#]],INDIRECT('Defined Ranges'!$C$28&amp;"ROrder"&amp;'Defined Ranges'!$C$29),3,FALSE),"")</f>
        <v/>
      </c>
      <c r="AQ10" s="99">
        <f t="shared" ca="1" si="1"/>
        <v>46</v>
      </c>
      <c r="AR10" s="99" t="str" cm="1">
        <f t="array" ref="AR10">_xlfn.IFS(LSelected="English",Network_Agent_United_States[[#This Row],[Verification Type English]],LSelected="Spanish",Network_Agent_United_States[[#This Row],[Verification Type Spanish]],LSelected="French",Network_Agent_United_States[[#This Row],[Verification Type French]],LSelected="Portuguese",Network_Agent_United_States[[#This Row],[Verification Type Portuguese]])</f>
        <v>Protección del Consumidor</v>
      </c>
      <c r="AS10" s="99" t="str" cm="1">
        <f t="array" ref="AS10">_xlfn.IFS(SScript="English",Network_Agent_United_States[[#This Row],[Suggested script English]],SScript="Spanish",Network_Agent_United_States[[#This Row],[Suggested script Spanish]],SScript="French",Network_Agent_United_States[[#This Row],[Suggested script French]],SScript="Portuguese",Network_Agent_United_States[[#This Row],[Suggested script Portuguese]])</f>
        <v>In what languages are your Advertising/marketing signs displayed at the location?   English, Spanish, Chinese or French Creole</v>
      </c>
      <c r="AT10" s="99"/>
      <c r="AU10" s="99"/>
      <c r="AV10" s="354" t="s">
        <v>585</v>
      </c>
      <c r="AW10" s="99" t="s">
        <v>159</v>
      </c>
      <c r="AX10" s="99" t="s">
        <v>626</v>
      </c>
      <c r="AY10" s="353" t="s">
        <v>160</v>
      </c>
      <c r="AZ10" s="99" t="s">
        <v>627</v>
      </c>
      <c r="BA10" s="353" t="s">
        <v>161</v>
      </c>
      <c r="BB10" s="99" t="s">
        <v>42</v>
      </c>
      <c r="BC10" s="353" t="s">
        <v>588</v>
      </c>
      <c r="BD10" s="99" t="s">
        <v>42</v>
      </c>
    </row>
    <row r="11" spans="4:56" outlineLevel="1">
      <c r="D11" s="103" t="s">
        <v>628</v>
      </c>
      <c r="E11" s="103" t="s">
        <v>629</v>
      </c>
      <c r="M11" s="103">
        <f ca="1">IFERROR(VLOOKUP(Network_Agent[[#This Row],[iWatch '#]],INDIRECT('Defined Ranges'!$C$28&amp;"Order"&amp;'Defined Ranges'!$C$29),2,FALSE),"")</f>
        <v>41</v>
      </c>
      <c r="N11" s="103">
        <f ca="1">IFERROR(VLOOKUP(Network_Agent[[#This Row],[iWatch '#]],INDIRECT('Defined Ranges'!$C$28&amp;"Order"&amp;'Defined Ranges'!$C$29),3,FALSE),"")</f>
        <v>6</v>
      </c>
      <c r="O11" s="103">
        <f t="shared" si="0"/>
        <v>6</v>
      </c>
      <c r="P11" s="103" cm="1">
        <f t="array" ref="P11">_xlfn.IFS(LSelected="English",Network_Agent[[#This Row],[Verification Type English]],LSelected="Spanish",Network_Agent[[#This Row],[Verification Type Spanish]],LSelected="French",Network_Agent[[#This Row],[Verification Type French]],LSelected="Portuguese",Network_Agent[[#This Row],[Verification Type Portuguese]])</f>
        <v>0</v>
      </c>
      <c r="Q11" s="103" t="str" cm="1">
        <f t="array" ref="Q11">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 xml:space="preserve"> </v>
      </c>
      <c r="V11" s="103" t="s">
        <v>42</v>
      </c>
      <c r="W11" s="388"/>
      <c r="Y11" s="99"/>
      <c r="Z11" s="99"/>
      <c r="AA11" s="382"/>
      <c r="AF11" s="353" t="s">
        <v>630</v>
      </c>
      <c r="AG11" s="99" t="s">
        <v>631</v>
      </c>
      <c r="AH11" s="383">
        <v>3</v>
      </c>
      <c r="AI11" s="99" t="s">
        <v>581</v>
      </c>
      <c r="AJ11" s="99" t="s">
        <v>632</v>
      </c>
      <c r="AK11" s="99" t="s">
        <v>633</v>
      </c>
      <c r="AL11" s="99"/>
      <c r="AM11" s="99" t="s">
        <v>634</v>
      </c>
      <c r="AN11" s="99"/>
      <c r="AO11" s="383" t="str">
        <f ca="1">IFERROR(VLOOKUP(Network_Agent_United_States[[#This Row],[iWatch '#]],INDIRECT('Defined Ranges'!$C$28&amp;"ROrder"&amp;'Defined Ranges'!$C$29),2,FALSE),"")</f>
        <v/>
      </c>
      <c r="AP11" s="383" t="str">
        <f ca="1">IFERROR(VLOOKUP(Network_Agent_United_States[[#This Row],[iWatch '#]],INDIRECT('Defined Ranges'!$C$28&amp;"ROrder"&amp;'Defined Ranges'!$C$29),3,FALSE),"")</f>
        <v/>
      </c>
      <c r="AQ11" s="99">
        <f t="shared" ca="1" si="1"/>
        <v>47</v>
      </c>
      <c r="AR11" s="99" t="str" cm="1">
        <f t="array" ref="AR11">_xlfn.IFS(LSelected="English",Network_Agent_United_States[[#This Row],[Verification Type English]],LSelected="Spanish",Network_Agent_United_States[[#This Row],[Verification Type Spanish]],LSelected="French",Network_Agent_United_States[[#This Row],[Verification Type French]],LSelected="Portuguese",Network_Agent_United_States[[#This Row],[Verification Type Portuguese]])</f>
        <v>Disponibilidad de la Localidad</v>
      </c>
      <c r="AS11" s="99" t="str" cm="1">
        <f t="array" ref="AS11">_xlfn.IFS(SScript="English",Network_Agent_United_States[[#This Row],[Suggested script English]],SScript="Spanish",Network_Agent_United_States[[#This Row],[Suggested script Spanish]],SScript="French",Network_Agent_United_States[[#This Row],[Suggested script French]],SScript="Portuguese",Network_Agent_United_States[[#This Row],[Suggested script Portuguese]])</f>
        <v>For the state of XXX there are some state requirements you need to have.
Do you have them?
Can you please read what the notices states?
OR IF AGENT IS AT THE STORE, can you read to me what the sign says?                                            Do you offer any other financial services such as check cashing, travelers checks or currency exchange for more than $1000? IF YES please send the MSB registration.</v>
      </c>
      <c r="AT11" s="99"/>
      <c r="AU11" s="99"/>
      <c r="AV11" s="383" t="s">
        <v>585</v>
      </c>
      <c r="AW11" s="99" t="s">
        <v>141</v>
      </c>
      <c r="AX11" s="99" t="s">
        <v>635</v>
      </c>
      <c r="AY11" s="99" t="str">
        <f>IF('Gen Info'!$E$4="Spain","Preparación de la Localidad","Disponibilidad de la Localidad")</f>
        <v>Disponibilidad de la Localidad</v>
      </c>
      <c r="AZ11" s="99" t="s">
        <v>636</v>
      </c>
      <c r="BA11" s="99" t="s">
        <v>143</v>
      </c>
      <c r="BB11" s="99" t="s">
        <v>42</v>
      </c>
      <c r="BC11" s="353" t="s">
        <v>637</v>
      </c>
      <c r="BD11" s="99" t="s">
        <v>42</v>
      </c>
    </row>
    <row r="12" spans="4:56" outlineLevel="1">
      <c r="D12" s="103" t="s">
        <v>638</v>
      </c>
      <c r="E12" s="103" t="s">
        <v>639</v>
      </c>
      <c r="F12" s="103">
        <v>3</v>
      </c>
      <c r="G12" s="103" t="s">
        <v>640</v>
      </c>
      <c r="H12" s="103" t="s">
        <v>641</v>
      </c>
      <c r="I12" s="103" t="s">
        <v>642</v>
      </c>
      <c r="J12" s="103" t="s">
        <v>42</v>
      </c>
      <c r="K12" s="103" t="s">
        <v>643</v>
      </c>
      <c r="L12" s="103" t="s">
        <v>42</v>
      </c>
      <c r="M12" s="103">
        <f ca="1">IFERROR(VLOOKUP(Network_Agent[[#This Row],[iWatch '#]],INDIRECT('Defined Ranges'!$C$28&amp;"Order"&amp;'Defined Ranges'!$C$29),2,FALSE),"")</f>
        <v>4</v>
      </c>
      <c r="N12" s="103">
        <f ca="1">IFERROR(VLOOKUP(Network_Agent[[#This Row],[iWatch '#]],INDIRECT('Defined Ranges'!$C$28&amp;"Order"&amp;'Defined Ranges'!$C$29),3,FALSE),"")</f>
        <v>7</v>
      </c>
      <c r="O12" s="103">
        <f t="shared" si="0"/>
        <v>7</v>
      </c>
      <c r="P12" s="103" t="str" cm="1">
        <f t="array" ref="P12">_xlfn.IFS(LSelected="English",Network_Agent[[#This Row],[Verification Type English]],LSelected="Spanish",Network_Agent[[#This Row],[Verification Type Spanish]],LSelected="French",Network_Agent[[#This Row],[Verification Type French]],LSelected="Portuguese",Network_Agent[[#This Row],[Verification Type Portuguese]])</f>
        <v>Historial de Cumplimiento</v>
      </c>
      <c r="Q12" s="103" t="str" cm="1">
        <f t="array" ref="Q12">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Review the previous program review (if any), to determine if the Agent cleared all findings and remediation action items.</v>
      </c>
      <c r="T12" s="103" t="s">
        <v>644</v>
      </c>
      <c r="U12" s="103" t="s">
        <v>146</v>
      </c>
      <c r="V12" s="103" t="s">
        <v>645</v>
      </c>
      <c r="W12" s="388" t="s">
        <v>147</v>
      </c>
      <c r="X12" s="103" t="s">
        <v>645</v>
      </c>
      <c r="Y12" s="99" t="s">
        <v>148</v>
      </c>
      <c r="Z12" s="99" t="s">
        <v>645</v>
      </c>
      <c r="AA12" s="382" t="s">
        <v>149</v>
      </c>
      <c r="AB12" s="103" t="s">
        <v>645</v>
      </c>
      <c r="AF12" s="353" t="s">
        <v>646</v>
      </c>
      <c r="AG12" s="99" t="s">
        <v>647</v>
      </c>
      <c r="AH12" s="383">
        <v>2</v>
      </c>
      <c r="AI12" s="99" t="s">
        <v>609</v>
      </c>
      <c r="AJ12" s="99" t="s">
        <v>648</v>
      </c>
      <c r="AK12" s="99" t="s">
        <v>649</v>
      </c>
      <c r="AL12" s="99"/>
      <c r="AM12" s="99"/>
      <c r="AN12" s="99"/>
      <c r="AO12" s="383" t="str">
        <f ca="1">IFERROR(VLOOKUP(Network_Agent_United_States[[#This Row],[iWatch '#]],INDIRECT('Defined Ranges'!$C$28&amp;"ROrder"&amp;'Defined Ranges'!$C$29),2,FALSE),"")</f>
        <v/>
      </c>
      <c r="AP12" s="383" t="str">
        <f ca="1">IFERROR(VLOOKUP(Network_Agent_United_States[[#This Row],[iWatch '#]],INDIRECT('Defined Ranges'!$C$28&amp;"ROrder"&amp;'Defined Ranges'!$C$29),3,FALSE),"")</f>
        <v/>
      </c>
      <c r="AQ12" s="99">
        <f t="shared" ca="1" si="1"/>
        <v>48</v>
      </c>
      <c r="AR12" s="99" t="str" cm="1">
        <f t="array" ref="AR12">_xlfn.IFS(LSelected="English",Network_Agent_United_States[[#This Row],[Verification Type English]],LSelected="Spanish",Network_Agent_United_States[[#This Row],[Verification Type Spanish]],LSelected="French",Network_Agent_United_States[[#This Row],[Verification Type French]],LSelected="Portuguese",Network_Agent_United_States[[#This Row],[Verification Type Portuguese]])</f>
        <v>Conservación de Registros</v>
      </c>
      <c r="AS12" s="99" t="str" cm="1">
        <f t="array" ref="AS12">_xlfn.IFS(SScript="English",Network_Agent_United_States[[#This Row],[Suggested script English]],SScript="Spanish",Network_Agent_United_States[[#This Row],[Suggested script Spanish]],SScript="French",Network_Agent_United_States[[#This Row],[Suggested script French]],SScript="Portuguese",Network_Agent_United_States[[#This Row],[Suggested script Portuguese]])</f>
        <v>Do you know who to contact for stolen, lost documentation or system issues? 
(Contact HQ or WU.)</v>
      </c>
      <c r="AT12" s="99"/>
      <c r="AU12" s="99"/>
      <c r="AV12" s="383" t="s">
        <v>644</v>
      </c>
      <c r="AW12" s="99" t="s">
        <v>193</v>
      </c>
      <c r="AX12" s="99" t="s">
        <v>650</v>
      </c>
      <c r="AY12" s="99" t="str">
        <f>IF('Gen Info'!$E$4="Spain","Mantenimiento de Registros","Conservación de Registros")</f>
        <v>Conservación de Registros</v>
      </c>
      <c r="AZ12" s="99" t="s">
        <v>651</v>
      </c>
      <c r="BA12" s="99" t="s">
        <v>195</v>
      </c>
      <c r="BB12" s="99" t="s">
        <v>42</v>
      </c>
      <c r="BC12" s="99" t="s">
        <v>196</v>
      </c>
      <c r="BD12" s="99" t="s">
        <v>42</v>
      </c>
    </row>
    <row r="13" spans="4:56" outlineLevel="1">
      <c r="D13" s="103" t="s">
        <v>652</v>
      </c>
      <c r="E13" s="103" t="s">
        <v>653</v>
      </c>
      <c r="G13" s="103" t="s">
        <v>654</v>
      </c>
      <c r="H13" s="103" t="s">
        <v>42</v>
      </c>
      <c r="I13" s="103" t="s">
        <v>42</v>
      </c>
      <c r="J13" s="103" t="s">
        <v>42</v>
      </c>
      <c r="K13" s="103" t="s">
        <v>42</v>
      </c>
      <c r="L13" s="103" t="s">
        <v>42</v>
      </c>
      <c r="M13" s="103">
        <f ca="1">IFERROR(VLOOKUP(Network_Agent[[#This Row],[iWatch '#]],INDIRECT('Defined Ranges'!$C$28&amp;"Order"&amp;'Defined Ranges'!$C$29),2,FALSE),"")</f>
        <v>5</v>
      </c>
      <c r="N13" s="103">
        <f ca="1">IFERROR(VLOOKUP(Network_Agent[[#This Row],[iWatch '#]],INDIRECT('Defined Ranges'!$C$28&amp;"Order"&amp;'Defined Ranges'!$C$29),3,FALSE),"")</f>
        <v>8</v>
      </c>
      <c r="O13" s="103">
        <f t="shared" si="0"/>
        <v>8</v>
      </c>
      <c r="P13" s="103" cm="1">
        <f t="array" ref="P13">_xlfn.IFS(LSelected="English",Network_Agent[[#This Row],[Verification Type English]],LSelected="Spanish",Network_Agent[[#This Row],[Verification Type Spanish]],LSelected="French",Network_Agent[[#This Row],[Verification Type French]],LSelected="Portuguese",Network_Agent[[#This Row],[Verification Type Portuguese]])</f>
        <v>0</v>
      </c>
      <c r="Q13" s="103" t="str" cm="1">
        <f t="array" ref="Q13">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 xml:space="preserve"> </v>
      </c>
      <c r="V13" s="103" t="s">
        <v>42</v>
      </c>
      <c r="W13" s="388"/>
      <c r="X13" s="103" t="s">
        <v>42</v>
      </c>
      <c r="Y13" s="99"/>
      <c r="Z13" s="99" t="s">
        <v>42</v>
      </c>
      <c r="AA13" s="382"/>
      <c r="AB13" s="103" t="s">
        <v>42</v>
      </c>
      <c r="AF13" s="353" t="s">
        <v>655</v>
      </c>
      <c r="AG13" s="99" t="s">
        <v>656</v>
      </c>
      <c r="AH13" s="383">
        <v>2</v>
      </c>
      <c r="AI13" s="99" t="s">
        <v>609</v>
      </c>
      <c r="AJ13" s="99" t="s">
        <v>657</v>
      </c>
      <c r="AK13" s="99" t="s">
        <v>658</v>
      </c>
      <c r="AL13" s="99"/>
      <c r="AM13" s="99"/>
      <c r="AN13" s="99"/>
      <c r="AO13" s="383" t="str">
        <f ca="1">IFERROR(VLOOKUP(Network_Agent_United_States[[#This Row],[iWatch '#]],INDIRECT('Defined Ranges'!$C$28&amp;"ROrder"&amp;'Defined Ranges'!$C$29),2,FALSE),"")</f>
        <v/>
      </c>
      <c r="AP13" s="383" t="str">
        <f ca="1">IFERROR(VLOOKUP(Network_Agent_United_States[[#This Row],[iWatch '#]],INDIRECT('Defined Ranges'!$C$28&amp;"ROrder"&amp;'Defined Ranges'!$C$29),3,FALSE),"")</f>
        <v/>
      </c>
      <c r="AQ13" s="99">
        <f t="shared" ca="1" si="1"/>
        <v>49</v>
      </c>
      <c r="AR13" s="99" t="str" cm="1">
        <f t="array" ref="AR13">_xlfn.IFS(LSelected="English",Network_Agent_United_States[[#This Row],[Verification Type English]],LSelected="Spanish",Network_Agent_United_States[[#This Row],[Verification Type Spanish]],LSelected="French",Network_Agent_United_States[[#This Row],[Verification Type French]],LSelected="Portuguese",Network_Agent_United_States[[#This Row],[Verification Type Portuguese]])</f>
        <v>Conservación de Registros</v>
      </c>
      <c r="AS13" s="99" t="str" cm="1">
        <f t="array" ref="AS13">_xlfn.IFS(SScript="English",Network_Agent_United_States[[#This Row],[Suggested script English]],SScript="Spanish",Network_Agent_United_States[[#This Row],[Suggested script Spanish]],SScript="French",Network_Agent_United_States[[#This Row],[Suggested script French]],SScript="Portuguese",Network_Agent_United_States[[#This Row],[Suggested script Portuguese]])</f>
        <v>How would you respond to a consumer’s question about their privacy, for example: “How do I know you will not sell or provide my personal information to a third party (such as my SSN or ID information)?”.</v>
      </c>
      <c r="AT13" s="99"/>
      <c r="AU13" s="99"/>
      <c r="AV13" s="383" t="s">
        <v>644</v>
      </c>
      <c r="AW13" s="99" t="s">
        <v>193</v>
      </c>
      <c r="AX13" s="99" t="s">
        <v>659</v>
      </c>
      <c r="AY13" s="99" t="str">
        <f>IF('Gen Info'!$E$4="Spain","Mantenimiento de Registros","Conservación de Registros")</f>
        <v>Conservación de Registros</v>
      </c>
      <c r="AZ13" s="99" t="s">
        <v>660</v>
      </c>
      <c r="BA13" s="99" t="s">
        <v>195</v>
      </c>
      <c r="BB13" s="99" t="s">
        <v>42</v>
      </c>
      <c r="BC13" s="99" t="s">
        <v>196</v>
      </c>
      <c r="BD13" s="99" t="s">
        <v>42</v>
      </c>
    </row>
    <row r="14" spans="4:56" outlineLevel="1">
      <c r="D14" s="103" t="s">
        <v>661</v>
      </c>
      <c r="E14" s="103" t="s">
        <v>662</v>
      </c>
      <c r="F14" s="103">
        <v>2</v>
      </c>
      <c r="G14" s="103" t="s">
        <v>609</v>
      </c>
      <c r="H14" s="103" t="s">
        <v>663</v>
      </c>
      <c r="I14" s="103" t="s">
        <v>664</v>
      </c>
      <c r="J14" s="103" t="s">
        <v>42</v>
      </c>
      <c r="K14" s="103" t="s">
        <v>42</v>
      </c>
      <c r="L14" s="103" t="s">
        <v>42</v>
      </c>
      <c r="M14" s="103">
        <f ca="1">IFERROR(VLOOKUP(Network_Agent[[#This Row],[iWatch '#]],INDIRECT('Defined Ranges'!$C$28&amp;"Order"&amp;'Defined Ranges'!$C$29),2,FALSE),"")</f>
        <v>6</v>
      </c>
      <c r="N14" s="103">
        <f ca="1">IFERROR(VLOOKUP(Network_Agent[[#This Row],[iWatch '#]],INDIRECT('Defined Ranges'!$C$28&amp;"Order"&amp;'Defined Ranges'!$C$29),3,FALSE),"")</f>
        <v>9</v>
      </c>
      <c r="O14" s="103">
        <f t="shared" si="0"/>
        <v>9</v>
      </c>
      <c r="P14" s="103" t="str" cm="1">
        <f t="array" ref="P14">_xlfn.IFS(LSelected="English",Network_Agent[[#This Row],[Verification Type English]],LSelected="Spanish",Network_Agent[[#This Row],[Verification Type Spanish]],LSelected="French",Network_Agent[[#This Row],[Verification Type French]],LSelected="Portuguese",Network_Agent[[#This Row],[Verification Type Portuguese]])</f>
        <v>Disponibilidad de la Localidad</v>
      </c>
      <c r="Q14" s="103" t="str" cm="1">
        <f t="array" ref="Q14">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Before getting started, let's go ahead and verify the name of the location, address and phone number.</v>
      </c>
      <c r="T14" s="103" t="s">
        <v>585</v>
      </c>
      <c r="U14" s="103" t="s">
        <v>141</v>
      </c>
      <c r="V14" s="103" t="s">
        <v>665</v>
      </c>
      <c r="W14" s="387" t="str">
        <f>IF('Gen Info'!$E$4="Spain","Preparación de la Localidad","Disponibilidad de la Localidad")</f>
        <v>Disponibilidad de la Localidad</v>
      </c>
      <c r="X14" s="103" t="s">
        <v>666</v>
      </c>
      <c r="Y14" s="104" t="str">
        <f>IF('Gen Info'!$E$4="Canada","État de préparation des agents","État de préparation de l'Agent")</f>
        <v>État de préparation de l'Agent</v>
      </c>
      <c r="Z14" s="353" t="s">
        <v>667</v>
      </c>
      <c r="AA14" s="382" t="s">
        <v>144</v>
      </c>
      <c r="AB14" s="103" t="s">
        <v>668</v>
      </c>
      <c r="AF14" s="353" t="s">
        <v>669</v>
      </c>
      <c r="AG14" s="99" t="s">
        <v>670</v>
      </c>
      <c r="AH14" s="383">
        <v>3</v>
      </c>
      <c r="AI14" s="99" t="s">
        <v>581</v>
      </c>
      <c r="AJ14" s="99" t="s">
        <v>671</v>
      </c>
      <c r="AK14" s="99" t="s">
        <v>672</v>
      </c>
      <c r="AL14" s="99"/>
      <c r="AM14" s="99" t="s">
        <v>673</v>
      </c>
      <c r="AN14" s="99"/>
      <c r="AO14" s="383" t="str">
        <f ca="1">IFERROR(VLOOKUP(Network_Agent_United_States[[#This Row],[iWatch '#]],INDIRECT('Defined Ranges'!$C$28&amp;"ROrder"&amp;'Defined Ranges'!$C$29),2,FALSE),"")</f>
        <v/>
      </c>
      <c r="AP14" s="383" t="str">
        <f ca="1">IFERROR(VLOOKUP(Network_Agent_United_States[[#This Row],[iWatch '#]],INDIRECT('Defined Ranges'!$C$28&amp;"ROrder"&amp;'Defined Ranges'!$C$29),3,FALSE),"")</f>
        <v/>
      </c>
      <c r="AQ14" s="99">
        <f t="shared" ca="1" si="1"/>
        <v>50</v>
      </c>
      <c r="AR14" s="99" t="str" cm="1">
        <f t="array" ref="AR14">_xlfn.IFS(LSelected="English",Network_Agent_United_States[[#This Row],[Verification Type English]],LSelected="Spanish",Network_Agent_United_States[[#This Row],[Verification Type Spanish]],LSelected="French",Network_Agent_United_States[[#This Row],[Verification Type French]],LSelected="Portuguese",Network_Agent_United_States[[#This Row],[Verification Type Portuguese]])</f>
        <v>Conocimiento de Operador - Actividad Sospechosa y Fraude</v>
      </c>
      <c r="AS14" s="99" t="str" cm="1">
        <f t="array" ref="AS14">_xlfn.IFS(SScript="English",Network_Agent_United_States[[#This Row],[Suggested script English]],SScript="Spanish",Network_Agent_United_States[[#This Row],[Suggested script Spanish]],SScript="French",Network_Agent_United_States[[#This Row],[Suggested script French]],SScript="Portuguese",Network_Agent_United_States[[#This Row],[Suggested script Portuguese]])</f>
        <v>How often do you read the telemarketing prompt on the screen to your customers? </v>
      </c>
      <c r="AT14" s="99"/>
      <c r="AU14" s="99"/>
      <c r="AV14" s="354" t="s">
        <v>585</v>
      </c>
      <c r="AW14" s="99" t="s">
        <v>163</v>
      </c>
      <c r="AX14" s="99" t="s">
        <v>674</v>
      </c>
      <c r="AY14" s="99" t="str">
        <f>IF('Gen Info'!$E$4="Spain","Conocimiento de Operador (FLA) - Actividad Sospechosa y Fraude","Conocimiento de Operador - Actividad Sospechosa y Fraude")</f>
        <v>Conocimiento de Operador - Actividad Sospechosa y Fraude</v>
      </c>
      <c r="AZ14" s="99" t="s">
        <v>675</v>
      </c>
      <c r="BA14" s="99" t="s">
        <v>165</v>
      </c>
      <c r="BB14" s="99" t="s">
        <v>42</v>
      </c>
      <c r="BC14" s="353" t="s">
        <v>676</v>
      </c>
      <c r="BD14" s="99" t="s">
        <v>42</v>
      </c>
    </row>
    <row r="15" spans="4:56" outlineLevel="1">
      <c r="D15" s="103" t="s">
        <v>677</v>
      </c>
      <c r="E15" s="103" t="s">
        <v>678</v>
      </c>
      <c r="F15" s="103">
        <v>3</v>
      </c>
      <c r="G15" s="103" t="s">
        <v>679</v>
      </c>
      <c r="H15" s="103" t="s">
        <v>680</v>
      </c>
      <c r="I15" s="103" t="s">
        <v>681</v>
      </c>
      <c r="J15" s="103" t="s">
        <v>42</v>
      </c>
      <c r="K15" s="103" t="s">
        <v>682</v>
      </c>
      <c r="L15" s="103" t="s">
        <v>42</v>
      </c>
      <c r="M15" s="103">
        <f ca="1">IFERROR(VLOOKUP(Network_Agent[[#This Row],[iWatch '#]],INDIRECT('Defined Ranges'!$C$28&amp;"Order"&amp;'Defined Ranges'!$C$29),2,FALSE),"")</f>
        <v>7</v>
      </c>
      <c r="N15" s="103">
        <f ca="1">IFERROR(VLOOKUP(Network_Agent[[#This Row],[iWatch '#]],INDIRECT('Defined Ranges'!$C$28&amp;"Order"&amp;'Defined Ranges'!$C$29),3,FALSE),"")</f>
        <v>10</v>
      </c>
      <c r="O15" s="103">
        <f t="shared" si="0"/>
        <v>10</v>
      </c>
      <c r="P15" s="103" t="str" cm="1">
        <f t="array" ref="P15">_xlfn.IFS(LSelected="English",Network_Agent[[#This Row],[Verification Type English]],LSelected="Spanish",Network_Agent[[#This Row],[Verification Type Spanish]],LSelected="French",Network_Agent[[#This Row],[Verification Type French]],LSelected="Portuguese",Network_Agent[[#This Row],[Verification Type Portuguese]])</f>
        <v>Disponibilidad de la Localidad</v>
      </c>
      <c r="Q15" s="103" t="str" cm="1">
        <f t="array" ref="Q15">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How many operators are authorized to process transactions and Money Orders? Does each operator use a unique user ID and password to process MTs/MOs?</v>
      </c>
      <c r="T15" s="103" t="s">
        <v>683</v>
      </c>
      <c r="U15" s="103" t="s">
        <v>141</v>
      </c>
      <c r="V15" s="103" t="s">
        <v>684</v>
      </c>
      <c r="W15" s="387" t="str">
        <f>IF('Gen Info'!$E$4="Spain","Preparación de la Localidad","Disponibilidad de la Localidad")</f>
        <v>Disponibilidad de la Localidad</v>
      </c>
      <c r="X15" s="103" t="s">
        <v>685</v>
      </c>
      <c r="Y15" s="104" t="str">
        <f>IF('Gen Info'!$E$4="Canada","État de préparation des agents","État de préparation de l'Agent")</f>
        <v>État de préparation de l'Agent</v>
      </c>
      <c r="Z15" s="99" t="s">
        <v>686</v>
      </c>
      <c r="AA15" s="382" t="s">
        <v>144</v>
      </c>
      <c r="AB15" s="103" t="s">
        <v>687</v>
      </c>
      <c r="AF15" s="353" t="s">
        <v>688</v>
      </c>
      <c r="AG15" s="99" t="s">
        <v>689</v>
      </c>
      <c r="AH15" s="383">
        <v>3</v>
      </c>
      <c r="AI15" s="99" t="s">
        <v>581</v>
      </c>
      <c r="AJ15" s="99" t="s">
        <v>690</v>
      </c>
      <c r="AK15" s="99" t="s">
        <v>691</v>
      </c>
      <c r="AL15" s="99"/>
      <c r="AM15" s="99" t="s">
        <v>692</v>
      </c>
      <c r="AN15" s="99"/>
      <c r="AO15" s="383" t="str">
        <f ca="1">IFERROR(VLOOKUP(Network_Agent_United_States[[#This Row],[iWatch '#]],INDIRECT('Defined Ranges'!$C$28&amp;"ROrder"&amp;'Defined Ranges'!$C$29),2,FALSE),"")</f>
        <v/>
      </c>
      <c r="AP15" s="383" t="str">
        <f ca="1">IFERROR(VLOOKUP(Network_Agent_United_States[[#This Row],[iWatch '#]],INDIRECT('Defined Ranges'!$C$28&amp;"ROrder"&amp;'Defined Ranges'!$C$29),3,FALSE),"")</f>
        <v/>
      </c>
      <c r="AQ15" s="99">
        <f t="shared" ca="1" si="1"/>
        <v>51</v>
      </c>
      <c r="AR15" s="99" t="str" cm="1">
        <f t="array" ref="AR15">_xlfn.IFS(LSelected="English",Network_Agent_United_States[[#This Row],[Verification Type English]],LSelected="Spanish",Network_Agent_United_States[[#This Row],[Verification Type Spanish]],LSelected="French",Network_Agent_United_States[[#This Row],[Verification Type French]],LSelected="Portuguese",Network_Agent_United_States[[#This Row],[Verification Type Portuguese]])</f>
        <v>Conocimiento de Operador - Actividad Sospechosa y Fraude</v>
      </c>
      <c r="AS15" s="99" t="str" cm="1">
        <f t="array" ref="AS15">_xlfn.IFS(SScript="English",Network_Agent_United_States[[#This Row],[Suggested script English]],SScript="Spanish",Network_Agent_United_States[[#This Row],[Suggested script Spanish]],SScript="French",Network_Agent_United_States[[#This Row],[Suggested script French]],SScript="Portuguese",Network_Agent_United_States[[#This Row],[Suggested script Portuguese]])</f>
        <v xml:space="preserve"> </v>
      </c>
      <c r="AT15" s="99"/>
      <c r="AU15" s="99"/>
      <c r="AV15" s="383" t="s">
        <v>585</v>
      </c>
      <c r="AW15" s="99" t="s">
        <v>163</v>
      </c>
      <c r="AX15" s="99" t="s">
        <v>42</v>
      </c>
      <c r="AY15" s="99" t="str">
        <f>IF('Gen Info'!$E$4="Spain","Conocimiento de Operador (FLA) - Actividad Sospechosa y Fraude","Conocimiento de Operador - Actividad Sospechosa y Fraude")</f>
        <v>Conocimiento de Operador - Actividad Sospechosa y Fraude</v>
      </c>
      <c r="AZ15" s="99" t="s">
        <v>42</v>
      </c>
      <c r="BA15" s="99" t="s">
        <v>165</v>
      </c>
      <c r="BB15" s="99" t="s">
        <v>42</v>
      </c>
      <c r="BC15" s="353" t="s">
        <v>676</v>
      </c>
      <c r="BD15" s="99" t="s">
        <v>42</v>
      </c>
    </row>
    <row r="16" spans="4:56" outlineLevel="1">
      <c r="D16" s="103" t="s">
        <v>693</v>
      </c>
      <c r="E16" s="103" t="s">
        <v>694</v>
      </c>
      <c r="F16" s="103">
        <v>3</v>
      </c>
      <c r="G16" s="103" t="s">
        <v>679</v>
      </c>
      <c r="H16" s="103" t="s">
        <v>695</v>
      </c>
      <c r="I16" s="103" t="s">
        <v>696</v>
      </c>
      <c r="J16" s="103" t="s">
        <v>42</v>
      </c>
      <c r="K16" s="103" t="s">
        <v>697</v>
      </c>
      <c r="L16" s="103" t="s">
        <v>42</v>
      </c>
      <c r="M16" s="103">
        <f ca="1">IFERROR(VLOOKUP(Network_Agent[[#This Row],[iWatch '#]],INDIRECT('Defined Ranges'!$C$28&amp;"Order"&amp;'Defined Ranges'!$C$29),2,FALSE),"")</f>
        <v>19</v>
      </c>
      <c r="N16" s="103">
        <f ca="1">IFERROR(VLOOKUP(Network_Agent[[#This Row],[iWatch '#]],INDIRECT('Defined Ranges'!$C$28&amp;"Order"&amp;'Defined Ranges'!$C$29),3,FALSE),"")</f>
        <v>11</v>
      </c>
      <c r="O16" s="103">
        <f t="shared" si="0"/>
        <v>11</v>
      </c>
      <c r="P16" s="103" t="str" cm="1">
        <f t="array" ref="P16">_xlfn.IFS(LSelected="English",Network_Agent[[#This Row],[Verification Type English]],LSelected="Spanish",Network_Agent[[#This Row],[Verification Type Spanish]],LSelected="French",Network_Agent[[#This Row],[Verification Type French]],LSelected="Portuguese",Network_Agent[[#This Row],[Verification Type Portuguese]])</f>
        <v>Disponibilidad de la Localidad</v>
      </c>
      <c r="Q16" s="103" t="str" cm="1">
        <f t="array" ref="Q16">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1) Do you have access to Anti-Money Laudering and Counter Terrorism Financing and Anti-Fraud P&amp;Ps?                                           2) If I were to ask you to access that information at this very moment, where would you go to find it? (Intranet communication, E-mail communication, Newsletters, store level communication, etc.</v>
      </c>
      <c r="T16" s="103" t="s">
        <v>698</v>
      </c>
      <c r="U16" s="103" t="s">
        <v>141</v>
      </c>
      <c r="V16" s="103" t="s">
        <v>699</v>
      </c>
      <c r="W16" s="387" t="str">
        <f>IF('Gen Info'!$E$4="Spain","Preparación de la Localidad","Disponibilidad de la Localidad")</f>
        <v>Disponibilidad de la Localidad</v>
      </c>
      <c r="X16" s="103" t="s">
        <v>700</v>
      </c>
      <c r="Y16" s="104" t="str">
        <f>IF('Gen Info'!$E$4="Canada","État de préparation des agents","État de préparation de l'Agent")</f>
        <v>État de préparation de l'Agent</v>
      </c>
      <c r="Z16" s="99" t="s">
        <v>701</v>
      </c>
      <c r="AA16" s="382" t="s">
        <v>144</v>
      </c>
      <c r="AB16" s="103" t="s">
        <v>702</v>
      </c>
      <c r="AF16" s="353" t="s">
        <v>703</v>
      </c>
      <c r="AG16" s="99" t="s">
        <v>704</v>
      </c>
      <c r="AH16" s="383">
        <v>2</v>
      </c>
      <c r="AI16" s="99" t="s">
        <v>609</v>
      </c>
      <c r="AJ16" s="99" t="s">
        <v>705</v>
      </c>
      <c r="AK16" s="99" t="s">
        <v>706</v>
      </c>
      <c r="AL16" s="99"/>
      <c r="AM16" s="99"/>
      <c r="AN16" s="99"/>
      <c r="AO16" s="383" t="str">
        <f ca="1">IFERROR(VLOOKUP(Network_Agent_United_States[[#This Row],[iWatch '#]],INDIRECT('Defined Ranges'!$C$28&amp;"ROrder"&amp;'Defined Ranges'!$C$29),2,FALSE),"")</f>
        <v/>
      </c>
      <c r="AP16" s="383" t="str">
        <f ca="1">IFERROR(VLOOKUP(Network_Agent_United_States[[#This Row],[iWatch '#]],INDIRECT('Defined Ranges'!$C$28&amp;"ROrder"&amp;'Defined Ranges'!$C$29),3,FALSE),"")</f>
        <v/>
      </c>
      <c r="AQ16" s="99">
        <f t="shared" ca="1" si="1"/>
        <v>52</v>
      </c>
      <c r="AR16" s="99" t="str" cm="1">
        <f t="array" ref="AR16">_xlfn.IFS(LSelected="English",Network_Agent_United_States[[#This Row],[Verification Type English]],LSelected="Spanish",Network_Agent_United_States[[#This Row],[Verification Type Spanish]],LSelected="French",Network_Agent_United_States[[#This Row],[Verification Type French]],LSelected="Portuguese",Network_Agent_United_States[[#This Row],[Verification Type Portuguese]])</f>
        <v>Conocimiento de Operador - Actividad Sospechosa y Fraude</v>
      </c>
      <c r="AS16" s="99" t="str" cm="1">
        <f t="array" ref="AS16">_xlfn.IFS(SScript="English",Network_Agent_United_States[[#This Row],[Suggested script English]],SScript="Spanish",Network_Agent_United_States[[#This Row],[Suggested script Spanish]],SScript="French",Network_Agent_United_States[[#This Row],[Suggested script French]],SScript="Portuguese",Network_Agent_United_States[[#This Row],[Suggested script Portuguese]])</f>
        <v>1. Are there any restrictions when sending or receiving telemarketing transactions?
2. You may provide a telemarketing example (i.e. vacation package offer, phone purchases, etc.)</v>
      </c>
      <c r="AT16" s="99"/>
      <c r="AU16" s="99"/>
      <c r="AV16" s="383" t="s">
        <v>644</v>
      </c>
      <c r="AW16" s="99" t="s">
        <v>163</v>
      </c>
      <c r="AX16" s="99" t="s">
        <v>707</v>
      </c>
      <c r="AY16" s="99" t="str">
        <f>IF('Gen Info'!$E$4="Spain","Conocimiento de Operador (FLA) - Actividad Sospechosa y Fraude","Conocimiento de Operador - Actividad Sospechosa y Fraude")</f>
        <v>Conocimiento de Operador - Actividad Sospechosa y Fraude</v>
      </c>
      <c r="AZ16" s="99" t="s">
        <v>708</v>
      </c>
      <c r="BA16" s="99" t="s">
        <v>165</v>
      </c>
      <c r="BB16" s="99" t="s">
        <v>709</v>
      </c>
      <c r="BC16" s="353" t="s">
        <v>676</v>
      </c>
      <c r="BD16" s="99" t="s">
        <v>710</v>
      </c>
    </row>
    <row r="17" spans="4:56" outlineLevel="1">
      <c r="D17" s="103" t="s">
        <v>711</v>
      </c>
      <c r="E17" s="103" t="s">
        <v>712</v>
      </c>
      <c r="F17" s="103">
        <v>2</v>
      </c>
      <c r="G17" s="103" t="s">
        <v>609</v>
      </c>
      <c r="H17" s="103" t="s">
        <v>713</v>
      </c>
      <c r="I17" s="103" t="s">
        <v>714</v>
      </c>
      <c r="J17" s="103" t="s">
        <v>42</v>
      </c>
      <c r="K17" s="103" t="s">
        <v>42</v>
      </c>
      <c r="L17" s="103" t="s">
        <v>42</v>
      </c>
      <c r="M17" s="103">
        <f ca="1">IFERROR(VLOOKUP(Network_Agent[[#This Row],[iWatch '#]],INDIRECT('Defined Ranges'!$C$28&amp;"Order"&amp;'Defined Ranges'!$C$29),2,FALSE),"")</f>
        <v>27</v>
      </c>
      <c r="N17" s="103">
        <f ca="1">IFERROR(VLOOKUP(Network_Agent[[#This Row],[iWatch '#]],INDIRECT('Defined Ranges'!$C$28&amp;"Order"&amp;'Defined Ranges'!$C$29),3,FALSE),"")</f>
        <v>12</v>
      </c>
      <c r="O17" s="103">
        <f t="shared" si="0"/>
        <v>12</v>
      </c>
      <c r="P17" s="103" t="str" cm="1">
        <f t="array" ref="P17">_xlfn.IFS(LSelected="English",Network_Agent[[#This Row],[Verification Type English]],LSelected="Spanish",Network_Agent[[#This Row],[Verification Type Spanish]],LSelected="French",Network_Agent[[#This Row],[Verification Type French]],LSelected="Portuguese",Network_Agent[[#This Row],[Verification Type Portuguese]])</f>
        <v>Conocimiento de Operador - Actividad Sospechosa y Fraude</v>
      </c>
      <c r="Q17" s="103" t="str" cm="1">
        <f t="array" ref="Q17">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1) Walk me through your AML &amp; Terrorism Financing Training (specific topics or scenarios covered). 
2) When was the last time you went through training?</v>
      </c>
      <c r="T17" s="103" t="s">
        <v>644</v>
      </c>
      <c r="U17" s="103" t="s">
        <v>163</v>
      </c>
      <c r="V17" s="103" t="s">
        <v>715</v>
      </c>
      <c r="W17" s="387" t="str">
        <f>IF('Gen Info'!$E$4="Spain","Conocimiento de Operador (FLA) - Actividad Sospechosa y Fraude","Conocimiento de Operador - Actividad Sospechosa y Fraude")</f>
        <v>Conocimiento de Operador - Actividad Sospechosa y Fraude</v>
      </c>
      <c r="X17" s="103" t="s">
        <v>716</v>
      </c>
      <c r="Y17" s="104" t="str">
        <f>IF('Gen Info'!$E$4="Canada","Connaissance des employés - Activités douteuses et la Fraude","Connaissance des opérateurs - Activités douteuses et Fraude")</f>
        <v>Connaissance des opérateurs - Activités douteuses et Fraude</v>
      </c>
      <c r="Z17" s="99" t="s">
        <v>717</v>
      </c>
      <c r="AA17" s="382" t="s">
        <v>166</v>
      </c>
      <c r="AB17" s="103" t="s">
        <v>718</v>
      </c>
      <c r="AF17" s="353" t="s">
        <v>719</v>
      </c>
      <c r="AG17" s="249" t="s">
        <v>720</v>
      </c>
      <c r="AH17" s="383">
        <v>2</v>
      </c>
      <c r="AI17" s="99" t="s">
        <v>609</v>
      </c>
      <c r="AJ17" s="103" t="s">
        <v>721</v>
      </c>
      <c r="AK17" s="103" t="s">
        <v>722</v>
      </c>
      <c r="AL17" s="99"/>
      <c r="AM17" s="99"/>
      <c r="AN17" s="99"/>
      <c r="AO17" s="383" t="str">
        <f ca="1">IFERROR(VLOOKUP(Network_Agent_United_States[[#This Row],[iWatch '#]],INDIRECT('Defined Ranges'!$C$28&amp;"ROrder"&amp;'Defined Ranges'!$C$29),2,FALSE),"")</f>
        <v/>
      </c>
      <c r="AP17" s="383" t="str">
        <f ca="1">IFERROR(VLOOKUP(Network_Agent_United_States[[#This Row],[iWatch '#]],INDIRECT('Defined Ranges'!$C$28&amp;"ROrder"&amp;'Defined Ranges'!$C$29),3,FALSE),"")</f>
        <v/>
      </c>
      <c r="AQ17" s="99">
        <f t="shared" ca="1" si="1"/>
        <v>53</v>
      </c>
      <c r="AR17" s="99" t="str" cm="1">
        <f t="array" ref="AR17">_xlfn.IFS(LSelected="English",Network_Agent_United_States[[#This Row],[Verification Type English]],LSelected="Spanish",Network_Agent_United_States[[#This Row],[Verification Type Spanish]],LSelected="French",Network_Agent_United_States[[#This Row],[Verification Type French]],LSelected="Portuguese",Network_Agent_United_States[[#This Row],[Verification Type Portuguese]])</f>
        <v>Conocimiento de Operador - Actividad Sospechosa y Fraude</v>
      </c>
      <c r="AS17" s="99" t="str" cm="1">
        <f t="array" ref="AS17">_xlfn.IFS(SScript="English",Network_Agent_United_States[[#This Row],[Suggested script English]],SScript="Spanish",Network_Agent_United_States[[#This Row],[Suggested script Spanish]],SScript="French",Network_Agent_United_States[[#This Row],[Suggested script French]],SScript="Portuguese",Network_Agent_United_States[[#This Row],[Suggested script Portuguese]])</f>
        <v xml:space="preserve"> </v>
      </c>
      <c r="AT17" s="99"/>
      <c r="AU17" s="99"/>
      <c r="AV17" s="383" t="s">
        <v>644</v>
      </c>
      <c r="AW17" s="99" t="s">
        <v>163</v>
      </c>
      <c r="AX17" s="99" t="s">
        <v>42</v>
      </c>
      <c r="AY17" s="99" t="str">
        <f>IF('Gen Info'!$E$4="Spain","Conocimiento de Operador (FLA) - Actividad Sospechosa y Fraude","Conocimiento de Operador - Actividad Sospechosa y Fraude")</f>
        <v>Conocimiento de Operador - Actividad Sospechosa y Fraude</v>
      </c>
      <c r="AZ17" s="99" t="s">
        <v>42</v>
      </c>
      <c r="BA17" s="99" t="s">
        <v>165</v>
      </c>
      <c r="BB17" s="99" t="s">
        <v>42</v>
      </c>
      <c r="BC17" s="353" t="s">
        <v>676</v>
      </c>
      <c r="BD17" s="99" t="s">
        <v>42</v>
      </c>
    </row>
    <row r="18" spans="4:56" outlineLevel="1">
      <c r="D18" s="387" t="s">
        <v>723</v>
      </c>
      <c r="E18" s="103" t="s">
        <v>724</v>
      </c>
      <c r="F18" s="103">
        <v>2</v>
      </c>
      <c r="G18" s="103" t="s">
        <v>609</v>
      </c>
      <c r="H18" s="103" t="s">
        <v>725</v>
      </c>
      <c r="I18" s="103" t="s">
        <v>726</v>
      </c>
      <c r="J18" s="103" t="s">
        <v>42</v>
      </c>
      <c r="K18" s="103" t="s">
        <v>42</v>
      </c>
      <c r="L18" s="103" t="s">
        <v>42</v>
      </c>
      <c r="M18" s="103">
        <f ca="1">IFERROR(VLOOKUP(Network_Agent[[#This Row],[iWatch '#]],INDIRECT('Defined Ranges'!$C$28&amp;"Order"&amp;'Defined Ranges'!$C$29),2,FALSE),"")</f>
        <v>28</v>
      </c>
      <c r="N18" s="103">
        <f ca="1">IFERROR(VLOOKUP(Network_Agent[[#This Row],[iWatch '#]],INDIRECT('Defined Ranges'!$C$28&amp;"Order"&amp;'Defined Ranges'!$C$29),3,FALSE),"")</f>
        <v>13</v>
      </c>
      <c r="O18" s="103">
        <f t="shared" si="0"/>
        <v>13</v>
      </c>
      <c r="P18" s="103" t="str" cm="1">
        <f t="array" ref="P18">_xlfn.IFS(LSelected="English",Network_Agent[[#This Row],[Verification Type English]],LSelected="Spanish",Network_Agent[[#This Row],[Verification Type Spanish]],LSelected="French",Network_Agent[[#This Row],[Verification Type French]],LSelected="Portuguese",Network_Agent[[#This Row],[Verification Type Portuguese]])</f>
        <v>Conocimiento de Operador - Actividad Sospechosa y Fraude</v>
      </c>
      <c r="Q18" s="103" t="str" cm="1">
        <f t="array" ref="Q18">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 xml:space="preserve">1) Please describe in your own words what suspicious activity is. 
2) Mention at least 3 red flags that should make us suspect of a customer being involved in terrorist financing or victims of human trafficking/smuggling. </v>
      </c>
      <c r="T18" s="103" t="s">
        <v>644</v>
      </c>
      <c r="U18" s="103" t="s">
        <v>163</v>
      </c>
      <c r="V18" s="103" t="s">
        <v>727</v>
      </c>
      <c r="W18" s="387" t="str">
        <f>IF('Gen Info'!$E$4="Spain","Conocimiento de Operador (FLA) - Actividad Sospechosa y Fraude","Conocimiento de Operador - Actividad Sospechosa y Fraude")</f>
        <v>Conocimiento de Operador - Actividad Sospechosa y Fraude</v>
      </c>
      <c r="X18" s="103" t="s">
        <v>728</v>
      </c>
      <c r="Y18" s="104" t="str">
        <f>IF('Gen Info'!$E$4="Canada","Connaissance des employés - Activités douteuses et la Fraude","Connaissance des opérateurs - Activités douteuses et Fraude")</f>
        <v>Connaissance des opérateurs - Activités douteuses et Fraude</v>
      </c>
      <c r="Z18" s="99" t="s">
        <v>729</v>
      </c>
      <c r="AA18" s="382" t="s">
        <v>166</v>
      </c>
      <c r="AB18" s="103" t="s">
        <v>730</v>
      </c>
      <c r="AF18" s="353" t="s">
        <v>731</v>
      </c>
      <c r="AG18" s="99" t="s">
        <v>732</v>
      </c>
      <c r="AH18" s="383">
        <v>3</v>
      </c>
      <c r="AI18" s="99" t="s">
        <v>581</v>
      </c>
      <c r="AJ18" s="99" t="s">
        <v>733</v>
      </c>
      <c r="AK18" s="99" t="s">
        <v>734</v>
      </c>
      <c r="AL18" s="99"/>
      <c r="AM18" s="99" t="s">
        <v>735</v>
      </c>
      <c r="AN18" s="99"/>
      <c r="AO18" s="383" t="str">
        <f ca="1">IFERROR(VLOOKUP(Network_Agent_United_States[[#This Row],[iWatch '#]],INDIRECT('Defined Ranges'!$C$28&amp;"ROrder"&amp;'Defined Ranges'!$C$29),2,FALSE),"")</f>
        <v/>
      </c>
      <c r="AP18" s="383" t="str">
        <f ca="1">IFERROR(VLOOKUP(Network_Agent_United_States[[#This Row],[iWatch '#]],INDIRECT('Defined Ranges'!$C$28&amp;"ROrder"&amp;'Defined Ranges'!$C$29),3,FALSE),"")</f>
        <v/>
      </c>
      <c r="AQ18" s="99">
        <f t="shared" ca="1" si="1"/>
        <v>54</v>
      </c>
      <c r="AR18" s="99" t="str" cm="1">
        <f t="array" ref="AR18">_xlfn.IFS(LSelected="English",Network_Agent_United_States[[#This Row],[Verification Type English]],LSelected="Spanish",Network_Agent_United_States[[#This Row],[Verification Type Spanish]],LSelected="French",Network_Agent_United_States[[#This Row],[Verification Type French]],LSelected="Portuguese",Network_Agent_United_States[[#This Row],[Verification Type Portuguese]])</f>
        <v>Conservación de Registros</v>
      </c>
      <c r="AS18" s="99" t="str" cm="1">
        <f t="array" ref="AS18">_xlfn.IFS(SScript="English",Network_Agent_United_States[[#This Row],[Suggested script English]],SScript="Spanish",Network_Agent_United_States[[#This Row],[Suggested script Spanish]],SScript="French",Network_Agent_United_States[[#This Row],[Suggested script French]],SScript="Portuguese",Network_Agent_United_States[[#This Row],[Suggested script Portuguese]])</f>
        <v xml:space="preserve">What would you do if someone wanted to request a Money Order for $3,000, or higher? </v>
      </c>
      <c r="AT18" s="99"/>
      <c r="AU18" s="99"/>
      <c r="AV18" s="383" t="s">
        <v>644</v>
      </c>
      <c r="AW18" s="99" t="s">
        <v>193</v>
      </c>
      <c r="AX18" s="99" t="s">
        <v>736</v>
      </c>
      <c r="AY18" s="99" t="str">
        <f>IF('Gen Info'!$E$4="Spain","Mantenimiento de Registros","Conservación de Registros")</f>
        <v>Conservación de Registros</v>
      </c>
      <c r="AZ18" s="99" t="s">
        <v>737</v>
      </c>
      <c r="BA18" s="99" t="s">
        <v>195</v>
      </c>
      <c r="BB18" s="99" t="s">
        <v>42</v>
      </c>
      <c r="BC18" s="99" t="s">
        <v>196</v>
      </c>
      <c r="BD18" s="99" t="s">
        <v>42</v>
      </c>
    </row>
    <row r="19" spans="4:56" outlineLevel="1">
      <c r="D19" s="387" t="s">
        <v>738</v>
      </c>
      <c r="E19" s="103" t="s">
        <v>739</v>
      </c>
      <c r="F19" s="103">
        <v>2</v>
      </c>
      <c r="G19" s="103" t="s">
        <v>609</v>
      </c>
      <c r="H19" s="103" t="s">
        <v>740</v>
      </c>
      <c r="I19" s="103" t="s">
        <v>741</v>
      </c>
      <c r="J19" s="103" t="s">
        <v>42</v>
      </c>
      <c r="K19" s="103" t="s">
        <v>42</v>
      </c>
      <c r="L19" s="103" t="s">
        <v>42</v>
      </c>
      <c r="M19" s="103">
        <f ca="1">IFERROR(VLOOKUP(Network_Agent[[#This Row],[iWatch '#]],INDIRECT('Defined Ranges'!$C$28&amp;"Order"&amp;'Defined Ranges'!$C$29),2,FALSE),"")</f>
        <v>29</v>
      </c>
      <c r="N19" s="103">
        <f ca="1">IFERROR(VLOOKUP(Network_Agent[[#This Row],[iWatch '#]],INDIRECT('Defined Ranges'!$C$28&amp;"Order"&amp;'Defined Ranges'!$C$29),3,FALSE),"")</f>
        <v>14</v>
      </c>
      <c r="O19" s="103">
        <f t="shared" si="0"/>
        <v>14</v>
      </c>
      <c r="P19" s="103" t="str" cm="1">
        <f t="array" ref="P19">_xlfn.IFS(LSelected="English",Network_Agent[[#This Row],[Verification Type English]],LSelected="Spanish",Network_Agent[[#This Row],[Verification Type Spanish]],LSelected="French",Network_Agent[[#This Row],[Verification Type French]],LSelected="Portuguese",Network_Agent[[#This Row],[Verification Type Portuguese]])</f>
        <v>Conocimiento de Operador - Actividad Sospechosa y Fraude</v>
      </c>
      <c r="Q19" s="103" t="str" cm="1">
        <f t="array" ref="Q19">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1) What would you do in case faced with a suspicious activity or transaction? 
2) How do you report Suspicious Activity?</v>
      </c>
      <c r="T19" s="103" t="s">
        <v>644</v>
      </c>
      <c r="U19" s="103" t="s">
        <v>163</v>
      </c>
      <c r="V19" s="103" t="s">
        <v>742</v>
      </c>
      <c r="W19" s="387" t="str">
        <f>IF('Gen Info'!$E$4="Spain","Conocimiento de Operador (FLA) - Actividad Sospechosa y Fraude","Conocimiento de Operador - Actividad Sospechosa y Fraude")</f>
        <v>Conocimiento de Operador - Actividad Sospechosa y Fraude</v>
      </c>
      <c r="X19" s="103" t="s">
        <v>743</v>
      </c>
      <c r="Y19" s="104" t="str">
        <f>IF('Gen Info'!$E$4="Canada","Connaissance des employés - Activités douteuses et la Fraude","Connaissance des opérateurs - Activités douteuses et Fraude")</f>
        <v>Connaissance des opérateurs - Activités douteuses et Fraude</v>
      </c>
      <c r="Z19" s="99" t="s">
        <v>744</v>
      </c>
      <c r="AA19" s="382" t="s">
        <v>166</v>
      </c>
      <c r="AB19" s="103" t="s">
        <v>745</v>
      </c>
      <c r="AF19" s="353" t="s">
        <v>746</v>
      </c>
      <c r="AG19" s="99" t="s">
        <v>747</v>
      </c>
      <c r="AH19" s="383">
        <v>3</v>
      </c>
      <c r="AI19" s="99" t="s">
        <v>581</v>
      </c>
      <c r="AJ19" s="99" t="s">
        <v>748</v>
      </c>
      <c r="AK19" s="99" t="s">
        <v>749</v>
      </c>
      <c r="AL19" s="99"/>
      <c r="AM19" s="99" t="s">
        <v>750</v>
      </c>
      <c r="AN19" s="99"/>
      <c r="AO19" s="383" t="str">
        <f ca="1">IFERROR(VLOOKUP(Network_Agent_United_States[[#This Row],[iWatch '#]],INDIRECT('Defined Ranges'!$C$28&amp;"ROrder"&amp;'Defined Ranges'!$C$29),2,FALSE),"")</f>
        <v/>
      </c>
      <c r="AP19" s="383" t="str">
        <f ca="1">IFERROR(VLOOKUP(Network_Agent_United_States[[#This Row],[iWatch '#]],INDIRECT('Defined Ranges'!$C$28&amp;"ROrder"&amp;'Defined Ranges'!$C$29),3,FALSE),"")</f>
        <v/>
      </c>
      <c r="AQ19" s="99">
        <f t="shared" ca="1" si="1"/>
        <v>55</v>
      </c>
      <c r="AR19" s="99" t="str" cm="1">
        <f t="array" ref="AR19">_xlfn.IFS(LSelected="English",Network_Agent_United_States[[#This Row],[Verification Type English]],LSelected="Spanish",Network_Agent_United_States[[#This Row],[Verification Type Spanish]],LSelected="French",Network_Agent_United_States[[#This Row],[Verification Type French]],LSelected="Portuguese",Network_Agent_United_States[[#This Row],[Verification Type Portuguese]])</f>
        <v>Conservación de Registros</v>
      </c>
      <c r="AS19" s="99" t="str" cm="1">
        <f t="array" ref="AS19">_xlfn.IFS(SScript="English",Network_Agent_United_States[[#This Row],[Suggested script English]],SScript="Spanish",Network_Agent_United_States[[#This Row],[Suggested script Spanish]],SScript="French",Network_Agent_United_States[[#This Row],[Suggested script French]],SScript="Portuguese",Network_Agent_United_States[[#This Row],[Suggested script Portuguese]])</f>
        <v xml:space="preserve">What do you remember about OFAC or the Designated National List? For how long do you keep records related to OFAC?
OFAC is Office of Foreign Assets and Controls. 
b. OFAC publishes a list of individuals and companies. For such individuals and companies their assets are blocked and U.S. persons are generally prohibited from dealing with them. </v>
      </c>
      <c r="AT19" s="99"/>
      <c r="AU19" s="99"/>
      <c r="AV19" s="383" t="s">
        <v>698</v>
      </c>
      <c r="AW19" s="99" t="s">
        <v>193</v>
      </c>
      <c r="AX19" s="99" t="s">
        <v>751</v>
      </c>
      <c r="AY19" s="99" t="str">
        <f>IF('Gen Info'!$E$4="Spain","Mantenimiento de Registros","Conservación de Registros")</f>
        <v>Conservación de Registros</v>
      </c>
      <c r="AZ19" s="99" t="s">
        <v>752</v>
      </c>
      <c r="BA19" s="99" t="s">
        <v>195</v>
      </c>
      <c r="BB19" s="99" t="s">
        <v>42</v>
      </c>
      <c r="BC19" s="99" t="s">
        <v>196</v>
      </c>
      <c r="BD19" s="99" t="s">
        <v>42</v>
      </c>
    </row>
    <row r="20" spans="4:56" outlineLevel="1">
      <c r="D20" s="387" t="s">
        <v>753</v>
      </c>
      <c r="E20" s="103" t="s">
        <v>754</v>
      </c>
      <c r="F20" s="103">
        <v>2</v>
      </c>
      <c r="G20" s="103" t="s">
        <v>609</v>
      </c>
      <c r="H20" s="103" t="s">
        <v>755</v>
      </c>
      <c r="I20" s="103" t="s">
        <v>756</v>
      </c>
      <c r="J20" s="103" t="s">
        <v>42</v>
      </c>
      <c r="K20" s="103" t="s">
        <v>42</v>
      </c>
      <c r="L20" s="103" t="s">
        <v>42</v>
      </c>
      <c r="M20" s="103">
        <f ca="1">IFERROR(VLOOKUP(Network_Agent[[#This Row],[iWatch '#]],INDIRECT('Defined Ranges'!$C$28&amp;"Order"&amp;'Defined Ranges'!$C$29),2,FALSE),"")</f>
        <v>25</v>
      </c>
      <c r="N20" s="103">
        <f ca="1">IFERROR(VLOOKUP(Network_Agent[[#This Row],[iWatch '#]],INDIRECT('Defined Ranges'!$C$28&amp;"Order"&amp;'Defined Ranges'!$C$29),3,FALSE),"")</f>
        <v>15</v>
      </c>
      <c r="O20" s="103">
        <f t="shared" si="0"/>
        <v>15</v>
      </c>
      <c r="P20" s="103" t="str" cm="1">
        <f t="array" ref="P20">_xlfn.IFS(LSelected="English",Network_Agent[[#This Row],[Verification Type English]],LSelected="Spanish",Network_Agent[[#This Row],[Verification Type Spanish]],LSelected="French",Network_Agent[[#This Row],[Verification Type French]],LSelected="Portuguese",Network_Agent[[#This Row],[Verification Type Portuguese]])</f>
        <v>Conocimiento de Operador - Actividad Sospechosa y Fraude</v>
      </c>
      <c r="Q20" s="103" t="str" cm="1">
        <f t="array" ref="Q20">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Do you know any examples where you as an Agent could be the victim of fraud? As an agent, have you ever been a victim of fraud? Do you ever receive phone calls from people claiming to be WU representatives?</v>
      </c>
      <c r="T20" s="103" t="s">
        <v>644</v>
      </c>
      <c r="U20" s="103" t="s">
        <v>163</v>
      </c>
      <c r="V20" s="103" t="s">
        <v>757</v>
      </c>
      <c r="W20" s="387" t="str">
        <f>IF('Gen Info'!$E$4="Spain","Conocimiento de Operador (FLA) - Actividad Sospechosa y Fraude","Conocimiento de Operador - Actividad Sospechosa y Fraude")</f>
        <v>Conocimiento de Operador - Actividad Sospechosa y Fraude</v>
      </c>
      <c r="X20" s="103" t="s">
        <v>758</v>
      </c>
      <c r="Y20" s="104" t="str">
        <f>IF('Gen Info'!$E$4="Canada","Connaissance des employés - Activités douteuses et la Fraude","Connaissance des opérateurs - Activités douteuses et Fraude")</f>
        <v>Connaissance des opérateurs - Activités douteuses et Fraude</v>
      </c>
      <c r="Z20" s="99" t="s">
        <v>759</v>
      </c>
      <c r="AA20" s="382" t="s">
        <v>166</v>
      </c>
      <c r="AB20" s="103" t="s">
        <v>760</v>
      </c>
    </row>
    <row r="21" spans="4:56" outlineLevel="1">
      <c r="D21" s="387" t="s">
        <v>761</v>
      </c>
      <c r="E21" s="103" t="s">
        <v>762</v>
      </c>
      <c r="F21" s="103">
        <v>2</v>
      </c>
      <c r="G21" s="103" t="s">
        <v>609</v>
      </c>
      <c r="H21" s="103" t="s">
        <v>763</v>
      </c>
      <c r="I21" s="103" t="s">
        <v>764</v>
      </c>
      <c r="J21" s="103" t="s">
        <v>42</v>
      </c>
      <c r="K21" s="103" t="s">
        <v>42</v>
      </c>
      <c r="L21" s="103" t="s">
        <v>42</v>
      </c>
      <c r="M21" s="103">
        <f ca="1">IFERROR(VLOOKUP(Network_Agent[[#This Row],[iWatch '#]],INDIRECT('Defined Ranges'!$C$28&amp;"Order"&amp;'Defined Ranges'!$C$29),2,FALSE),"")</f>
        <v>26</v>
      </c>
      <c r="N21" s="103">
        <f ca="1">IFERROR(VLOOKUP(Network_Agent[[#This Row],[iWatch '#]],INDIRECT('Defined Ranges'!$C$28&amp;"Order"&amp;'Defined Ranges'!$C$29),3,FALSE),"")</f>
        <v>16</v>
      </c>
      <c r="O21" s="103">
        <f t="shared" si="0"/>
        <v>16</v>
      </c>
      <c r="P21" s="103" t="str" cm="1">
        <f t="array" ref="P21">_xlfn.IFS(LSelected="English",Network_Agent[[#This Row],[Verification Type English]],LSelected="Spanish",Network_Agent[[#This Row],[Verification Type Spanish]],LSelected="French",Network_Agent[[#This Row],[Verification Type French]],LSelected="Portuguese",Network_Agent[[#This Row],[Verification Type Portuguese]])</f>
        <v>Conocimiento de Operador - Actividad Sospechosa y Fraude</v>
      </c>
      <c r="Q21" s="103" t="str" cm="1">
        <f t="array" ref="Q21">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1) What actions would you take in regards to a transaction related to Agent Fraud?</v>
      </c>
      <c r="T21" s="103" t="s">
        <v>644</v>
      </c>
      <c r="U21" s="103" t="s">
        <v>163</v>
      </c>
      <c r="V21" s="103" t="s">
        <v>765</v>
      </c>
      <c r="W21" s="387" t="str">
        <f>IF('Gen Info'!$E$4="Spain","Conocimiento de Operador (FLA) - Actividad Sospechosa y Fraude","Conocimiento de Operador - Actividad Sospechosa y Fraude")</f>
        <v>Conocimiento de Operador - Actividad Sospechosa y Fraude</v>
      </c>
      <c r="X21" s="103" t="s">
        <v>766</v>
      </c>
      <c r="Y21" s="104" t="str">
        <f>IF('Gen Info'!$E$4="Canada","Connaissance des employés - Activités douteuses et la Fraude","Connaissance des opérateurs - Activités douteuses et Fraude")</f>
        <v>Connaissance des opérateurs - Activités douteuses et Fraude</v>
      </c>
      <c r="Z21" s="99" t="s">
        <v>767</v>
      </c>
      <c r="AA21" s="382" t="s">
        <v>166</v>
      </c>
      <c r="AB21" s="103" t="s">
        <v>768</v>
      </c>
    </row>
    <row r="22" spans="4:56" outlineLevel="1">
      <c r="D22" s="390" t="s">
        <v>769</v>
      </c>
      <c r="E22" s="103" t="s">
        <v>770</v>
      </c>
      <c r="F22" s="103">
        <v>2</v>
      </c>
      <c r="G22" s="103" t="s">
        <v>609</v>
      </c>
      <c r="H22" s="103" t="s">
        <v>771</v>
      </c>
      <c r="I22" s="103" t="s">
        <v>772</v>
      </c>
      <c r="J22" s="103" t="s">
        <v>42</v>
      </c>
      <c r="K22" s="103" t="s">
        <v>42</v>
      </c>
      <c r="L22" s="103" t="s">
        <v>42</v>
      </c>
      <c r="M22" s="103">
        <f ca="1">IFERROR(VLOOKUP(Network_Agent[[#This Row],[iWatch '#]],INDIRECT('Defined Ranges'!$C$28&amp;"Order"&amp;'Defined Ranges'!$C$29),2,FALSE),"")</f>
        <v>20</v>
      </c>
      <c r="N22" s="103">
        <f ca="1">IFERROR(VLOOKUP(Network_Agent[[#This Row],[iWatch '#]],INDIRECT('Defined Ranges'!$C$28&amp;"Order"&amp;'Defined Ranges'!$C$29),3,FALSE),"")</f>
        <v>17</v>
      </c>
      <c r="O22" s="103">
        <f t="shared" si="0"/>
        <v>17</v>
      </c>
      <c r="P22" s="103" t="str" cm="1">
        <f t="array" ref="P22">_xlfn.IFS(LSelected="English",Network_Agent[[#This Row],[Verification Type English]],LSelected="Spanish",Network_Agent[[#This Row],[Verification Type Spanish]],LSelected="French",Network_Agent[[#This Row],[Verification Type French]],LSelected="Portuguese",Network_Agent[[#This Row],[Verification Type Portuguese]])</f>
        <v>Conocimiento de Operador - Actividad Sospechosa y Fraude</v>
      </c>
      <c r="Q22" s="103" t="str" cm="1">
        <f t="array" ref="Q22">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1) What would your customer's behavior be like in case there is a consumer fraud?                              
2) Please share at least one of the Consumer Fraud indicators listed in the Agent Anti-Fraud Manual.</v>
      </c>
      <c r="T22" s="103" t="s">
        <v>644</v>
      </c>
      <c r="U22" s="103" t="s">
        <v>163</v>
      </c>
      <c r="V22" s="103" t="s">
        <v>773</v>
      </c>
      <c r="W22" s="390" t="str">
        <f>IF('Gen Info'!$E$4="Spain","Conocimiento de Operador (FLA) - Actividad Sospechosa y Fraude","Conocimiento de Operador - Actividad Sospechosa y Fraude")</f>
        <v>Conocimiento de Operador - Actividad Sospechosa y Fraude</v>
      </c>
      <c r="X22" s="103" t="s">
        <v>774</v>
      </c>
      <c r="Y22" s="391" t="str">
        <f>IF('Gen Info'!$E$4="Canada","Connaissance des employés - Activités douteuses et la Fraude","Connaissance des opérateurs - Activités douteuses et Fraude")</f>
        <v>Connaissance des opérateurs - Activités douteuses et Fraude</v>
      </c>
      <c r="Z22" s="99" t="s">
        <v>775</v>
      </c>
      <c r="AA22" s="382" t="s">
        <v>166</v>
      </c>
      <c r="AB22" s="103" t="s">
        <v>776</v>
      </c>
    </row>
    <row r="23" spans="4:56" ht="29" outlineLevel="1">
      <c r="D23" s="387" t="s">
        <v>777</v>
      </c>
      <c r="E23" s="103" t="s">
        <v>778</v>
      </c>
      <c r="F23" s="103">
        <v>2</v>
      </c>
      <c r="G23" s="103" t="s">
        <v>609</v>
      </c>
      <c r="H23" s="103" t="s">
        <v>779</v>
      </c>
      <c r="I23" s="103" t="s">
        <v>780</v>
      </c>
      <c r="J23" s="103" t="s">
        <v>42</v>
      </c>
      <c r="K23" s="103" t="s">
        <v>42</v>
      </c>
      <c r="L23" s="103" t="s">
        <v>42</v>
      </c>
      <c r="M23" s="103">
        <f ca="1">IFERROR(VLOOKUP(Network_Agent[[#This Row],[iWatch '#]],INDIRECT('Defined Ranges'!$C$28&amp;"Order"&amp;'Defined Ranges'!$C$29),2,FALSE),"")</f>
        <v>21</v>
      </c>
      <c r="N23" s="103">
        <f ca="1">IFERROR(VLOOKUP(Network_Agent[[#This Row],[iWatch '#]],INDIRECT('Defined Ranges'!$C$28&amp;"Order"&amp;'Defined Ranges'!$C$29),3,FALSE),"")</f>
        <v>18</v>
      </c>
      <c r="O23" s="103">
        <f t="shared" si="0"/>
        <v>18</v>
      </c>
      <c r="P23" s="103" t="str" cm="1">
        <f t="array" ref="P23">_xlfn.IFS(LSelected="English",Network_Agent[[#This Row],[Verification Type English]],LSelected="Spanish",Network_Agent[[#This Row],[Verification Type Spanish]],LSelected="French",Network_Agent[[#This Row],[Verification Type French]],LSelected="Portuguese",Network_Agent[[#This Row],[Verification Type Portuguese]])</f>
        <v>Conocimiento de Operador - Actividad Sospechosa y Fraude</v>
      </c>
      <c r="Q23" s="103" t="str" cm="1">
        <f t="array" ref="Q23">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1) What actions would you take in regards to a transaction related to consumer fraud?</v>
      </c>
      <c r="T23" s="103" t="s">
        <v>644</v>
      </c>
      <c r="U23" s="103" t="s">
        <v>163</v>
      </c>
      <c r="V23" s="103" t="s">
        <v>781</v>
      </c>
      <c r="W23" s="387" t="str">
        <f>IF('Gen Info'!$E$4="Spain","Conocimiento de Operador (FLA) - Actividad Sospechosa y Fraude","Conocimiento de Operador - Actividad Sospechosa y Fraude")</f>
        <v>Conocimiento de Operador - Actividad Sospechosa y Fraude</v>
      </c>
      <c r="X23" s="103" t="s">
        <v>782</v>
      </c>
      <c r="Y23" s="104" t="str">
        <f>IF('Gen Info'!$E$4="Canada","Connaissance des employés - Activités douteuses et la Fraude","Connaissance des opérateurs - Activités douteuses et Fraude")</f>
        <v>Connaissance des opérateurs - Activités douteuses et Fraude</v>
      </c>
      <c r="Z23" s="99" t="s">
        <v>783</v>
      </c>
      <c r="AA23" s="382" t="s">
        <v>166</v>
      </c>
      <c r="AB23" s="103" t="s">
        <v>784</v>
      </c>
      <c r="AF23" s="392" t="s">
        <v>69</v>
      </c>
      <c r="AG23" s="393" t="s">
        <v>120</v>
      </c>
      <c r="AH23" s="393" t="s">
        <v>552</v>
      </c>
      <c r="AI23" s="393" t="s">
        <v>553</v>
      </c>
      <c r="AJ23" s="393" t="s">
        <v>573</v>
      </c>
      <c r="AK23" s="393" t="s">
        <v>574</v>
      </c>
      <c r="AL23" s="393" t="s">
        <v>575</v>
      </c>
      <c r="AM23" s="393" t="s">
        <v>557</v>
      </c>
      <c r="AN23" s="393" t="s">
        <v>558</v>
      </c>
      <c r="AO23" s="394" t="s">
        <v>559</v>
      </c>
      <c r="AP23" s="394" t="s">
        <v>115</v>
      </c>
      <c r="AQ23" s="394" t="s">
        <v>68</v>
      </c>
      <c r="AR23" s="394" t="s">
        <v>560</v>
      </c>
      <c r="AS23" s="394" t="s">
        <v>561</v>
      </c>
      <c r="AT23" s="393" t="s">
        <v>562</v>
      </c>
      <c r="AU23" s="393" t="s">
        <v>563</v>
      </c>
      <c r="AV23" s="393" t="s">
        <v>564</v>
      </c>
      <c r="AW23" s="393" t="s">
        <v>565</v>
      </c>
      <c r="AX23" s="393" t="s">
        <v>566</v>
      </c>
      <c r="AY23" s="393" t="s">
        <v>567</v>
      </c>
      <c r="AZ23" s="393" t="s">
        <v>568</v>
      </c>
      <c r="BA23" s="393" t="s">
        <v>569</v>
      </c>
      <c r="BB23" s="393" t="s">
        <v>570</v>
      </c>
      <c r="BC23" s="393" t="s">
        <v>571</v>
      </c>
      <c r="BD23" s="395" t="s">
        <v>572</v>
      </c>
    </row>
    <row r="24" spans="4:56" ht="15.65" customHeight="1" outlineLevel="1">
      <c r="D24" s="387" t="s">
        <v>785</v>
      </c>
      <c r="E24" s="103" t="s">
        <v>786</v>
      </c>
      <c r="F24" s="103">
        <v>2</v>
      </c>
      <c r="G24" s="103" t="s">
        <v>609</v>
      </c>
      <c r="H24" s="103" t="s">
        <v>787</v>
      </c>
      <c r="I24" s="103" t="s">
        <v>788</v>
      </c>
      <c r="J24" s="103" t="s">
        <v>42</v>
      </c>
      <c r="K24" s="103" t="s">
        <v>42</v>
      </c>
      <c r="L24" s="103" t="s">
        <v>42</v>
      </c>
      <c r="M24" s="103">
        <f ca="1">IFERROR(VLOOKUP(Network_Agent[[#This Row],[iWatch '#]],INDIRECT('Defined Ranges'!$C$28&amp;"Order"&amp;'Defined Ranges'!$C$29),2,FALSE),"")</f>
        <v>22</v>
      </c>
      <c r="N24" s="103">
        <f ca="1">IFERROR(VLOOKUP(Network_Agent[[#This Row],[iWatch '#]],INDIRECT('Defined Ranges'!$C$28&amp;"Order"&amp;'Defined Ranges'!$C$29),3,FALSE),"")</f>
        <v>19</v>
      </c>
      <c r="O24" s="103">
        <f t="shared" si="0"/>
        <v>19</v>
      </c>
      <c r="P24" s="103" t="str" cm="1">
        <f t="array" ref="P24">_xlfn.IFS(LSelected="English",Network_Agent[[#This Row],[Verification Type English]],LSelected="Spanish",Network_Agent[[#This Row],[Verification Type Spanish]],LSelected="French",Network_Agent[[#This Row],[Verification Type French]],LSelected="Portuguese",Network_Agent[[#This Row],[Verification Type Portuguese]])</f>
        <v>Conocimiento de Operador - Actividad Sospechosa y Fraude</v>
      </c>
      <c r="Q24" s="103" t="str" cm="1">
        <f t="array" ref="Q24">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Let’s say you refuse my transaction due to potential Consumer Fraud; would you recommend me going to another location or company to complete this transaction?</v>
      </c>
      <c r="T24" s="103" t="s">
        <v>644</v>
      </c>
      <c r="U24" s="103" t="s">
        <v>163</v>
      </c>
      <c r="V24" s="103" t="s">
        <v>789</v>
      </c>
      <c r="W24" s="387" t="str">
        <f>IF('Gen Info'!$E$4="Spain","Conocimiento de Operador (FLA) - Actividad Sospechosa y Fraude","Conocimiento de Operador - Actividad Sospechosa y Fraude")</f>
        <v>Conocimiento de Operador - Actividad Sospechosa y Fraude</v>
      </c>
      <c r="X24" s="103" t="s">
        <v>790</v>
      </c>
      <c r="Y24" s="104" t="str">
        <f>IF('Gen Info'!$E$4="Canada","Connaissance des employés - Activités douteuses et la Fraude","Connaissance des opérateurs - Activités douteuses et Fraude")</f>
        <v>Connaissance des opérateurs - Activités douteuses et Fraude</v>
      </c>
      <c r="Z24" s="99" t="s">
        <v>791</v>
      </c>
      <c r="AA24" s="382" t="s">
        <v>166</v>
      </c>
      <c r="AB24" s="103" t="s">
        <v>792</v>
      </c>
      <c r="AF24" s="353" t="s">
        <v>630</v>
      </c>
      <c r="AG24" s="353" t="s">
        <v>793</v>
      </c>
      <c r="AH24" s="353">
        <v>3</v>
      </c>
      <c r="AI24" s="99" t="s">
        <v>581</v>
      </c>
      <c r="AJ24" s="353" t="s">
        <v>794</v>
      </c>
      <c r="AK24" s="353" t="s">
        <v>795</v>
      </c>
      <c r="AL24" s="353"/>
      <c r="AM24" s="353" t="s">
        <v>796</v>
      </c>
      <c r="AN24" s="353" t="s">
        <v>42</v>
      </c>
      <c r="AO24" s="353" t="str">
        <f ca="1">IFERROR(VLOOKUP(Network_Agent_Canada[[#This Row],[iWatch '#]],INDIRECT('Defined Ranges'!$C$28&amp;"ROrder"&amp;'Defined Ranges'!$C$29),2,FALSE),"")</f>
        <v/>
      </c>
      <c r="AP24" s="353" t="str">
        <f ca="1">IFERROR(VLOOKUP(Network_Agent_Canada[[#This Row],[iWatch '#]],INDIRECT('Defined Ranges'!$C$28&amp;"ROrder"&amp;'Defined Ranges'!$C$29),3,FALSE),"")</f>
        <v/>
      </c>
      <c r="AQ24" s="353">
        <f ca="1">'Defined Ranges'!$D$23+1</f>
        <v>42</v>
      </c>
      <c r="AR24" s="353" t="str" cm="1">
        <f t="array" ref="AR24">_xlfn.IFS(LSelected="English",Network_Agent_Canada[[#This Row],[Verification Type English]],LSelected="Spanish",Network_Agent_Canada[[#This Row],[Verification Type Spanish]],LSelected="French",Network_Agent_Canada[[#This Row],[Verification Type French]],LSelected="Portuguese",Network_Agent_Canada[[#This Row],[Verification Type Portuguese]])</f>
        <v>Disponibilidad de la Localidad</v>
      </c>
      <c r="AS24" s="353" t="str" cm="1">
        <f t="array" ref="AS24">_xlfn.IFS(SScript="English",Network_Agent_Canada[[#This Row],[Suggested script English]],SScript="Spanish",Network_Agent_Canada[[#This Row],[Suggested script Spanish]],SScript="French",Network_Agent_Canada[[#This Row],[Suggested script French]],SScript="Portuguese",Network_Agent_Canada[[#This Row],[Suggested script Portuguese]])</f>
        <v xml:space="preserve"> </v>
      </c>
      <c r="AT24" s="353"/>
      <c r="AU24" s="353"/>
      <c r="AV24" s="353" t="s">
        <v>585</v>
      </c>
      <c r="AW24" s="99" t="s">
        <v>141</v>
      </c>
      <c r="AX24" s="353" t="s">
        <v>42</v>
      </c>
      <c r="AY24" s="99" t="str">
        <f>IF('Gen Info'!$E$4="Spain","Preparación de la Localidad","Disponibilidad de la Localidad")</f>
        <v>Disponibilidad de la Localidad</v>
      </c>
      <c r="AZ24" s="353" t="s">
        <v>42</v>
      </c>
      <c r="BA24" s="99" t="s">
        <v>143</v>
      </c>
      <c r="BB24" s="353" t="s">
        <v>42</v>
      </c>
      <c r="BC24" s="353" t="s">
        <v>637</v>
      </c>
      <c r="BD24" s="353" t="s">
        <v>42</v>
      </c>
    </row>
    <row r="25" spans="4:56" outlineLevel="1">
      <c r="D25" s="103" t="s">
        <v>797</v>
      </c>
      <c r="E25" s="103" t="s">
        <v>798</v>
      </c>
      <c r="F25" s="103">
        <v>3</v>
      </c>
      <c r="G25" s="103" t="s">
        <v>679</v>
      </c>
      <c r="H25" s="103" t="s">
        <v>799</v>
      </c>
      <c r="I25" s="103" t="s">
        <v>800</v>
      </c>
      <c r="J25" s="103" t="s">
        <v>42</v>
      </c>
      <c r="K25" s="103" t="s">
        <v>801</v>
      </c>
      <c r="L25" s="103" t="s">
        <v>42</v>
      </c>
      <c r="M25" s="103">
        <f ca="1">IFERROR(VLOOKUP(Network_Agent[[#This Row],[iWatch '#]],INDIRECT('Defined Ranges'!$C$28&amp;"Order"&amp;'Defined Ranges'!$C$29),2,FALSE),"")</f>
        <v>30</v>
      </c>
      <c r="N25" s="103">
        <f ca="1">IFERROR(VLOOKUP(Network_Agent[[#This Row],[iWatch '#]],INDIRECT('Defined Ranges'!$C$28&amp;"Order"&amp;'Defined Ranges'!$C$29),3,FALSE),"")</f>
        <v>20</v>
      </c>
      <c r="O25" s="103">
        <f t="shared" si="0"/>
        <v>20</v>
      </c>
      <c r="P25" s="103" t="str" cm="1">
        <f t="array" ref="P25">_xlfn.IFS(LSelected="English",Network_Agent[[#This Row],[Verification Type English]],LSelected="Spanish",Network_Agent[[#This Row],[Verification Type Spanish]],LSelected="French",Network_Agent[[#This Row],[Verification Type French]],LSelected="Portuguese",Network_Agent[[#This Row],[Verification Type Portuguese]])</f>
        <v>Requisitos de KYC</v>
      </c>
      <c r="Q25" s="103" t="str" cm="1">
        <f t="array" ref="Q25">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Answer by reviewing the Data Integrity inconsistencies including typographical errors.</v>
      </c>
      <c r="T25" s="103" t="s">
        <v>698</v>
      </c>
      <c r="U25" s="103" t="s">
        <v>175</v>
      </c>
      <c r="V25" s="103" t="s">
        <v>802</v>
      </c>
      <c r="W25" s="387" t="str">
        <f>IF('Gen Info'!$E$4="Spain","Requerimientos de KYC","Requisitos de KYC")</f>
        <v>Requisitos de KYC</v>
      </c>
      <c r="X25" s="103" t="s">
        <v>802</v>
      </c>
      <c r="Y25" s="104" t="str">
        <f>IF('Gen Info'!$E$4="Canada","Exigences en Matière de Connaissance des Clients","Exigences en Matière de Connaissance Client")</f>
        <v>Exigences en Matière de Connaissance Client</v>
      </c>
      <c r="Z25" s="99" t="s">
        <v>802</v>
      </c>
      <c r="AA25" s="382" t="s">
        <v>178</v>
      </c>
      <c r="AB25" s="103" t="s">
        <v>802</v>
      </c>
      <c r="AF25" s="353" t="s">
        <v>803</v>
      </c>
      <c r="AG25" s="353" t="s">
        <v>804</v>
      </c>
      <c r="AH25" s="353">
        <v>3</v>
      </c>
      <c r="AI25" s="99" t="s">
        <v>581</v>
      </c>
      <c r="AJ25" s="353" t="s">
        <v>805</v>
      </c>
      <c r="AK25" s="353" t="s">
        <v>806</v>
      </c>
      <c r="AL25" s="353"/>
      <c r="AM25" s="353" t="s">
        <v>796</v>
      </c>
      <c r="AN25" s="353" t="s">
        <v>42</v>
      </c>
      <c r="AO25" s="353" t="str">
        <f ca="1">IFERROR(VLOOKUP(Network_Agent_Canada[[#This Row],[iWatch '#]],INDIRECT('Defined Ranges'!$C$28&amp;"ROrder"&amp;'Defined Ranges'!$C$29),2,FALSE),"")</f>
        <v/>
      </c>
      <c r="AP25" s="353" t="str">
        <f ca="1">IFERROR(VLOOKUP(Network_Agent_Canada[[#This Row],[iWatch '#]],INDIRECT('Defined Ranges'!$C$28&amp;"ROrder"&amp;'Defined Ranges'!$C$29),3,FALSE),"")</f>
        <v/>
      </c>
      <c r="AQ25" s="353">
        <f ca="1">AQ24+1</f>
        <v>43</v>
      </c>
      <c r="AR25" s="353" t="str" cm="1">
        <f t="array" ref="AR25">_xlfn.IFS(LSelected="English",Network_Agent_Canada[[#This Row],[Verification Type English]],LSelected="Spanish",Network_Agent_Canada[[#This Row],[Verification Type Spanish]],LSelected="French",Network_Agent_Canada[[#This Row],[Verification Type French]],LSelected="Portuguese",Network_Agent_Canada[[#This Row],[Verification Type Portuguese]])</f>
        <v>Disponibilidad de la Localidad</v>
      </c>
      <c r="AS25" s="353" t="str" cm="1">
        <f t="array" ref="AS25">_xlfn.IFS(SScript="English",Network_Agent_Canada[[#This Row],[Suggested script English]],SScript="Spanish",Network_Agent_Canada[[#This Row],[Suggested script Spanish]],SScript="French",Network_Agent_Canada[[#This Row],[Suggested script French]],SScript="Portuguese",Network_Agent_Canada[[#This Row],[Suggested script Portuguese]])</f>
        <v xml:space="preserve"> </v>
      </c>
      <c r="AT25" s="353"/>
      <c r="AU25" s="353"/>
      <c r="AV25" s="353" t="s">
        <v>644</v>
      </c>
      <c r="AW25" s="99" t="s">
        <v>141</v>
      </c>
      <c r="AX25" s="353" t="s">
        <v>42</v>
      </c>
      <c r="AY25" s="99" t="str">
        <f>IF('Gen Info'!$E$4="Spain","Preparación de la Localidad","Disponibilidad de la Localidad")</f>
        <v>Disponibilidad de la Localidad</v>
      </c>
      <c r="AZ25" s="353" t="s">
        <v>42</v>
      </c>
      <c r="BA25" s="99" t="s">
        <v>143</v>
      </c>
      <c r="BB25" s="353" t="s">
        <v>42</v>
      </c>
      <c r="BC25" s="353" t="s">
        <v>637</v>
      </c>
      <c r="BD25" s="353" t="s">
        <v>42</v>
      </c>
    </row>
    <row r="26" spans="4:56" outlineLevel="1">
      <c r="D26" s="103" t="s">
        <v>807</v>
      </c>
      <c r="E26" s="103" t="s">
        <v>808</v>
      </c>
      <c r="G26" s="103" t="s">
        <v>654</v>
      </c>
      <c r="H26" s="103" t="s">
        <v>42</v>
      </c>
      <c r="I26" s="103" t="s">
        <v>42</v>
      </c>
      <c r="J26" s="103" t="s">
        <v>42</v>
      </c>
      <c r="K26" s="103" t="s">
        <v>42</v>
      </c>
      <c r="L26" s="103" t="s">
        <v>100</v>
      </c>
      <c r="M26" s="103">
        <f ca="1">IFERROR(VLOOKUP(Network_Agent[[#This Row],[iWatch '#]],INDIRECT('Defined Ranges'!$C$28&amp;"Order"&amp;'Defined Ranges'!$C$29),2,FALSE),"")</f>
        <v>31</v>
      </c>
      <c r="N26" s="103">
        <f ca="1">IFERROR(VLOOKUP(Network_Agent[[#This Row],[iWatch '#]],INDIRECT('Defined Ranges'!$C$28&amp;"Order"&amp;'Defined Ranges'!$C$29),3,FALSE),"")</f>
        <v>21</v>
      </c>
      <c r="O26" s="103">
        <f t="shared" si="0"/>
        <v>21</v>
      </c>
      <c r="P26" s="103" cm="1">
        <f t="array" ref="P26">_xlfn.IFS(LSelected="English",Network_Agent[[#This Row],[Verification Type English]],LSelected="Spanish",Network_Agent[[#This Row],[Verification Type Spanish]],LSelected="French",Network_Agent[[#This Row],[Verification Type French]],LSelected="Portuguese",Network_Agent[[#This Row],[Verification Type Portuguese]])</f>
        <v>0</v>
      </c>
      <c r="Q26" s="103" t="str" cm="1">
        <f t="array" ref="Q26">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FREE TEXT</v>
      </c>
      <c r="V26" s="103" t="s">
        <v>809</v>
      </c>
      <c r="W26" s="388"/>
      <c r="X26" s="103" t="s">
        <v>809</v>
      </c>
      <c r="Y26" s="99"/>
      <c r="Z26" s="99" t="s">
        <v>809</v>
      </c>
      <c r="AA26" s="382"/>
      <c r="AB26" s="103" t="s">
        <v>809</v>
      </c>
      <c r="AF26" s="353" t="s">
        <v>810</v>
      </c>
      <c r="AG26" s="353" t="s">
        <v>811</v>
      </c>
      <c r="AH26" s="353">
        <v>3</v>
      </c>
      <c r="AI26" s="99" t="s">
        <v>581</v>
      </c>
      <c r="AJ26" s="353" t="s">
        <v>812</v>
      </c>
      <c r="AK26" s="353" t="s">
        <v>813</v>
      </c>
      <c r="AL26" s="353"/>
      <c r="AM26" s="353" t="s">
        <v>814</v>
      </c>
      <c r="AN26" s="353" t="s">
        <v>42</v>
      </c>
      <c r="AO26" s="353" t="str">
        <f ca="1">IFERROR(VLOOKUP(Network_Agent_Canada[[#This Row],[iWatch '#]],INDIRECT('Defined Ranges'!$C$28&amp;"ROrder"&amp;'Defined Ranges'!$C$29),2,FALSE),"")</f>
        <v/>
      </c>
      <c r="AP26" s="353" t="str">
        <f ca="1">IFERROR(VLOOKUP(Network_Agent_Canada[[#This Row],[iWatch '#]],INDIRECT('Defined Ranges'!$C$28&amp;"ROrder"&amp;'Defined Ranges'!$C$29),3,FALSE),"")</f>
        <v/>
      </c>
      <c r="AQ26" s="353">
        <f t="shared" ref="AQ26:AQ28" ca="1" si="2">AQ25+1</f>
        <v>44</v>
      </c>
      <c r="AR26" s="353" t="str" cm="1">
        <f t="array" ref="AR26">_xlfn.IFS(LSelected="English",Network_Agent_Canada[[#This Row],[Verification Type English]],LSelected="Spanish",Network_Agent_Canada[[#This Row],[Verification Type Spanish]],LSelected="French",Network_Agent_Canada[[#This Row],[Verification Type French]],LSelected="Portuguese",Network_Agent_Canada[[#This Row],[Verification Type Portuguese]])</f>
        <v>Disponibilidad de la Localidad</v>
      </c>
      <c r="AS26" s="353" t="str" cm="1">
        <f t="array" ref="AS26">_xlfn.IFS(SScript="English",Network_Agent_Canada[[#This Row],[Suggested script English]],SScript="Spanish",Network_Agent_Canada[[#This Row],[Suggested script Spanish]],SScript="French",Network_Agent_Canada[[#This Row],[Suggested script French]],SScript="Portuguese",Network_Agent_Canada[[#This Row],[Suggested script Portuguese]])</f>
        <v xml:space="preserve"> </v>
      </c>
      <c r="AT26" s="353"/>
      <c r="AU26" s="353"/>
      <c r="AV26" s="353" t="s">
        <v>585</v>
      </c>
      <c r="AW26" s="99" t="s">
        <v>141</v>
      </c>
      <c r="AX26" s="353" t="s">
        <v>42</v>
      </c>
      <c r="AY26" s="99" t="str">
        <f>IF('Gen Info'!$E$4="Spain","Preparación de la Localidad","Disponibilidad de la Localidad")</f>
        <v>Disponibilidad de la Localidad</v>
      </c>
      <c r="AZ26" s="353" t="s">
        <v>42</v>
      </c>
      <c r="BA26" s="99" t="s">
        <v>143</v>
      </c>
      <c r="BB26" s="353" t="s">
        <v>42</v>
      </c>
      <c r="BC26" s="353" t="s">
        <v>637</v>
      </c>
      <c r="BD26" s="353" t="s">
        <v>42</v>
      </c>
    </row>
    <row r="27" spans="4:56" outlineLevel="1">
      <c r="D27" s="103" t="s">
        <v>815</v>
      </c>
      <c r="E27" s="103" t="s">
        <v>816</v>
      </c>
      <c r="F27" s="103">
        <v>2</v>
      </c>
      <c r="G27" s="103" t="s">
        <v>609</v>
      </c>
      <c r="H27" s="103" t="s">
        <v>817</v>
      </c>
      <c r="I27" s="103" t="s">
        <v>818</v>
      </c>
      <c r="J27" s="103" t="s">
        <v>42</v>
      </c>
      <c r="K27" s="103" t="s">
        <v>42</v>
      </c>
      <c r="L27" s="103" t="s">
        <v>42</v>
      </c>
      <c r="M27" s="103">
        <f ca="1">IFERROR(VLOOKUP(Network_Agent[[#This Row],[iWatch '#]],INDIRECT('Defined Ranges'!$C$28&amp;"Order"&amp;'Defined Ranges'!$C$29),2,FALSE),"")</f>
        <v>16</v>
      </c>
      <c r="N27" s="103">
        <f ca="1">IFERROR(VLOOKUP(Network_Agent[[#This Row],[iWatch '#]],INDIRECT('Defined Ranges'!$C$28&amp;"Order"&amp;'Defined Ranges'!$C$29),3,FALSE),"")</f>
        <v>22</v>
      </c>
      <c r="O27" s="103">
        <f t="shared" si="0"/>
        <v>22</v>
      </c>
      <c r="P27" s="103" t="str" cm="1">
        <f t="array" ref="P27">_xlfn.IFS(LSelected="English",Network_Agent[[#This Row],[Verification Type English]],LSelected="Spanish",Network_Agent[[#This Row],[Verification Type Spanish]],LSelected="French",Network_Agent[[#This Row],[Verification Type French]],LSelected="Portuguese",Network_Agent[[#This Row],[Verification Type Portuguese]])</f>
        <v>Requisitos de KYC</v>
      </c>
      <c r="Q27" s="103" t="str" cm="1">
        <f t="array" ref="Q27">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What IDs do you accept as valid if I am sending a transaction for $,$$$ (an amount over $1,000) to XXX?</v>
      </c>
      <c r="T27" s="103" t="s">
        <v>644</v>
      </c>
      <c r="U27" s="103" t="s">
        <v>175</v>
      </c>
      <c r="V27" s="103" t="s">
        <v>819</v>
      </c>
      <c r="W27" s="387" t="str">
        <f>IF('Gen Info'!$E$4="Spain","Requerimientos de KYC","Requisitos de KYC")</f>
        <v>Requisitos de KYC</v>
      </c>
      <c r="X27" s="103" t="s">
        <v>820</v>
      </c>
      <c r="Y27" s="104" t="str">
        <f>IF('Gen Info'!$E$4="Canada","Exigences en Matière de Connaissance des Clients","Exigences en Matière de Connaissance Client")</f>
        <v>Exigences en Matière de Connaissance Client</v>
      </c>
      <c r="Z27" s="99" t="s">
        <v>821</v>
      </c>
      <c r="AA27" s="382" t="s">
        <v>178</v>
      </c>
      <c r="AB27" s="103" t="s">
        <v>822</v>
      </c>
      <c r="AF27" s="353" t="s">
        <v>823</v>
      </c>
      <c r="AG27" s="353" t="s">
        <v>824</v>
      </c>
      <c r="AH27" s="353">
        <v>3</v>
      </c>
      <c r="AI27" s="99" t="s">
        <v>581</v>
      </c>
      <c r="AJ27" s="353" t="s">
        <v>825</v>
      </c>
      <c r="AK27" s="353" t="s">
        <v>826</v>
      </c>
      <c r="AL27" s="353"/>
      <c r="AM27" s="353" t="s">
        <v>827</v>
      </c>
      <c r="AN27" s="353" t="s">
        <v>42</v>
      </c>
      <c r="AO27" s="353" t="str">
        <f ca="1">IFERROR(VLOOKUP(Network_Agent_Canada[[#This Row],[iWatch '#]],INDIRECT('Defined Ranges'!$C$28&amp;"ROrder"&amp;'Defined Ranges'!$C$29),2,FALSE),"")</f>
        <v/>
      </c>
      <c r="AP27" s="353" t="str">
        <f ca="1">IFERROR(VLOOKUP(Network_Agent_Canada[[#This Row],[iWatch '#]],INDIRECT('Defined Ranges'!$C$28&amp;"ROrder"&amp;'Defined Ranges'!$C$29),3,FALSE),"")</f>
        <v/>
      </c>
      <c r="AQ27" s="353">
        <f t="shared" ca="1" si="2"/>
        <v>45</v>
      </c>
      <c r="AR27" s="353" t="str" cm="1">
        <f t="array" ref="AR27">_xlfn.IFS(LSelected="English",Network_Agent_Canada[[#This Row],[Verification Type English]],LSelected="Spanish",Network_Agent_Canada[[#This Row],[Verification Type Spanish]],LSelected="French",Network_Agent_Canada[[#This Row],[Verification Type French]],LSelected="Portuguese",Network_Agent_Canada[[#This Row],[Verification Type Portuguese]])</f>
        <v>Requisitos de KYC</v>
      </c>
      <c r="AS27" s="353" t="str" cm="1">
        <f t="array" ref="AS27">_xlfn.IFS(SScript="English",Network_Agent_Canada[[#This Row],[Suggested script English]],SScript="Spanish",Network_Agent_Canada[[#This Row],[Suggested script Spanish]],SScript="French",Network_Agent_Canada[[#This Row],[Suggested script French]],SScript="Portuguese",Network_Agent_Canada[[#This Row],[Suggested script Portuguese]])</f>
        <v xml:space="preserve"> </v>
      </c>
      <c r="AT27" s="353"/>
      <c r="AU27" s="353"/>
      <c r="AV27" s="353" t="s">
        <v>828</v>
      </c>
      <c r="AW27" s="353" t="s">
        <v>175</v>
      </c>
      <c r="AX27" s="353" t="s">
        <v>42</v>
      </c>
      <c r="AY27" s="384" t="s">
        <v>178</v>
      </c>
      <c r="AZ27" s="353" t="s">
        <v>42</v>
      </c>
      <c r="BA27" s="384" t="s">
        <v>177</v>
      </c>
      <c r="BB27" s="353" t="s">
        <v>42</v>
      </c>
      <c r="BC27" s="384" t="s">
        <v>178</v>
      </c>
      <c r="BD27" s="353" t="s">
        <v>42</v>
      </c>
    </row>
    <row r="28" spans="4:56" outlineLevel="1">
      <c r="D28" s="103" t="s">
        <v>829</v>
      </c>
      <c r="E28" s="103" t="s">
        <v>830</v>
      </c>
      <c r="F28" s="103">
        <v>2</v>
      </c>
      <c r="G28" s="103" t="s">
        <v>609</v>
      </c>
      <c r="H28" s="103" t="s">
        <v>831</v>
      </c>
      <c r="I28" s="103" t="s">
        <v>832</v>
      </c>
      <c r="J28" s="103" t="s">
        <v>42</v>
      </c>
      <c r="K28" s="103" t="s">
        <v>42</v>
      </c>
      <c r="L28" s="103" t="s">
        <v>42</v>
      </c>
      <c r="M28" s="103">
        <f ca="1">IFERROR(VLOOKUP(Network_Agent[[#This Row],[iWatch '#]],INDIRECT('Defined Ranges'!$C$28&amp;"Order"&amp;'Defined Ranges'!$C$29),2,FALSE),"")</f>
        <v>17</v>
      </c>
      <c r="N28" s="103">
        <f ca="1">IFERROR(VLOOKUP(Network_Agent[[#This Row],[iWatch '#]],INDIRECT('Defined Ranges'!$C$28&amp;"Order"&amp;'Defined Ranges'!$C$29),3,FALSE),"")</f>
        <v>23</v>
      </c>
      <c r="O28" s="103">
        <f t="shared" si="0"/>
        <v>23</v>
      </c>
      <c r="P28" s="103" t="str" cm="1">
        <f t="array" ref="P28">_xlfn.IFS(LSelected="English",Network_Agent[[#This Row],[Verification Type English]],LSelected="Spanish",Network_Agent[[#This Row],[Verification Type Spanish]],LSelected="French",Network_Agent[[#This Row],[Verification Type French]],LSelected="Portuguese",Network_Agent[[#This Row],[Verification Type Portuguese]])</f>
        <v>Requisitos de KYC</v>
      </c>
      <c r="Q28" s="103" t="str" cm="1">
        <f t="array" ref="Q28">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1) What information do you check on the ID once you have it in your hands?</v>
      </c>
      <c r="T28" s="103" t="s">
        <v>644</v>
      </c>
      <c r="U28" s="103" t="s">
        <v>175</v>
      </c>
      <c r="V28" s="103" t="s">
        <v>833</v>
      </c>
      <c r="W28" s="387" t="str">
        <f>IF('Gen Info'!$E$4="Spain","Requerimientos de KYC","Requisitos de KYC")</f>
        <v>Requisitos de KYC</v>
      </c>
      <c r="X28" s="103" t="s">
        <v>834</v>
      </c>
      <c r="Y28" s="104" t="str">
        <f>IF('Gen Info'!$E$4="Canada","Exigences en Matière de Connaissance des Clients","Exigences en Matière de Connaissance Client")</f>
        <v>Exigences en Matière de Connaissance Client</v>
      </c>
      <c r="Z28" s="99" t="s">
        <v>835</v>
      </c>
      <c r="AA28" s="382" t="s">
        <v>178</v>
      </c>
      <c r="AB28" s="103" t="s">
        <v>836</v>
      </c>
      <c r="AF28" s="353" t="s">
        <v>731</v>
      </c>
      <c r="AG28" s="353" t="s">
        <v>837</v>
      </c>
      <c r="AH28" s="353">
        <v>3</v>
      </c>
      <c r="AI28" s="99" t="s">
        <v>581</v>
      </c>
      <c r="AJ28" s="353" t="s">
        <v>838</v>
      </c>
      <c r="AK28" s="353" t="s">
        <v>839</v>
      </c>
      <c r="AL28" s="353"/>
      <c r="AM28" s="353" t="s">
        <v>840</v>
      </c>
      <c r="AN28" s="353" t="s">
        <v>42</v>
      </c>
      <c r="AO28" s="353" t="str">
        <f ca="1">IFERROR(VLOOKUP(Network_Agent_Canada[[#This Row],[iWatch '#]],INDIRECT('Defined Ranges'!$C$28&amp;"ROrder"&amp;'Defined Ranges'!$C$29),2,FALSE),"")</f>
        <v/>
      </c>
      <c r="AP28" s="353" t="str">
        <f ca="1">IFERROR(VLOOKUP(Network_Agent_Canada[[#This Row],[iWatch '#]],INDIRECT('Defined Ranges'!$C$28&amp;"ROrder"&amp;'Defined Ranges'!$C$29),3,FALSE),"")</f>
        <v/>
      </c>
      <c r="AQ28" s="353">
        <f t="shared" ca="1" si="2"/>
        <v>46</v>
      </c>
      <c r="AR28" s="353" t="str" cm="1">
        <f t="array" ref="AR28">_xlfn.IFS(LSelected="English",Network_Agent_Canada[[#This Row],[Verification Type English]],LSelected="Spanish",Network_Agent_Canada[[#This Row],[Verification Type Spanish]],LSelected="French",Network_Agent_Canada[[#This Row],[Verification Type French]],LSelected="Portuguese",Network_Agent_Canada[[#This Row],[Verification Type Portuguese]])</f>
        <v>Conservación de Registros</v>
      </c>
      <c r="AS28" s="353" t="str" cm="1">
        <f t="array" ref="AS28">_xlfn.IFS(SScript="English",Network_Agent_Canada[[#This Row],[Suggested script English]],SScript="Spanish",Network_Agent_Canada[[#This Row],[Suggested script Spanish]],SScript="French",Network_Agent_Canada[[#This Row],[Suggested script French]],SScript="Portuguese",Network_Agent_Canada[[#This Row],[Suggested script Portuguese]])</f>
        <v xml:space="preserve"> </v>
      </c>
      <c r="AT28" s="353"/>
      <c r="AU28" s="353"/>
      <c r="AV28" s="353" t="s">
        <v>585</v>
      </c>
      <c r="AW28" s="99" t="s">
        <v>193</v>
      </c>
      <c r="AX28" s="353" t="s">
        <v>42</v>
      </c>
      <c r="AY28" s="99" t="str">
        <f>IF('Gen Info'!$E$4="Spain","Mantenimiento de Registros","Conservación de Registros")</f>
        <v>Conservación de Registros</v>
      </c>
      <c r="AZ28" s="353" t="s">
        <v>42</v>
      </c>
      <c r="BA28" s="99" t="s">
        <v>195</v>
      </c>
      <c r="BB28" s="353" t="s">
        <v>42</v>
      </c>
      <c r="BC28" s="99" t="s">
        <v>196</v>
      </c>
      <c r="BD28" s="353" t="s">
        <v>42</v>
      </c>
    </row>
    <row r="29" spans="4:56" outlineLevel="1">
      <c r="D29" s="103" t="s">
        <v>841</v>
      </c>
      <c r="E29" s="103" t="s">
        <v>842</v>
      </c>
      <c r="F29" s="103">
        <v>2</v>
      </c>
      <c r="G29" s="103" t="s">
        <v>609</v>
      </c>
      <c r="H29" s="103" t="s">
        <v>843</v>
      </c>
      <c r="I29" s="103" t="s">
        <v>844</v>
      </c>
      <c r="J29" s="103" t="s">
        <v>42</v>
      </c>
      <c r="K29" s="103" t="s">
        <v>42</v>
      </c>
      <c r="L29" s="103" t="s">
        <v>42</v>
      </c>
      <c r="M29" s="103">
        <f ca="1">IFERROR(VLOOKUP(Network_Agent[[#This Row],[iWatch '#]],INDIRECT('Defined Ranges'!$C$28&amp;"Order"&amp;'Defined Ranges'!$C$29),2,FALSE),"")</f>
        <v>23</v>
      </c>
      <c r="N29" s="103">
        <f ca="1">IFERROR(VLOOKUP(Network_Agent[[#This Row],[iWatch '#]],INDIRECT('Defined Ranges'!$C$28&amp;"Order"&amp;'Defined Ranges'!$C$29),3,FALSE),"")</f>
        <v>24</v>
      </c>
      <c r="O29" s="103">
        <f t="shared" si="0"/>
        <v>24</v>
      </c>
      <c r="P29" s="103" t="str" cm="1">
        <f t="array" ref="P29">_xlfn.IFS(LSelected="English",Network_Agent[[#This Row],[Verification Type English]],LSelected="Spanish",Network_Agent[[#This Row],[Verification Type Spanish]],LSelected="French",Network_Agent[[#This Row],[Verification Type French]],LSelected="Portuguese",Network_Agent[[#This Row],[Verification Type Portuguese]])</f>
        <v>Requisitos de KYC</v>
      </c>
      <c r="Q29" s="103" t="str" cm="1">
        <f t="array" ref="Q29">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 xml:space="preserve">
What happens if someone wants to send money on behalf of another person? If this possible? What is needed?</v>
      </c>
      <c r="T29" s="103" t="s">
        <v>644</v>
      </c>
      <c r="U29" s="103" t="s">
        <v>175</v>
      </c>
      <c r="V29" s="103" t="s">
        <v>845</v>
      </c>
      <c r="W29" s="387" t="str">
        <f>IF('Gen Info'!$E$4="Spain","Requerimientos de KYC","Requisitos de KYC")</f>
        <v>Requisitos de KYC</v>
      </c>
      <c r="X29" s="103" t="s">
        <v>846</v>
      </c>
      <c r="Y29" s="104" t="str">
        <f>IF('Gen Info'!$E$4="Canada","Exigences en Matière de Connaissance des Clients","Exigences en Matière de Connaissance Client")</f>
        <v>Exigences en Matière de Connaissance Client</v>
      </c>
      <c r="Z29" s="99" t="s">
        <v>847</v>
      </c>
      <c r="AA29" s="382" t="s">
        <v>178</v>
      </c>
      <c r="AB29" s="103" t="s">
        <v>848</v>
      </c>
    </row>
    <row r="30" spans="4:56" outlineLevel="1">
      <c r="D30" s="103" t="s">
        <v>849</v>
      </c>
      <c r="E30" s="103" t="s">
        <v>850</v>
      </c>
      <c r="F30" s="103">
        <v>2</v>
      </c>
      <c r="G30" s="103" t="s">
        <v>609</v>
      </c>
      <c r="H30" s="103" t="s">
        <v>851</v>
      </c>
      <c r="I30" s="103" t="s">
        <v>852</v>
      </c>
      <c r="J30" s="103" t="s">
        <v>42</v>
      </c>
      <c r="K30" s="103" t="s">
        <v>42</v>
      </c>
      <c r="L30" s="103" t="s">
        <v>42</v>
      </c>
      <c r="M30" s="103">
        <f ca="1">IFERROR(VLOOKUP(Network_Agent[[#This Row],[iWatch '#]],INDIRECT('Defined Ranges'!$C$28&amp;"Order"&amp;'Defined Ranges'!$C$29),2,FALSE),"")</f>
        <v>24</v>
      </c>
      <c r="N30" s="103">
        <f ca="1">IFERROR(VLOOKUP(Network_Agent[[#This Row],[iWatch '#]],INDIRECT('Defined Ranges'!$C$28&amp;"Order"&amp;'Defined Ranges'!$C$29),3,FALSE),"")</f>
        <v>25</v>
      </c>
      <c r="O30" s="103">
        <f t="shared" si="0"/>
        <v>25</v>
      </c>
      <c r="P30" s="103" t="str" cm="1">
        <f t="array" ref="P30">_xlfn.IFS(LSelected="English",Network_Agent[[#This Row],[Verification Type English]],LSelected="Spanish",Network_Agent[[#This Row],[Verification Type Spanish]],LSelected="French",Network_Agent[[#This Row],[Verification Type French]],LSelected="Portuguese",Network_Agent[[#This Row],[Verification Type Portuguese]])</f>
        <v>Requisitos de KYC</v>
      </c>
      <c r="Q30" s="103" t="str" cm="1">
        <f t="array" ref="Q30">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Let’s say I am a regular customer who cannot come to the store right now and I call you to ask that you process a transaction for me, and I will pay for it later. What would you do in a case like this?</v>
      </c>
      <c r="T30" s="103" t="s">
        <v>853</v>
      </c>
      <c r="U30" s="103" t="s">
        <v>175</v>
      </c>
      <c r="V30" s="103" t="s">
        <v>854</v>
      </c>
      <c r="W30" s="387" t="str">
        <f>IF('Gen Info'!$E$4="Spain","Requerimientos de KYC","Requisitos de KYC")</f>
        <v>Requisitos de KYC</v>
      </c>
      <c r="X30" s="103" t="s">
        <v>855</v>
      </c>
      <c r="Y30" s="104" t="str">
        <f>IF('Gen Info'!$E$4="Canada","Exigences en Matière de Connaissance des Clients","Exigences en Matière de Connaissance Client")</f>
        <v>Exigences en Matière de Connaissance Client</v>
      </c>
      <c r="Z30" s="99" t="s">
        <v>856</v>
      </c>
      <c r="AA30" s="382" t="s">
        <v>178</v>
      </c>
      <c r="AB30" s="103" t="s">
        <v>857</v>
      </c>
      <c r="AF30" s="103" t="s">
        <v>69</v>
      </c>
      <c r="AG30" s="103" t="s">
        <v>120</v>
      </c>
      <c r="AH30" s="103" t="s">
        <v>552</v>
      </c>
      <c r="AI30" s="103" t="s">
        <v>553</v>
      </c>
      <c r="AJ30" s="103" t="s">
        <v>573</v>
      </c>
      <c r="AK30" s="103" t="s">
        <v>574</v>
      </c>
      <c r="AL30" s="103" t="s">
        <v>575</v>
      </c>
      <c r="AM30" s="103" t="s">
        <v>557</v>
      </c>
      <c r="AN30" s="103" t="s">
        <v>558</v>
      </c>
      <c r="AO30" s="103" t="s">
        <v>559</v>
      </c>
      <c r="AP30" s="103" t="s">
        <v>115</v>
      </c>
      <c r="AQ30" s="103" t="s">
        <v>68</v>
      </c>
      <c r="AR30" s="103" t="s">
        <v>560</v>
      </c>
      <c r="AS30" s="103" t="s">
        <v>561</v>
      </c>
      <c r="AT30" s="103" t="s">
        <v>562</v>
      </c>
      <c r="AU30" s="103" t="s">
        <v>563</v>
      </c>
      <c r="AV30" s="103" t="s">
        <v>564</v>
      </c>
      <c r="AW30" s="103" t="s">
        <v>565</v>
      </c>
      <c r="AX30" s="103" t="s">
        <v>566</v>
      </c>
      <c r="AY30" s="103" t="s">
        <v>567</v>
      </c>
      <c r="AZ30" s="103" t="s">
        <v>568</v>
      </c>
      <c r="BA30" s="103" t="s">
        <v>569</v>
      </c>
      <c r="BB30" s="103" t="s">
        <v>570</v>
      </c>
      <c r="BC30" s="103" t="s">
        <v>571</v>
      </c>
      <c r="BD30" s="103" t="s">
        <v>572</v>
      </c>
    </row>
    <row r="31" spans="4:56" outlineLevel="1">
      <c r="D31" s="103" t="s">
        <v>858</v>
      </c>
      <c r="E31" s="103" t="s">
        <v>859</v>
      </c>
      <c r="F31" s="103">
        <v>3</v>
      </c>
      <c r="G31" s="103" t="s">
        <v>679</v>
      </c>
      <c r="H31" s="103" t="s">
        <v>860</v>
      </c>
      <c r="I31" s="103" t="s">
        <v>861</v>
      </c>
      <c r="J31" s="103" t="s">
        <v>42</v>
      </c>
      <c r="K31" s="103" t="s">
        <v>862</v>
      </c>
      <c r="L31" s="103" t="s">
        <v>42</v>
      </c>
      <c r="M31" s="103">
        <f ca="1">IFERROR(VLOOKUP(Network_Agent[[#This Row],[iWatch '#]],INDIRECT('Defined Ranges'!$C$28&amp;"Order"&amp;'Defined Ranges'!$C$29),2,FALSE),"")</f>
        <v>10</v>
      </c>
      <c r="N31" s="103">
        <f ca="1">IFERROR(VLOOKUP(Network_Agent[[#This Row],[iWatch '#]],INDIRECT('Defined Ranges'!$C$28&amp;"Order"&amp;'Defined Ranges'!$C$29),3,FALSE),"")</f>
        <v>26</v>
      </c>
      <c r="O31" s="103">
        <f t="shared" si="0"/>
        <v>26</v>
      </c>
      <c r="P31" s="103" t="str" cm="1">
        <f t="array" ref="P31">_xlfn.IFS(LSelected="English",Network_Agent[[#This Row],[Verification Type English]],LSelected="Spanish",Network_Agent[[#This Row],[Verification Type Spanish]],LSelected="French",Network_Agent[[#This Row],[Verification Type French]],LSelected="Portuguese",Network_Agent[[#This Row],[Verification Type Portuguese]])</f>
        <v>Requisitos de KYC</v>
      </c>
      <c r="Q31" s="103" t="str" cm="1">
        <f t="array" ref="Q31">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If agent is NOT formless:
1) Who fill in the forms?
2) Do you ever help the customer fill in the forms?
3) At the end of the transactions, who sign the receipts?</v>
      </c>
      <c r="T31" s="103" t="s">
        <v>853</v>
      </c>
      <c r="U31" s="103" t="s">
        <v>175</v>
      </c>
      <c r="V31" s="103" t="s">
        <v>863</v>
      </c>
      <c r="W31" s="387" t="str">
        <f>IF('Gen Info'!$E$4="Spain","Requerimientos de KYC","Requisitos de KYC")</f>
        <v>Requisitos de KYC</v>
      </c>
      <c r="X31" s="103" t="s">
        <v>864</v>
      </c>
      <c r="Y31" s="104" t="str">
        <f>IF('Gen Info'!$E$4="Canada","Exigences en Matière de Connaissance des Clients","Exigences en Matière de Connaissance Client")</f>
        <v>Exigences en Matière de Connaissance Client</v>
      </c>
      <c r="Z31" s="99" t="s">
        <v>865</v>
      </c>
      <c r="AA31" s="382" t="s">
        <v>178</v>
      </c>
      <c r="AB31" s="103" t="s">
        <v>866</v>
      </c>
      <c r="AF31" s="459" t="s">
        <v>630</v>
      </c>
      <c r="AG31" s="459" t="s">
        <v>867</v>
      </c>
      <c r="AH31" s="103">
        <v>3</v>
      </c>
      <c r="AI31" s="99" t="s">
        <v>581</v>
      </c>
      <c r="AJ31" s="459" t="s">
        <v>868</v>
      </c>
      <c r="AK31" s="459" t="s">
        <v>869</v>
      </c>
      <c r="AM31" s="459" t="s">
        <v>870</v>
      </c>
      <c r="AO31" s="103" t="str">
        <f ca="1">IFERROR(VLOOKUP(Network_Agent_Australia[[#This Row],[iWatch '#]],INDIRECT('Defined Ranges'!$C$28&amp;"ROrder"&amp;'Defined Ranges'!$C$29),2,FALSE),"")</f>
        <v/>
      </c>
      <c r="AP31" s="103" t="str">
        <f ca="1">IFERROR(VLOOKUP(Network_Agent_Australia[[#This Row],[iWatch '#]],INDIRECT('Defined Ranges'!$C$28&amp;"ROrder"&amp;'Defined Ranges'!$C$29),3,FALSE),"")</f>
        <v/>
      </c>
      <c r="AQ31" s="103">
        <f ca="1">'Defined Ranges'!$D$23+1</f>
        <v>42</v>
      </c>
      <c r="AR31" s="103" cm="1">
        <f t="array" ref="AR31">_xlfn.IFS(LSelected="English",Network_Agent_Australia[[#This Row],[Verification Type English]],LSelected="Spanish",Network_Agent_Australia[[#This Row],[Verification Type Spanish]],LSelected="French",Network_Agent_Australia[[#This Row],[Verification Type French]],LSelected="Portuguese",Network_Agent_Australia[[#This Row],[Verification Type Portuguese]])</f>
        <v>0</v>
      </c>
      <c r="AV31" s="353" t="s">
        <v>698</v>
      </c>
      <c r="AW31" s="99" t="s">
        <v>141</v>
      </c>
    </row>
    <row r="32" spans="4:56" outlineLevel="1">
      <c r="D32" s="103" t="s">
        <v>871</v>
      </c>
      <c r="E32" s="103" t="s">
        <v>872</v>
      </c>
      <c r="F32" s="103">
        <v>3</v>
      </c>
      <c r="G32" s="103" t="s">
        <v>679</v>
      </c>
      <c r="H32" s="103" t="s">
        <v>873</v>
      </c>
      <c r="I32" s="103" t="s">
        <v>874</v>
      </c>
      <c r="J32" s="103" t="s">
        <v>42</v>
      </c>
      <c r="K32" s="103" t="s">
        <v>875</v>
      </c>
      <c r="L32" s="103" t="s">
        <v>42</v>
      </c>
      <c r="M32" s="103">
        <f ca="1">IFERROR(VLOOKUP(Network_Agent[[#This Row],[iWatch '#]],INDIRECT('Defined Ranges'!$C$28&amp;"Order"&amp;'Defined Ranges'!$C$29),2,FALSE),"")</f>
        <v>18</v>
      </c>
      <c r="N32" s="103">
        <f ca="1">IFERROR(VLOOKUP(Network_Agent[[#This Row],[iWatch '#]],INDIRECT('Defined Ranges'!$C$28&amp;"Order"&amp;'Defined Ranges'!$C$29),3,FALSE),"")</f>
        <v>27</v>
      </c>
      <c r="O32" s="103">
        <f t="shared" si="0"/>
        <v>27</v>
      </c>
      <c r="P32" s="103" t="str" cm="1">
        <f t="array" ref="P32">_xlfn.IFS(LSelected="English",Network_Agent[[#This Row],[Verification Type English]],LSelected="Spanish",Network_Agent[[#This Row],[Verification Type Spanish]],LSelected="French",Network_Agent[[#This Row],[Verification Type French]],LSelected="Portuguese",Network_Agent[[#This Row],[Verification Type Portuguese]])</f>
        <v>Requisitos de KYC</v>
      </c>
      <c r="Q32" s="103" t="str" cm="1">
        <f t="array" ref="Q32">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1) Is there any specific requirement for transactions after certain amount?
2) Do you know what a Large Principal Money transfer (LPMT) is? / What process should I go through if I am sending $$ to XXX?
3) What happens if a client wants to send more than the amount allowed. Look out for splitting.</v>
      </c>
      <c r="T32" s="103" t="s">
        <v>853</v>
      </c>
      <c r="U32" s="103" t="s">
        <v>175</v>
      </c>
      <c r="V32" s="103" t="s">
        <v>876</v>
      </c>
      <c r="W32" s="387" t="str">
        <f>IF('Gen Info'!$E$4="Spain","Requerimientos de KYC","Requisitos de KYC")</f>
        <v>Requisitos de KYC</v>
      </c>
      <c r="X32" s="103" t="s">
        <v>877</v>
      </c>
      <c r="Y32" s="104" t="str">
        <f>IF('Gen Info'!$E$4="Canada","Exigences en Matière de Connaissance des Clients","Exigences en Matière de Connaissance Client")</f>
        <v>Exigences en Matière de Connaissance Client</v>
      </c>
      <c r="Z32" s="100" t="s">
        <v>878</v>
      </c>
      <c r="AA32" s="382" t="s">
        <v>178</v>
      </c>
      <c r="AB32" s="103" t="s">
        <v>879</v>
      </c>
      <c r="AF32" s="459" t="s">
        <v>803</v>
      </c>
      <c r="AG32" s="459" t="s">
        <v>880</v>
      </c>
      <c r="AH32" s="97"/>
      <c r="AJ32" s="459"/>
      <c r="AK32" s="459"/>
      <c r="AM32" s="459"/>
      <c r="AO32" s="103" t="str">
        <f ca="1">IFERROR(VLOOKUP(Network_Agent_Australia[[#This Row],[iWatch '#]],INDIRECT('Defined Ranges'!$C$28&amp;"ROrder"&amp;'Defined Ranges'!$C$29),2,FALSE),"")</f>
        <v/>
      </c>
      <c r="AP32" s="103" t="str">
        <f ca="1">IFERROR(VLOOKUP(Network_Agent_Australia[[#This Row],[iWatch '#]],INDIRECT('Defined Ranges'!$C$28&amp;"ROrder"&amp;'Defined Ranges'!$C$29),3,FALSE),"")</f>
        <v/>
      </c>
      <c r="AQ32" s="103">
        <f ca="1">AQ31+1</f>
        <v>43</v>
      </c>
      <c r="AR32" s="103" cm="1">
        <f t="array" ref="AR32">_xlfn.IFS(LSelected="English",Network_Agent_Australia[[#This Row],[Verification Type English]],LSelected="Spanish",Network_Agent_Australia[[#This Row],[Verification Type Spanish]],LSelected="French",Network_Agent_Australia[[#This Row],[Verification Type French]],LSelected="Portuguese",Network_Agent_Australia[[#This Row],[Verification Type Portuguese]])</f>
        <v>0</v>
      </c>
    </row>
    <row r="33" spans="4:49" outlineLevel="1">
      <c r="D33" s="103" t="s">
        <v>881</v>
      </c>
      <c r="E33" s="103" t="s">
        <v>882</v>
      </c>
      <c r="F33" s="103">
        <v>3</v>
      </c>
      <c r="G33" s="103" t="s">
        <v>679</v>
      </c>
      <c r="H33" s="103" t="s">
        <v>883</v>
      </c>
      <c r="I33" s="103" t="s">
        <v>884</v>
      </c>
      <c r="J33" s="103" t="s">
        <v>42</v>
      </c>
      <c r="K33" s="103" t="s">
        <v>885</v>
      </c>
      <c r="L33" s="103" t="s">
        <v>42</v>
      </c>
      <c r="M33" s="103">
        <f ca="1">IFERROR(VLOOKUP(Network_Agent[[#This Row],[iWatch '#]],INDIRECT('Defined Ranges'!$C$28&amp;"Order"&amp;'Defined Ranges'!$C$29),2,FALSE),"")</f>
        <v>8</v>
      </c>
      <c r="N33" s="103">
        <f ca="1">IFERROR(VLOOKUP(Network_Agent[[#This Row],[iWatch '#]],INDIRECT('Defined Ranges'!$C$28&amp;"Order"&amp;'Defined Ranges'!$C$29),3,FALSE),"")</f>
        <v>28</v>
      </c>
      <c r="O33" s="103">
        <f t="shared" si="0"/>
        <v>28</v>
      </c>
      <c r="P33" s="103" t="str" cm="1">
        <f t="array" ref="P33">_xlfn.IFS(LSelected="English",Network_Agent[[#This Row],[Verification Type English]],LSelected="Spanish",Network_Agent[[#This Row],[Verification Type Spanish]],LSelected="French",Network_Agent[[#This Row],[Verification Type French]],LSelected="Portuguese",Network_Agent[[#This Row],[Verification Type Portuguese]])</f>
        <v>Protección del Consumidor</v>
      </c>
      <c r="Q33" s="103" t="str" cm="1">
        <f t="array" ref="Q33">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How do you know how much to charge for a Send transaction?</v>
      </c>
      <c r="T33" s="103" t="s">
        <v>585</v>
      </c>
      <c r="U33" s="103" t="s">
        <v>159</v>
      </c>
      <c r="V33" s="103" t="s">
        <v>886</v>
      </c>
      <c r="W33" s="388" t="s">
        <v>160</v>
      </c>
      <c r="X33" s="103" t="s">
        <v>887</v>
      </c>
      <c r="Y33" s="100" t="s">
        <v>161</v>
      </c>
      <c r="Z33" s="100" t="s">
        <v>888</v>
      </c>
      <c r="AA33" s="396" t="str">
        <f>IF('Gen Info'!$E$4="Portugal","Proteção dos consumidores","Proteção ao Consumidor")</f>
        <v>Proteção ao Consumidor</v>
      </c>
      <c r="AB33" s="103" t="s">
        <v>889</v>
      </c>
      <c r="AF33" s="459" t="s">
        <v>810</v>
      </c>
      <c r="AG33" s="459" t="s">
        <v>890</v>
      </c>
      <c r="AH33" s="103">
        <v>2</v>
      </c>
      <c r="AI33" s="99" t="s">
        <v>609</v>
      </c>
      <c r="AJ33" s="459" t="s">
        <v>891</v>
      </c>
      <c r="AK33" s="459" t="s">
        <v>892</v>
      </c>
      <c r="AM33" s="459"/>
      <c r="AO33" s="103" t="str">
        <f ca="1">IFERROR(VLOOKUP(Network_Agent_Australia[[#This Row],[iWatch '#]],INDIRECT('Defined Ranges'!$C$28&amp;"ROrder"&amp;'Defined Ranges'!$C$29),2,FALSE),"")</f>
        <v/>
      </c>
      <c r="AP33" s="103" t="str">
        <f ca="1">IFERROR(VLOOKUP(Network_Agent_Australia[[#This Row],[iWatch '#]],INDIRECT('Defined Ranges'!$C$28&amp;"ROrder"&amp;'Defined Ranges'!$C$29),3,FALSE),"")</f>
        <v/>
      </c>
      <c r="AQ33" s="103">
        <f t="shared" ref="AQ33:AQ35" ca="1" si="3">AQ32+1</f>
        <v>44</v>
      </c>
      <c r="AR33" s="103" cm="1">
        <f t="array" ref="AR33">_xlfn.IFS(LSelected="English",Network_Agent_Australia[[#This Row],[Verification Type English]],LSelected="Spanish",Network_Agent_Australia[[#This Row],[Verification Type Spanish]],LSelected="French",Network_Agent_Australia[[#This Row],[Verification Type French]],LSelected="Portuguese",Network_Agent_Australia[[#This Row],[Verification Type Portuguese]])</f>
        <v>0</v>
      </c>
      <c r="AV33" s="353" t="s">
        <v>644</v>
      </c>
      <c r="AW33" s="99" t="s">
        <v>141</v>
      </c>
    </row>
    <row r="34" spans="4:49" outlineLevel="1">
      <c r="D34" s="103" t="s">
        <v>893</v>
      </c>
      <c r="E34" s="103" t="s">
        <v>894</v>
      </c>
      <c r="F34" s="103">
        <v>3</v>
      </c>
      <c r="G34" s="103" t="s">
        <v>679</v>
      </c>
      <c r="H34" s="103" t="s">
        <v>895</v>
      </c>
      <c r="I34" s="103" t="s">
        <v>896</v>
      </c>
      <c r="J34" s="103" t="s">
        <v>42</v>
      </c>
      <c r="K34" s="103" t="s">
        <v>897</v>
      </c>
      <c r="L34" s="103" t="s">
        <v>42</v>
      </c>
      <c r="M34" s="103">
        <f ca="1">IFERROR(VLOOKUP(Network_Agent[[#This Row],[iWatch '#]],INDIRECT('Defined Ranges'!$C$28&amp;"Order"&amp;'Defined Ranges'!$C$29),2,FALSE),"")</f>
        <v>9</v>
      </c>
      <c r="N34" s="103">
        <f ca="1">IFERROR(VLOOKUP(Network_Agent[[#This Row],[iWatch '#]],INDIRECT('Defined Ranges'!$C$28&amp;"Order"&amp;'Defined Ranges'!$C$29),3,FALSE),"")</f>
        <v>29</v>
      </c>
      <c r="O34" s="103">
        <f t="shared" si="0"/>
        <v>29</v>
      </c>
      <c r="P34" s="103" t="str" cm="1">
        <f t="array" ref="P34">_xlfn.IFS(LSelected="English",Network_Agent[[#This Row],[Verification Type English]],LSelected="Spanish",Network_Agent[[#This Row],[Verification Type Spanish]],LSelected="French",Network_Agent[[#This Row],[Verification Type French]],LSelected="Portuguese",Network_Agent[[#This Row],[Verification Type Portuguese]])</f>
        <v>Protección del Consumidor</v>
      </c>
      <c r="Q34" s="103" t="str" cm="1">
        <f t="array" ref="Q34">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How do you know how much to charge for a Receive/payout transaction?</v>
      </c>
      <c r="T34" s="103" t="s">
        <v>585</v>
      </c>
      <c r="U34" s="103" t="s">
        <v>159</v>
      </c>
      <c r="V34" s="103" t="s">
        <v>898</v>
      </c>
      <c r="W34" s="388" t="s">
        <v>160</v>
      </c>
      <c r="X34" s="103" t="s">
        <v>899</v>
      </c>
      <c r="Y34" s="100" t="s">
        <v>161</v>
      </c>
      <c r="Z34" s="100" t="s">
        <v>900</v>
      </c>
      <c r="AA34" s="396" t="str">
        <f>IF('Gen Info'!$E$4="Portugal","Proteção dos consumidores","Proteção ao Consumidor")</f>
        <v>Proteção ao Consumidor</v>
      </c>
      <c r="AB34" s="103" t="s">
        <v>901</v>
      </c>
      <c r="AF34" s="459" t="s">
        <v>902</v>
      </c>
      <c r="AG34" s="459" t="s">
        <v>903</v>
      </c>
      <c r="AH34" s="103">
        <v>2</v>
      </c>
      <c r="AI34" s="99" t="s">
        <v>609</v>
      </c>
      <c r="AJ34" s="459" t="s">
        <v>904</v>
      </c>
      <c r="AK34" s="459" t="s">
        <v>905</v>
      </c>
      <c r="AM34" s="459"/>
      <c r="AO34" s="103" t="str">
        <f ca="1">IFERROR(VLOOKUP(Network_Agent_Australia[[#This Row],[iWatch '#]],INDIRECT('Defined Ranges'!$C$28&amp;"ROrder"&amp;'Defined Ranges'!$C$29),2,FALSE),"")</f>
        <v/>
      </c>
      <c r="AP34" s="103" t="str">
        <f ca="1">IFERROR(VLOOKUP(Network_Agent_Australia[[#This Row],[iWatch '#]],INDIRECT('Defined Ranges'!$C$28&amp;"ROrder"&amp;'Defined Ranges'!$C$29),3,FALSE),"")</f>
        <v/>
      </c>
      <c r="AQ34" s="103">
        <f t="shared" ca="1" si="3"/>
        <v>45</v>
      </c>
      <c r="AR34" s="103" cm="1">
        <f t="array" ref="AR34">_xlfn.IFS(LSelected="English",Network_Agent_Australia[[#This Row],[Verification Type English]],LSelected="Spanish",Network_Agent_Australia[[#This Row],[Verification Type Spanish]],LSelected="French",Network_Agent_Australia[[#This Row],[Verification Type French]],LSelected="Portuguese",Network_Agent_Australia[[#This Row],[Verification Type Portuguese]])</f>
        <v>0</v>
      </c>
      <c r="AV34" s="353" t="s">
        <v>644</v>
      </c>
      <c r="AW34" s="99" t="s">
        <v>141</v>
      </c>
    </row>
    <row r="35" spans="4:49" outlineLevel="1">
      <c r="D35" s="103" t="s">
        <v>906</v>
      </c>
      <c r="E35" s="103" t="s">
        <v>907</v>
      </c>
      <c r="F35" s="103">
        <v>2</v>
      </c>
      <c r="G35" s="103" t="s">
        <v>609</v>
      </c>
      <c r="H35" s="103" t="s">
        <v>908</v>
      </c>
      <c r="I35" s="103" t="s">
        <v>909</v>
      </c>
      <c r="J35" s="103" t="s">
        <v>42</v>
      </c>
      <c r="K35" s="103" t="s">
        <v>42</v>
      </c>
      <c r="L35" s="103" t="s">
        <v>42</v>
      </c>
      <c r="M35" s="103">
        <f ca="1">IFERROR(VLOOKUP(Network_Agent[[#This Row],[iWatch '#]],INDIRECT('Defined Ranges'!$C$28&amp;"Order"&amp;'Defined Ranges'!$C$29),2,FALSE),"")</f>
        <v>32</v>
      </c>
      <c r="N35" s="103">
        <f ca="1">IFERROR(VLOOKUP(Network_Agent[[#This Row],[iWatch '#]],INDIRECT('Defined Ranges'!$C$28&amp;"Order"&amp;'Defined Ranges'!$C$29),3,FALSE),"")</f>
        <v>30</v>
      </c>
      <c r="O35" s="103">
        <f t="shared" si="0"/>
        <v>30</v>
      </c>
      <c r="P35" s="103" cm="1">
        <f t="array" ref="P35">_xlfn.IFS(LSelected="English",Network_Agent[[#This Row],[Verification Type English]],LSelected="Spanish",Network_Agent[[#This Row],[Verification Type Spanish]],LSelected="French",Network_Agent[[#This Row],[Verification Type French]],LSelected="Portuguese",Network_Agent[[#This Row],[Verification Type Portuguese]])</f>
        <v>0</v>
      </c>
      <c r="Q35" s="103" t="str" cm="1">
        <f t="array" ref="Q35">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This is an EFRAL question.</v>
      </c>
      <c r="V35" s="103" t="s">
        <v>910</v>
      </c>
      <c r="W35" s="388"/>
      <c r="X35" s="103" t="s">
        <v>910</v>
      </c>
      <c r="Y35" s="100"/>
      <c r="Z35" s="100" t="s">
        <v>910</v>
      </c>
      <c r="AA35" s="347"/>
      <c r="AB35" s="103" t="s">
        <v>910</v>
      </c>
      <c r="AF35" s="459" t="s">
        <v>823</v>
      </c>
      <c r="AG35" s="459" t="s">
        <v>911</v>
      </c>
      <c r="AH35" s="103">
        <v>2</v>
      </c>
      <c r="AI35" s="99" t="s">
        <v>609</v>
      </c>
      <c r="AJ35" s="459" t="s">
        <v>912</v>
      </c>
      <c r="AK35" s="459" t="s">
        <v>913</v>
      </c>
      <c r="AM35" s="459"/>
      <c r="AO35" s="103" t="str">
        <f ca="1">IFERROR(VLOOKUP(Network_Agent_Australia[[#This Row],[iWatch '#]],INDIRECT('Defined Ranges'!$C$28&amp;"ROrder"&amp;'Defined Ranges'!$C$29),2,FALSE),"")</f>
        <v/>
      </c>
      <c r="AP35" s="103" t="str">
        <f ca="1">IFERROR(VLOOKUP(Network_Agent_Australia[[#This Row],[iWatch '#]],INDIRECT('Defined Ranges'!$C$28&amp;"ROrder"&amp;'Defined Ranges'!$C$29),3,FALSE),"")</f>
        <v/>
      </c>
      <c r="AQ35" s="103">
        <f t="shared" ca="1" si="3"/>
        <v>46</v>
      </c>
      <c r="AR35" s="103" cm="1">
        <f t="array" ref="AR35">_xlfn.IFS(LSelected="English",Network_Agent_Australia[[#This Row],[Verification Type English]],LSelected="Spanish",Network_Agent_Australia[[#This Row],[Verification Type Spanish]],LSelected="French",Network_Agent_Australia[[#This Row],[Verification Type French]],LSelected="Portuguese",Network_Agent_Australia[[#This Row],[Verification Type Portuguese]])</f>
        <v>0</v>
      </c>
      <c r="AV35" s="353" t="s">
        <v>644</v>
      </c>
      <c r="AW35" s="353" t="s">
        <v>175</v>
      </c>
    </row>
    <row r="36" spans="4:49" outlineLevel="1">
      <c r="D36" s="103" t="s">
        <v>914</v>
      </c>
      <c r="E36" s="103" t="s">
        <v>915</v>
      </c>
      <c r="F36" s="103">
        <v>2</v>
      </c>
      <c r="G36" s="103" t="s">
        <v>609</v>
      </c>
      <c r="H36" s="103" t="s">
        <v>916</v>
      </c>
      <c r="I36" s="103" t="s">
        <v>917</v>
      </c>
      <c r="J36" s="103" t="s">
        <v>42</v>
      </c>
      <c r="K36" s="103" t="s">
        <v>42</v>
      </c>
      <c r="L36" s="103" t="s">
        <v>42</v>
      </c>
      <c r="M36" s="103">
        <f ca="1">IFERROR(VLOOKUP(Network_Agent[[#This Row],[iWatch '#]],INDIRECT('Defined Ranges'!$C$28&amp;"Order"&amp;'Defined Ranges'!$C$29),2,FALSE),"")</f>
        <v>33</v>
      </c>
      <c r="N36" s="103">
        <f ca="1">IFERROR(VLOOKUP(Network_Agent[[#This Row],[iWatch '#]],INDIRECT('Defined Ranges'!$C$28&amp;"Order"&amp;'Defined Ranges'!$C$29),3,FALSE),"")</f>
        <v>31</v>
      </c>
      <c r="O36" s="103">
        <f t="shared" si="0"/>
        <v>31</v>
      </c>
      <c r="P36" s="103" cm="1">
        <f t="array" ref="P36">_xlfn.IFS(LSelected="English",Network_Agent[[#This Row],[Verification Type English]],LSelected="Spanish",Network_Agent[[#This Row],[Verification Type Spanish]],LSelected="French",Network_Agent[[#This Row],[Verification Type French]],LSelected="Portuguese",Network_Agent[[#This Row],[Verification Type Portuguese]])</f>
        <v>0</v>
      </c>
      <c r="Q36" s="103" t="str" cm="1">
        <f t="array" ref="Q36">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This is an EFRAL question.</v>
      </c>
      <c r="V36" s="103" t="s">
        <v>910</v>
      </c>
      <c r="W36" s="388"/>
      <c r="X36" s="103" t="s">
        <v>910</v>
      </c>
      <c r="Y36" s="99"/>
      <c r="Z36" s="99" t="s">
        <v>910</v>
      </c>
      <c r="AA36" s="382"/>
      <c r="AB36" s="103" t="s">
        <v>910</v>
      </c>
    </row>
    <row r="37" spans="4:49" outlineLevel="1">
      <c r="D37" s="103" t="s">
        <v>918</v>
      </c>
      <c r="E37" s="103" t="s">
        <v>919</v>
      </c>
      <c r="G37" s="103" t="s">
        <v>654</v>
      </c>
      <c r="H37" s="103" t="s">
        <v>42</v>
      </c>
      <c r="I37" s="103" t="s">
        <v>42</v>
      </c>
      <c r="J37" s="103" t="s">
        <v>42</v>
      </c>
      <c r="K37" s="103" t="s">
        <v>42</v>
      </c>
      <c r="L37" s="103" t="s">
        <v>42</v>
      </c>
      <c r="M37" s="103">
        <f ca="1">IFERROR(VLOOKUP(Network_Agent[[#This Row],[iWatch '#]],INDIRECT('Defined Ranges'!$C$28&amp;"Order"&amp;'Defined Ranges'!$C$29),2,FALSE),"")</f>
        <v>34</v>
      </c>
      <c r="N37" s="103">
        <f ca="1">IFERROR(VLOOKUP(Network_Agent[[#This Row],[iWatch '#]],INDIRECT('Defined Ranges'!$C$28&amp;"Order"&amp;'Defined Ranges'!$C$29),3,FALSE),"")</f>
        <v>32</v>
      </c>
      <c r="O37" s="103">
        <f t="shared" si="0"/>
        <v>32</v>
      </c>
      <c r="P37" s="103" cm="1">
        <f t="array" ref="P37">_xlfn.IFS(LSelected="English",Network_Agent[[#This Row],[Verification Type English]],LSelected="Spanish",Network_Agent[[#This Row],[Verification Type Spanish]],LSelected="French",Network_Agent[[#This Row],[Verification Type French]],LSelected="Portuguese",Network_Agent[[#This Row],[Verification Type Portuguese]])</f>
        <v>0</v>
      </c>
      <c r="Q37" s="103" t="str" cm="1">
        <f t="array" ref="Q37">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This is an EFRAL question.</v>
      </c>
      <c r="V37" s="103" t="s">
        <v>910</v>
      </c>
      <c r="W37" s="388"/>
      <c r="X37" s="103" t="s">
        <v>910</v>
      </c>
      <c r="Y37" s="99"/>
      <c r="Z37" s="99" t="s">
        <v>910</v>
      </c>
      <c r="AA37" s="382"/>
      <c r="AB37" s="103" t="s">
        <v>910</v>
      </c>
    </row>
    <row r="38" spans="4:49" outlineLevel="1">
      <c r="D38" s="103" t="s">
        <v>920</v>
      </c>
      <c r="E38" s="103" t="s">
        <v>921</v>
      </c>
      <c r="F38" s="103">
        <v>2</v>
      </c>
      <c r="G38" s="103" t="s">
        <v>609</v>
      </c>
      <c r="H38" s="103" t="s">
        <v>922</v>
      </c>
      <c r="I38" s="103" t="s">
        <v>923</v>
      </c>
      <c r="J38" s="103" t="s">
        <v>42</v>
      </c>
      <c r="K38" s="103" t="s">
        <v>42</v>
      </c>
      <c r="L38" s="103" t="s">
        <v>42</v>
      </c>
      <c r="M38" s="103">
        <f ca="1">IFERROR(VLOOKUP(Network_Agent[[#This Row],[iWatch '#]],INDIRECT('Defined Ranges'!$C$28&amp;"Order"&amp;'Defined Ranges'!$C$29),2,FALSE),"")</f>
        <v>35</v>
      </c>
      <c r="N38" s="103">
        <f ca="1">IFERROR(VLOOKUP(Network_Agent[[#This Row],[iWatch '#]],INDIRECT('Defined Ranges'!$C$28&amp;"Order"&amp;'Defined Ranges'!$C$29),3,FALSE),"")</f>
        <v>33</v>
      </c>
      <c r="O38" s="103">
        <f t="shared" si="0"/>
        <v>33</v>
      </c>
      <c r="P38" s="103" cm="1">
        <f t="array" ref="P38">_xlfn.IFS(LSelected="English",Network_Agent[[#This Row],[Verification Type English]],LSelected="Spanish",Network_Agent[[#This Row],[Verification Type Spanish]],LSelected="French",Network_Agent[[#This Row],[Verification Type French]],LSelected="Portuguese",Network_Agent[[#This Row],[Verification Type Portuguese]])</f>
        <v>0</v>
      </c>
      <c r="Q38" s="103" t="str" cm="1">
        <f t="array" ref="Q38">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This is an EFRAL question.</v>
      </c>
      <c r="V38" s="103" t="s">
        <v>910</v>
      </c>
      <c r="W38" s="388"/>
      <c r="X38" s="103" t="s">
        <v>910</v>
      </c>
      <c r="Y38" s="99"/>
      <c r="Z38" s="99" t="s">
        <v>910</v>
      </c>
      <c r="AA38" s="382"/>
      <c r="AB38" s="103" t="s">
        <v>910</v>
      </c>
    </row>
    <row r="39" spans="4:49" outlineLevel="1">
      <c r="D39" s="103" t="s">
        <v>924</v>
      </c>
      <c r="E39" s="103" t="s">
        <v>925</v>
      </c>
      <c r="G39" s="103" t="s">
        <v>654</v>
      </c>
      <c r="H39" s="103" t="s">
        <v>42</v>
      </c>
      <c r="I39" s="103" t="s">
        <v>42</v>
      </c>
      <c r="J39" s="103" t="s">
        <v>42</v>
      </c>
      <c r="K39" s="103" t="s">
        <v>42</v>
      </c>
      <c r="L39" s="103" t="s">
        <v>42</v>
      </c>
      <c r="M39" s="103">
        <f ca="1">IFERROR(VLOOKUP(Network_Agent[[#This Row],[iWatch '#]],INDIRECT('Defined Ranges'!$C$28&amp;"Order"&amp;'Defined Ranges'!$C$29),2,FALSE),"")</f>
        <v>36</v>
      </c>
      <c r="N39" s="103">
        <f ca="1">IFERROR(VLOOKUP(Network_Agent[[#This Row],[iWatch '#]],INDIRECT('Defined Ranges'!$C$28&amp;"Order"&amp;'Defined Ranges'!$C$29),3,FALSE),"")</f>
        <v>34</v>
      </c>
      <c r="O39" s="103">
        <f t="shared" si="0"/>
        <v>34</v>
      </c>
      <c r="P39" s="103" cm="1">
        <f t="array" ref="P39">_xlfn.IFS(LSelected="English",Network_Agent[[#This Row],[Verification Type English]],LSelected="Spanish",Network_Agent[[#This Row],[Verification Type Spanish]],LSelected="French",Network_Agent[[#This Row],[Verification Type French]],LSelected="Portuguese",Network_Agent[[#This Row],[Verification Type Portuguese]])</f>
        <v>0</v>
      </c>
      <c r="Q39" s="103" t="str" cm="1">
        <f t="array" ref="Q39">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This is an EFRAL question.</v>
      </c>
      <c r="V39" s="103" t="s">
        <v>910</v>
      </c>
      <c r="W39" s="388"/>
      <c r="X39" s="103" t="s">
        <v>910</v>
      </c>
      <c r="Y39" s="99"/>
      <c r="Z39" s="99" t="s">
        <v>910</v>
      </c>
      <c r="AA39" s="382"/>
      <c r="AB39" s="103" t="s">
        <v>910</v>
      </c>
    </row>
    <row r="40" spans="4:49" outlineLevel="1">
      <c r="D40" s="103" t="s">
        <v>926</v>
      </c>
      <c r="E40" s="103" t="s">
        <v>927</v>
      </c>
      <c r="F40" s="103">
        <v>2</v>
      </c>
      <c r="G40" s="103" t="s">
        <v>609</v>
      </c>
      <c r="H40" s="103" t="s">
        <v>928</v>
      </c>
      <c r="I40" s="103" t="s">
        <v>929</v>
      </c>
      <c r="J40" s="103" t="s">
        <v>42</v>
      </c>
      <c r="K40" s="103" t="s">
        <v>42</v>
      </c>
      <c r="L40" s="103" t="s">
        <v>42</v>
      </c>
      <c r="M40" s="103">
        <f ca="1">IFERROR(VLOOKUP(Network_Agent[[#This Row],[iWatch '#]],INDIRECT('Defined Ranges'!$C$28&amp;"Order"&amp;'Defined Ranges'!$C$29),2,FALSE),"")</f>
        <v>37</v>
      </c>
      <c r="N40" s="103">
        <f ca="1">IFERROR(VLOOKUP(Network_Agent[[#This Row],[iWatch '#]],INDIRECT('Defined Ranges'!$C$28&amp;"Order"&amp;'Defined Ranges'!$C$29),3,FALSE),"")</f>
        <v>35</v>
      </c>
      <c r="O40" s="103">
        <f t="shared" si="0"/>
        <v>35</v>
      </c>
      <c r="P40" s="103" cm="1">
        <f t="array" ref="P40">_xlfn.IFS(LSelected="English",Network_Agent[[#This Row],[Verification Type English]],LSelected="Spanish",Network_Agent[[#This Row],[Verification Type Spanish]],LSelected="French",Network_Agent[[#This Row],[Verification Type French]],LSelected="Portuguese",Network_Agent[[#This Row],[Verification Type Portuguese]])</f>
        <v>0</v>
      </c>
      <c r="Q40" s="103" t="str" cm="1">
        <f t="array" ref="Q40">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This is an EFRAL question.</v>
      </c>
      <c r="V40" s="103" t="s">
        <v>910</v>
      </c>
      <c r="W40" s="388"/>
      <c r="X40" s="103" t="s">
        <v>910</v>
      </c>
      <c r="Y40" s="99"/>
      <c r="Z40" s="99" t="s">
        <v>910</v>
      </c>
      <c r="AA40" s="382"/>
      <c r="AB40" s="103" t="s">
        <v>910</v>
      </c>
    </row>
    <row r="41" spans="4:49" outlineLevel="1">
      <c r="D41" s="103" t="s">
        <v>930</v>
      </c>
      <c r="E41" s="103" t="s">
        <v>931</v>
      </c>
      <c r="G41" s="103" t="s">
        <v>654</v>
      </c>
      <c r="H41" s="103" t="s">
        <v>42</v>
      </c>
      <c r="I41" s="103" t="s">
        <v>42</v>
      </c>
      <c r="J41" s="103" t="s">
        <v>42</v>
      </c>
      <c r="K41" s="103" t="s">
        <v>42</v>
      </c>
      <c r="L41" s="103" t="s">
        <v>42</v>
      </c>
      <c r="M41" s="103">
        <f ca="1">IFERROR(VLOOKUP(Network_Agent[[#This Row],[iWatch '#]],INDIRECT('Defined Ranges'!$C$28&amp;"Order"&amp;'Defined Ranges'!$C$29),2,FALSE),"")</f>
        <v>38</v>
      </c>
      <c r="N41" s="103">
        <f ca="1">IFERROR(VLOOKUP(Network_Agent[[#This Row],[iWatch '#]],INDIRECT('Defined Ranges'!$C$28&amp;"Order"&amp;'Defined Ranges'!$C$29),3,FALSE),"")</f>
        <v>36</v>
      </c>
      <c r="O41" s="103">
        <f t="shared" si="0"/>
        <v>36</v>
      </c>
      <c r="P41" s="103" cm="1">
        <f t="array" ref="P41">_xlfn.IFS(LSelected="English",Network_Agent[[#This Row],[Verification Type English]],LSelected="Spanish",Network_Agent[[#This Row],[Verification Type Spanish]],LSelected="French",Network_Agent[[#This Row],[Verification Type French]],LSelected="Portuguese",Network_Agent[[#This Row],[Verification Type Portuguese]])</f>
        <v>0</v>
      </c>
      <c r="Q41" s="103" t="str" cm="1">
        <f t="array" ref="Q41">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This is an EFRAL question.</v>
      </c>
      <c r="V41" s="103" t="s">
        <v>910</v>
      </c>
      <c r="W41" s="388"/>
      <c r="X41" s="103" t="s">
        <v>910</v>
      </c>
      <c r="Y41" s="99"/>
      <c r="Z41" s="99" t="s">
        <v>910</v>
      </c>
      <c r="AA41" s="382"/>
      <c r="AB41" s="103" t="s">
        <v>910</v>
      </c>
    </row>
    <row r="42" spans="4:49" outlineLevel="1">
      <c r="D42" s="103" t="s">
        <v>932</v>
      </c>
      <c r="E42" s="103" t="s">
        <v>933</v>
      </c>
      <c r="F42" s="103">
        <v>3</v>
      </c>
      <c r="G42" s="103" t="s">
        <v>679</v>
      </c>
      <c r="H42" s="103" t="s">
        <v>934</v>
      </c>
      <c r="I42" s="103" t="s">
        <v>935</v>
      </c>
      <c r="J42" s="103" t="s">
        <v>42</v>
      </c>
      <c r="K42" s="103" t="s">
        <v>936</v>
      </c>
      <c r="L42" s="103" t="s">
        <v>42</v>
      </c>
      <c r="M42" s="103">
        <f ca="1">IFERROR(VLOOKUP(Network_Agent[[#This Row],[iWatch '#]],INDIRECT('Defined Ranges'!$C$28&amp;"Order"&amp;'Defined Ranges'!$C$29),2,FALSE),"")</f>
        <v>11</v>
      </c>
      <c r="N42" s="103">
        <f ca="1">IFERROR(VLOOKUP(Network_Agent[[#This Row],[iWatch '#]],INDIRECT('Defined Ranges'!$C$28&amp;"Order"&amp;'Defined Ranges'!$C$29),3,FALSE),"")</f>
        <v>37</v>
      </c>
      <c r="O42" s="103">
        <f t="shared" si="0"/>
        <v>37</v>
      </c>
      <c r="P42" s="103" t="str" cm="1">
        <f t="array" ref="P42">_xlfn.IFS(LSelected="English",Network_Agent[[#This Row],[Verification Type English]],LSelected="Spanish",Network_Agent[[#This Row],[Verification Type Spanish]],LSelected="French",Network_Agent[[#This Row],[Verification Type French]],LSelected="Portuguese",Network_Agent[[#This Row],[Verification Type Portuguese]])</f>
        <v>Conservación de Registros</v>
      </c>
      <c r="Q42" s="103" t="str" cm="1">
        <f t="array" ref="Q42">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1) For how long do you keep documents at the store? (Forms and/or Compliance Documents)</v>
      </c>
      <c r="T42" s="103" t="s">
        <v>644</v>
      </c>
      <c r="U42" s="103" t="s">
        <v>193</v>
      </c>
      <c r="V42" s="103" t="s">
        <v>937</v>
      </c>
      <c r="W42" s="387" t="str">
        <f>IF('Gen Info'!$E$4="Spain","Mantenimiento de Registros","Conservación de Registros")</f>
        <v>Conservación de Registros</v>
      </c>
      <c r="X42" s="103" t="s">
        <v>938</v>
      </c>
      <c r="Y42" s="104" t="str">
        <f>IF('Gen Info'!$E$4="Canada","Tenue de Documents","Archivage")</f>
        <v>Archivage</v>
      </c>
      <c r="Z42" s="99" t="s">
        <v>939</v>
      </c>
      <c r="AA42" s="382" t="s">
        <v>196</v>
      </c>
      <c r="AB42" s="103" t="s">
        <v>940</v>
      </c>
    </row>
    <row r="43" spans="4:49" outlineLevel="1">
      <c r="D43" s="103" t="s">
        <v>941</v>
      </c>
      <c r="E43" s="103" t="s">
        <v>942</v>
      </c>
      <c r="F43" s="103">
        <v>3</v>
      </c>
      <c r="G43" s="103" t="s">
        <v>679</v>
      </c>
      <c r="H43" s="103" t="s">
        <v>943</v>
      </c>
      <c r="I43" s="103" t="s">
        <v>944</v>
      </c>
      <c r="K43" s="103" t="s">
        <v>945</v>
      </c>
      <c r="M43" s="103">
        <f ca="1">IFERROR(VLOOKUP(Network_Agent[[#This Row],[iWatch '#]],INDIRECT('Defined Ranges'!$C$28&amp;"Order"&amp;'Defined Ranges'!$C$29),2,FALSE),"")</f>
        <v>14</v>
      </c>
      <c r="N43" s="103">
        <f ca="1">IFERROR(VLOOKUP(Network_Agent[[#This Row],[iWatch '#]],INDIRECT('Defined Ranges'!$C$28&amp;"Order"&amp;'Defined Ranges'!$C$29),3,FALSE),"")</f>
        <v>38</v>
      </c>
      <c r="O43" s="103">
        <f t="shared" si="0"/>
        <v>38</v>
      </c>
      <c r="P43" s="103" t="str" cm="1">
        <f t="array" ref="P43">_xlfn.IFS(LSelected="English",Network_Agent[[#This Row],[Verification Type English]],LSelected="Spanish",Network_Agent[[#This Row],[Verification Type Spanish]],LSelected="French",Network_Agent[[#This Row],[Verification Type French]],LSelected="Portuguese",Network_Agent[[#This Row],[Verification Type Portuguese]])</f>
        <v>Conservación de Registros</v>
      </c>
      <c r="Q43" s="103" t="str" cm="1">
        <f t="array" ref="Q43">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 xml:space="preserve">Once the documents reach the required retention period, what do you do with them? How do you get rid of the AML documents? </v>
      </c>
      <c r="T43" s="103" t="s">
        <v>644</v>
      </c>
      <c r="U43" s="103" t="s">
        <v>193</v>
      </c>
      <c r="V43" s="103" t="s">
        <v>946</v>
      </c>
      <c r="W43" s="387" t="str">
        <f>IF('Gen Info'!$E$4="Spain","Mantenimiento de Registros","Conservación de Registros")</f>
        <v>Conservación de Registros</v>
      </c>
      <c r="X43" s="103" t="s">
        <v>947</v>
      </c>
      <c r="Y43" s="104" t="str">
        <f>IF('Gen Info'!$E$4="Canada","Tenue de Documents","Archivage")</f>
        <v>Archivage</v>
      </c>
      <c r="Z43" s="99" t="s">
        <v>948</v>
      </c>
      <c r="AA43" s="382" t="s">
        <v>196</v>
      </c>
      <c r="AB43" s="103" t="s">
        <v>949</v>
      </c>
    </row>
    <row r="44" spans="4:49" outlineLevel="1">
      <c r="D44" s="387" t="s">
        <v>950</v>
      </c>
      <c r="E44" s="103" t="s">
        <v>951</v>
      </c>
      <c r="F44" s="103">
        <v>2</v>
      </c>
      <c r="G44" s="103" t="s">
        <v>609</v>
      </c>
      <c r="H44" s="103" t="s">
        <v>952</v>
      </c>
      <c r="I44" s="103" t="s">
        <v>953</v>
      </c>
      <c r="J44" s="103" t="s">
        <v>42</v>
      </c>
      <c r="K44" s="103" t="s">
        <v>42</v>
      </c>
      <c r="L44" s="103" t="s">
        <v>42</v>
      </c>
      <c r="M44" s="103">
        <f ca="1">IFERROR(VLOOKUP(Network_Agent[[#This Row],[iWatch '#]],INDIRECT('Defined Ranges'!$C$28&amp;"Order"&amp;'Defined Ranges'!$C$29),2,FALSE),"")</f>
        <v>13</v>
      </c>
      <c r="N44" s="103">
        <f ca="1">IFERROR(VLOOKUP(Network_Agent[[#This Row],[iWatch '#]],INDIRECT('Defined Ranges'!$C$28&amp;"Order"&amp;'Defined Ranges'!$C$29),3,FALSE),"")</f>
        <v>39</v>
      </c>
      <c r="O44" s="103">
        <f t="shared" si="0"/>
        <v>39</v>
      </c>
      <c r="P44" s="103" t="str" cm="1">
        <f t="array" ref="P44">_xlfn.IFS(LSelected="English",Network_Agent[[#This Row],[Verification Type English]],LSelected="Spanish",Network_Agent[[#This Row],[Verification Type Spanish]],LSelected="French",Network_Agent[[#This Row],[Verification Type French]],LSelected="Portuguese",Network_Agent[[#This Row],[Verification Type Portuguese]])</f>
        <v>Conservación de Registros</v>
      </c>
      <c r="Q44" s="103" t="str" cm="1">
        <f t="array" ref="Q44">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If I asked you to find and retrieve receipts from (four months ago), would you be able to provide them?</v>
      </c>
      <c r="T44" s="103" t="s">
        <v>644</v>
      </c>
      <c r="U44" s="103" t="s">
        <v>193</v>
      </c>
      <c r="V44" s="103" t="s">
        <v>954</v>
      </c>
      <c r="W44" s="387" t="str">
        <f>IF('Gen Info'!$E$4="Spain","Mantenimiento de Registros","Conservación de Registros")</f>
        <v>Conservación de Registros</v>
      </c>
      <c r="X44" s="103" t="s">
        <v>955</v>
      </c>
      <c r="Y44" s="104" t="str">
        <f>IF('Gen Info'!$E$4="Canada","Tenue de Documents","Archivage")</f>
        <v>Archivage</v>
      </c>
      <c r="Z44" s="99" t="s">
        <v>956</v>
      </c>
      <c r="AA44" s="382" t="s">
        <v>196</v>
      </c>
      <c r="AB44" s="103" t="s">
        <v>957</v>
      </c>
    </row>
    <row r="45" spans="4:49" outlineLevel="1">
      <c r="D45" s="103" t="s">
        <v>958</v>
      </c>
      <c r="E45" s="103" t="s">
        <v>959</v>
      </c>
      <c r="F45" s="103">
        <v>3</v>
      </c>
      <c r="G45" s="103" t="s">
        <v>679</v>
      </c>
      <c r="H45" s="103" t="s">
        <v>960</v>
      </c>
      <c r="I45" s="103" t="s">
        <v>961</v>
      </c>
      <c r="J45" s="103" t="s">
        <v>42</v>
      </c>
      <c r="K45" s="103" t="s">
        <v>962</v>
      </c>
      <c r="L45" s="103" t="s">
        <v>42</v>
      </c>
      <c r="M45" s="103">
        <f ca="1">IFERROR(VLOOKUP(Network_Agent[[#This Row],[iWatch '#]],INDIRECT('Defined Ranges'!$C$28&amp;"Order"&amp;'Defined Ranges'!$C$29),2,FALSE),"")</f>
        <v>12</v>
      </c>
      <c r="N45" s="103">
        <f ca="1">IFERROR(VLOOKUP(Network_Agent[[#This Row],[iWatch '#]],INDIRECT('Defined Ranges'!$C$28&amp;"Order"&amp;'Defined Ranges'!$C$29),3,FALSE),"")</f>
        <v>40</v>
      </c>
      <c r="O45" s="103">
        <f t="shared" si="0"/>
        <v>40</v>
      </c>
      <c r="P45" s="103" t="str" cm="1">
        <f t="array" ref="P45">_xlfn.IFS(LSelected="English",Network_Agent[[#This Row],[Verification Type English]],LSelected="Spanish",Network_Agent[[#This Row],[Verification Type Spanish]],LSelected="French",Network_Agent[[#This Row],[Verification Type French]],LSelected="Portuguese",Network_Agent[[#This Row],[Verification Type Portuguese]])</f>
        <v>Conservación de Registros</v>
      </c>
      <c r="Q45" s="103" t="str" cm="1">
        <f t="array" ref="Q45">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1) Where do you keep the Western Union records?</v>
      </c>
      <c r="T45" s="103" t="s">
        <v>644</v>
      </c>
      <c r="U45" s="103" t="s">
        <v>193</v>
      </c>
      <c r="V45" s="103" t="s">
        <v>963</v>
      </c>
      <c r="W45" s="387" t="str">
        <f>IF('Gen Info'!$E$4="Spain","Mantenimiento de Registros","Conservación de Registros")</f>
        <v>Conservación de Registros</v>
      </c>
      <c r="X45" s="103" t="s">
        <v>964</v>
      </c>
      <c r="Y45" s="104" t="str">
        <f>IF('Gen Info'!$E$4="Canada","Tenue de Documents","Archivage")</f>
        <v>Archivage</v>
      </c>
      <c r="Z45" s="99" t="s">
        <v>965</v>
      </c>
      <c r="AA45" s="382" t="s">
        <v>196</v>
      </c>
      <c r="AB45" s="103" t="s">
        <v>966</v>
      </c>
    </row>
    <row r="46" spans="4:49" outlineLevel="1">
      <c r="D46" s="103" t="s">
        <v>967</v>
      </c>
      <c r="E46" s="103" t="s">
        <v>968</v>
      </c>
      <c r="F46" s="103">
        <v>3</v>
      </c>
      <c r="G46" s="103" t="s">
        <v>679</v>
      </c>
      <c r="H46" s="103" t="s">
        <v>969</v>
      </c>
      <c r="I46" s="103" t="s">
        <v>970</v>
      </c>
      <c r="K46" s="103" t="s">
        <v>971</v>
      </c>
      <c r="M46" s="103">
        <f ca="1">IFERROR(VLOOKUP(Network_Agent[[#This Row],[iWatch '#]],INDIRECT('Defined Ranges'!$C$28&amp;"Order"&amp;'Defined Ranges'!$C$29),2,FALSE),"")</f>
        <v>15</v>
      </c>
      <c r="N46" s="103">
        <f ca="1">IFERROR(VLOOKUP(Network_Agent[[#This Row],[iWatch '#]],INDIRECT('Defined Ranges'!$C$28&amp;"Order"&amp;'Defined Ranges'!$C$29),3,FALSE),"")</f>
        <v>41</v>
      </c>
      <c r="O46" s="103">
        <f t="shared" si="0"/>
        <v>41</v>
      </c>
      <c r="P46" s="103" t="str" cm="1">
        <f t="array" ref="P46">_xlfn.IFS(LSelected="English",Network_Agent[[#This Row],[Verification Type English]],LSelected="Spanish",Network_Agent[[#This Row],[Verification Type Spanish]],LSelected="French",Network_Agent[[#This Row],[Verification Type French]],LSelected="Portuguese",Network_Agent[[#This Row],[Verification Type Portuguese]])</f>
        <v>Conservación de Registros</v>
      </c>
      <c r="Q46" s="103" t="str" cm="1">
        <f t="array" ref="Q46">_xlfn.IFS('Defined Ranges'!$C$27="English",Network_Agent[[#This Row],[Suggested script English]],'Defined Ranges'!$C$27="Spanish",Network_Agent[[#This Row],[Suggested script Spanish]],'Defined Ranges'!$C$27="French",Network_Agent[[#This Row],[Suggested script French]],'Defined Ranges'!$C$27="Portuguese",Network_Agent[[#This Row],[Suggested script Portuguese]])</f>
        <v>Once the electronic records reach the required retention period, what do you do with them?</v>
      </c>
      <c r="T46" s="103" t="s">
        <v>644</v>
      </c>
      <c r="U46" s="103" t="s">
        <v>193</v>
      </c>
      <c r="V46" s="103" t="s">
        <v>972</v>
      </c>
      <c r="W46" s="387" t="str">
        <f>IF('Gen Info'!$E$4="Spain","Mantenimiento de Registros","Conservación de Registros")</f>
        <v>Conservación de Registros</v>
      </c>
      <c r="X46" s="103" t="s">
        <v>973</v>
      </c>
      <c r="Y46" s="104" t="str">
        <f>IF('Gen Info'!$E$4="Canada","Tenue de Documents","Archivage")</f>
        <v>Archivage</v>
      </c>
      <c r="Z46" s="99" t="s">
        <v>974</v>
      </c>
      <c r="AA46" s="382" t="s">
        <v>196</v>
      </c>
      <c r="AB46" s="103" t="s">
        <v>975</v>
      </c>
    </row>
    <row r="52" spans="4:56">
      <c r="AA52" s="397"/>
    </row>
    <row r="53" spans="4:56">
      <c r="AF53" s="103">
        <f>72+22</f>
        <v>94</v>
      </c>
    </row>
    <row r="54" spans="4:56" ht="29">
      <c r="AF54" s="392" t="s">
        <v>69</v>
      </c>
      <c r="AG54" s="393" t="s">
        <v>120</v>
      </c>
      <c r="AH54" s="393" t="s">
        <v>552</v>
      </c>
      <c r="AI54" s="393" t="s">
        <v>553</v>
      </c>
      <c r="AJ54" s="393" t="s">
        <v>573</v>
      </c>
      <c r="AK54" s="393" t="s">
        <v>574</v>
      </c>
      <c r="AL54" s="393" t="s">
        <v>575</v>
      </c>
      <c r="AM54" s="393" t="s">
        <v>557</v>
      </c>
      <c r="AN54" s="393" t="s">
        <v>558</v>
      </c>
      <c r="AO54" s="394" t="s">
        <v>559</v>
      </c>
      <c r="AP54" s="394" t="s">
        <v>115</v>
      </c>
      <c r="AQ54" s="394" t="s">
        <v>68</v>
      </c>
      <c r="AR54" s="394" t="s">
        <v>560</v>
      </c>
      <c r="AS54" s="394" t="s">
        <v>561</v>
      </c>
      <c r="AT54" s="393" t="s">
        <v>562</v>
      </c>
      <c r="AU54" s="393" t="s">
        <v>563</v>
      </c>
      <c r="AV54" s="393" t="s">
        <v>564</v>
      </c>
      <c r="AW54" s="393" t="s">
        <v>565</v>
      </c>
      <c r="AX54" s="393" t="s">
        <v>566</v>
      </c>
      <c r="AY54" s="393" t="s">
        <v>567</v>
      </c>
      <c r="AZ54" s="393" t="s">
        <v>568</v>
      </c>
      <c r="BA54" s="393" t="s">
        <v>569</v>
      </c>
      <c r="BB54" s="393" t="s">
        <v>570</v>
      </c>
      <c r="BC54" s="393" t="s">
        <v>571</v>
      </c>
      <c r="BD54" s="395" t="s">
        <v>572</v>
      </c>
    </row>
    <row r="55" spans="4:56" ht="29">
      <c r="D55" s="381" t="s">
        <v>69</v>
      </c>
      <c r="E55" s="381" t="s">
        <v>120</v>
      </c>
      <c r="F55" s="381" t="s">
        <v>552</v>
      </c>
      <c r="G55" s="381" t="s">
        <v>553</v>
      </c>
      <c r="H55" s="381" t="s">
        <v>554</v>
      </c>
      <c r="I55" s="381" t="s">
        <v>555</v>
      </c>
      <c r="J55" s="381" t="s">
        <v>556</v>
      </c>
      <c r="K55" s="381" t="s">
        <v>557</v>
      </c>
      <c r="L55" s="381" t="s">
        <v>558</v>
      </c>
      <c r="M55" s="381" t="s">
        <v>559</v>
      </c>
      <c r="N55" s="381" t="s">
        <v>115</v>
      </c>
      <c r="O55" s="381" t="s">
        <v>68</v>
      </c>
      <c r="P55" s="381" t="s">
        <v>560</v>
      </c>
      <c r="Q55" s="381" t="s">
        <v>561</v>
      </c>
      <c r="R55" s="386" t="s">
        <v>562</v>
      </c>
      <c r="S55" s="386" t="s">
        <v>563</v>
      </c>
      <c r="T55" s="381" t="s">
        <v>564</v>
      </c>
      <c r="U55" s="381" t="s">
        <v>565</v>
      </c>
      <c r="V55" s="381" t="s">
        <v>566</v>
      </c>
      <c r="W55" s="381" t="s">
        <v>567</v>
      </c>
      <c r="X55" s="381" t="s">
        <v>568</v>
      </c>
      <c r="Y55" s="381" t="s">
        <v>569</v>
      </c>
      <c r="Z55" s="381" t="s">
        <v>570</v>
      </c>
      <c r="AA55" s="398" t="s">
        <v>571</v>
      </c>
      <c r="AB55" s="381" t="s">
        <v>572</v>
      </c>
      <c r="AF55" s="353" t="s">
        <v>630</v>
      </c>
      <c r="AG55" s="353" t="s">
        <v>976</v>
      </c>
      <c r="AH55" s="353">
        <v>3</v>
      </c>
      <c r="AI55" s="353"/>
      <c r="AJ55" s="353" t="s">
        <v>977</v>
      </c>
      <c r="AK55" s="353" t="s">
        <v>978</v>
      </c>
      <c r="AL55" s="353"/>
      <c r="AM55" s="353" t="s">
        <v>979</v>
      </c>
      <c r="AN55" s="353"/>
      <c r="AO55" s="353" t="str">
        <f ca="1">IFERROR(VLOOKUP(Independent_United_States[[#This Row],[iWatch '#]],INDIRECT('Defined Ranges'!$C$28&amp;"ROrder"&amp;'Defined Ranges'!$C$29),2,FALSE),"")</f>
        <v/>
      </c>
      <c r="AP55" s="353" t="str">
        <f ca="1">IFERROR(VLOOKUP(Independent_United_States[[#This Row],[iWatch '#]],INDIRECT('Defined Ranges'!$C$28&amp;"ROrder"&amp;'Defined Ranges'!$C$29),3,FALSE),"")</f>
        <v/>
      </c>
      <c r="AQ55" s="353">
        <f ca="1">'Defined Ranges'!$D$23+1</f>
        <v>42</v>
      </c>
      <c r="AR55" s="353" t="str" cm="1">
        <f t="array" ref="AR55">_xlfn.IFS(LSelected="English",Independent_United_States[[#This Row],[Verification Type English]],LSelected="Spanish",Independent_United_States[[#This Row],[Verification Type Spanish]],LSelected="French",Independent_United_States[[#This Row],[Verification Type French]],LSelected="Portuguese",Independent_United_States[[#This Row],[Verification Type Portuguese]])</f>
        <v>Disponibilidad de la Localidad</v>
      </c>
      <c r="AS55" s="353" t="str" cm="1">
        <f t="array" ref="AS55">_xlfn.IFS(SScript="English",Independent_United_States[[#This Row],[Suggested script English]],SScript="Spanish",Independent_United_States[[#This Row],[Suggested script Spanish]],SScript="French",Independent_United_States[[#This Row],[Suggested script French]],SScript="Portuguese",Independent_United_States[[#This Row],[Suggested script Portuguese]])</f>
        <v>1. For the state of XXX there are some state requirements you need to have. Do you have them?
2. Can you please read what they state?</v>
      </c>
      <c r="AT55" s="353"/>
      <c r="AU55" s="353"/>
      <c r="AV55" s="353" t="s">
        <v>585</v>
      </c>
      <c r="AW55" s="353" t="s">
        <v>141</v>
      </c>
      <c r="AX55" s="353" t="s">
        <v>980</v>
      </c>
      <c r="AY55" s="355" t="str">
        <f>IF('Gen Info'!$E$4="Spain","Preparación del Agente","Disponibilidad de la Localidad")</f>
        <v>Disponibilidad de la Localidad</v>
      </c>
      <c r="AZ55" s="353" t="s">
        <v>981</v>
      </c>
      <c r="BA55" s="355" t="str">
        <f>IF('Gen Info'!$E$4="Canada","État de préparation des agents","État de préparation de l'Agent")</f>
        <v>État de préparation de l'Agent</v>
      </c>
      <c r="BB55" s="353" t="s">
        <v>982</v>
      </c>
      <c r="BC55" s="353" t="s">
        <v>144</v>
      </c>
      <c r="BD55" s="353" t="s">
        <v>983</v>
      </c>
    </row>
    <row r="56" spans="4:56">
      <c r="D56" s="465" t="s">
        <v>906</v>
      </c>
      <c r="E56" s="465" t="s">
        <v>984</v>
      </c>
      <c r="F56" s="353">
        <v>2</v>
      </c>
      <c r="G56" s="353" t="s">
        <v>609</v>
      </c>
      <c r="H56" s="353" t="s">
        <v>985</v>
      </c>
      <c r="I56" s="353" t="s">
        <v>986</v>
      </c>
      <c r="J56" s="353"/>
      <c r="K56" s="353"/>
      <c r="L56" s="353"/>
      <c r="M56" s="353">
        <f ca="1">IFERROR(VLOOKUP(Independent[[#This Row],[iWatch '#]],INDIRECT('Defined Ranges'!$C$28&amp;"Order"&amp;'Defined Ranges'!$C$29),2,FALSE),"")</f>
        <v>32</v>
      </c>
      <c r="N56" s="353">
        <f ca="1">IFERROR(VLOOKUP(Independent[[#This Row],[iWatch '#]],INDIRECT('Defined Ranges'!$C$28&amp;"Order"&amp;'Defined Ranges'!$C$29),3,FALSE),"")</f>
        <v>30</v>
      </c>
      <c r="O56" s="353" t="e">
        <f t="shared" ref="O56:O87" si="4">O55+1</f>
        <v>#VALUE!</v>
      </c>
      <c r="P56" s="353" t="str" cm="1">
        <f t="array" ref="P56">_xlfn.IFS(LSelected="English",Independent[[#This Row],[Verification Type English]],LSelected="Spanish",Independent[[#This Row],[Verification Type Spanish]],LSelected="French",Independent[[#This Row],[Verification Type French]],LSelected="Portuguese",Independent[[#This Row],[Verification Type Portuguese]])</f>
        <v>Programa de Capacitación</v>
      </c>
      <c r="Q56" s="353" t="str" cm="1">
        <f t="array" ref="Q56">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Where in your program is the Training section located and what does it talk about specifically?</v>
      </c>
      <c r="R56" s="353"/>
      <c r="S56" s="353"/>
      <c r="T56" s="353" t="s">
        <v>644</v>
      </c>
      <c r="U56" s="353" t="s">
        <v>210</v>
      </c>
      <c r="V56" s="353" t="s">
        <v>987</v>
      </c>
      <c r="W56" s="404" t="str">
        <f>IF('Gen Info'!$E$4="Spain","Programa de Formación","Programa de Capacitación")</f>
        <v>Programa de Capacitación</v>
      </c>
      <c r="X56" s="353" t="s">
        <v>988</v>
      </c>
      <c r="Y56" s="355" t="str">
        <f>IF('Gen Info'!$E$4="Canada","Programme du Formation","Programme de Formation")</f>
        <v>Programme de Formation</v>
      </c>
      <c r="Z56" s="353" t="s">
        <v>989</v>
      </c>
      <c r="AA56" s="355" t="str">
        <f>IF('Gen Info'!$E$4="Portugal","Programa de formação","Programa de treinamento")</f>
        <v>Programa de treinamento</v>
      </c>
      <c r="AB56" s="353" t="s">
        <v>990</v>
      </c>
      <c r="AF56" s="353" t="s">
        <v>991</v>
      </c>
      <c r="AG56" s="353" t="s">
        <v>580</v>
      </c>
      <c r="AH56" s="353">
        <v>3</v>
      </c>
      <c r="AI56" s="353"/>
      <c r="AJ56" s="353" t="s">
        <v>992</v>
      </c>
      <c r="AK56" s="353" t="s">
        <v>993</v>
      </c>
      <c r="AL56" s="353"/>
      <c r="AM56" s="353" t="s">
        <v>994</v>
      </c>
      <c r="AN56" s="353"/>
      <c r="AO56" s="353" t="str">
        <f ca="1">IFERROR(VLOOKUP(Independent_United_States[[#This Row],[iWatch '#]],INDIRECT('Defined Ranges'!$C$28&amp;"ROrder"&amp;'Defined Ranges'!$C$29),2,FALSE),"")</f>
        <v/>
      </c>
      <c r="AP56" s="353" t="str">
        <f ca="1">IFERROR(VLOOKUP(Independent_United_States[[#This Row],[iWatch '#]],INDIRECT('Defined Ranges'!$C$28&amp;"ROrder"&amp;'Defined Ranges'!$C$29),3,FALSE),"")</f>
        <v/>
      </c>
      <c r="AQ56" s="353">
        <f ca="1">AQ55+1</f>
        <v>43</v>
      </c>
      <c r="AR56" s="353" t="str" cm="1">
        <f t="array" ref="AR56">_xlfn.IFS(LSelected="English",Independent_United_States[[#This Row],[Verification Type English]],LSelected="Spanish",Independent_United_States[[#This Row],[Verification Type Spanish]],LSelected="French",Independent_United_States[[#This Row],[Verification Type French]],LSelected="Portuguese",Independent_United_States[[#This Row],[Verification Type Portuguese]])</f>
        <v>Protección del Consumidor</v>
      </c>
      <c r="AS56" s="353" t="str" cm="1">
        <f t="array" ref="AS56">_xlfn.IFS(SScript="English",Independent_United_States[[#This Row],[Suggested script English]],SScript="Spanish",Independent_United_States[[#This Row],[Suggested script Spanish]],SScript="French",Independent_United_States[[#This Row],[Suggested script French]],SScript="Portuguese",Independent_United_States[[#This Row],[Suggested script Portuguese]])</f>
        <v>1. Let’s say I am a consumer sending $300 outside the United States, before I can pay the transaction the system prints the Pre- Transaction Disclosure Statement (PDS), what do you do with it?
2. What happens if the customer leaves it behind?
Note: If the customer leaves the PDS behind, the agent should never keep it. Shred it.</v>
      </c>
      <c r="AT56" s="353"/>
      <c r="AU56" s="353"/>
      <c r="AV56" s="353" t="s">
        <v>585</v>
      </c>
      <c r="AW56" s="353" t="s">
        <v>159</v>
      </c>
      <c r="AX56" s="353" t="s">
        <v>995</v>
      </c>
      <c r="AY56" s="353" t="s">
        <v>160</v>
      </c>
      <c r="AZ56" s="353" t="s">
        <v>996</v>
      </c>
      <c r="BA56" s="353" t="s">
        <v>161</v>
      </c>
      <c r="BB56" s="353" t="s">
        <v>997</v>
      </c>
      <c r="BC56" s="355" t="str">
        <f>IF('Gen Info'!$E$4="Portugal","Proteção dos consumidores","Proteção ao consumidor")</f>
        <v>Proteção ao consumidor</v>
      </c>
      <c r="BD56" s="353" t="s">
        <v>998</v>
      </c>
    </row>
    <row r="57" spans="4:56" s="401" customFormat="1" ht="16.399999999999999" customHeight="1">
      <c r="D57" s="465" t="s">
        <v>914</v>
      </c>
      <c r="E57" s="465" t="s">
        <v>999</v>
      </c>
      <c r="F57" s="353">
        <v>8</v>
      </c>
      <c r="G57" s="353" t="s">
        <v>1000</v>
      </c>
      <c r="H57" s="353" t="s">
        <v>1001</v>
      </c>
      <c r="I57" s="353" t="s">
        <v>1002</v>
      </c>
      <c r="J57" s="353"/>
      <c r="K57" s="353"/>
      <c r="L57" s="353"/>
      <c r="M57" s="353">
        <f ca="1">IFERROR(VLOOKUP(Independent[[#This Row],[iWatch '#]],INDIRECT('Defined Ranges'!$C$28&amp;"Order"&amp;'Defined Ranges'!$C$29),2,FALSE),"")</f>
        <v>33</v>
      </c>
      <c r="N57" s="353">
        <f ca="1">IFERROR(VLOOKUP(Independent[[#This Row],[iWatch '#]],INDIRECT('Defined Ranges'!$C$28&amp;"Order"&amp;'Defined Ranges'!$C$29),3,FALSE),"")</f>
        <v>31</v>
      </c>
      <c r="O57" s="353" t="e">
        <f t="shared" si="4"/>
        <v>#VALUE!</v>
      </c>
      <c r="P57" s="353" t="str" cm="1">
        <f t="array" ref="P57">_xlfn.IFS(LSelected="English",Independent[[#This Row],[Verification Type English]],LSelected="Spanish",Independent[[#This Row],[Verification Type Spanish]],LSelected="French",Independent[[#This Row],[Verification Type French]],LSelected="Portuguese",Independent[[#This Row],[Verification Type Portuguese]])</f>
        <v>Programa de Capacitación</v>
      </c>
      <c r="Q57" s="353" t="str" cm="1">
        <f t="array" ref="Q57">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DOCUMENTS REQUIRED Training Evidence: Answer by reviewing Agent's Training Log or LMS report.</v>
      </c>
      <c r="R57" s="353"/>
      <c r="S57" s="353"/>
      <c r="T57" s="353" t="s">
        <v>644</v>
      </c>
      <c r="U57" s="353" t="s">
        <v>210</v>
      </c>
      <c r="V57" s="353" t="s">
        <v>1003</v>
      </c>
      <c r="W57" s="404" t="str">
        <f>IF('Gen Info'!$E$4="Spain","Programa de Formación","Programa de Capacitación")</f>
        <v>Programa de Capacitación</v>
      </c>
      <c r="X57" s="353" t="s">
        <v>1003</v>
      </c>
      <c r="Y57" s="355" t="str">
        <f>IF('Gen Info'!$E$4="Canada","Programme du Formation","Programme de Formation")</f>
        <v>Programme de Formation</v>
      </c>
      <c r="Z57" s="353" t="s">
        <v>1003</v>
      </c>
      <c r="AA57" s="355" t="str">
        <f>IF('Gen Info'!$E$4="Portugal","Programa de formação","Programa de treinamento")</f>
        <v>Programa de treinamento</v>
      </c>
      <c r="AB57" s="353" t="s">
        <v>1003</v>
      </c>
      <c r="AC57" s="381"/>
      <c r="AF57" s="353" t="s">
        <v>1004</v>
      </c>
      <c r="AG57" s="353" t="s">
        <v>1005</v>
      </c>
      <c r="AH57" s="353">
        <v>3</v>
      </c>
      <c r="AI57" s="353"/>
      <c r="AJ57" s="353" t="s">
        <v>1006</v>
      </c>
      <c r="AK57" s="353" t="s">
        <v>1007</v>
      </c>
      <c r="AL57" s="353"/>
      <c r="AM57" s="353" t="s">
        <v>1008</v>
      </c>
      <c r="AN57" s="353"/>
      <c r="AO57" s="353" t="str">
        <f ca="1">IFERROR(VLOOKUP(Independent_United_States[[#This Row],[iWatch '#]],INDIRECT('Defined Ranges'!$C$28&amp;"ROrder"&amp;'Defined Ranges'!$C$29),2,FALSE),"")</f>
        <v/>
      </c>
      <c r="AP57" s="353" t="str">
        <f ca="1">IFERROR(VLOOKUP(Independent_United_States[[#This Row],[iWatch '#]],INDIRECT('Defined Ranges'!$C$28&amp;"ROrder"&amp;'Defined Ranges'!$C$29),3,FALSE),"")</f>
        <v/>
      </c>
      <c r="AQ57" s="353">
        <f t="shared" ref="AQ57:AQ77" ca="1" si="5">AQ56+1</f>
        <v>44</v>
      </c>
      <c r="AR57" s="353" t="str" cm="1">
        <f t="array" ref="AR57">_xlfn.IFS(LSelected="English",Independent_United_States[[#This Row],[Verification Type English]],LSelected="Spanish",Independent_United_States[[#This Row],[Verification Type Spanish]],LSelected="French",Independent_United_States[[#This Row],[Verification Type French]],LSelected="Portuguese",Independent_United_States[[#This Row],[Verification Type Portuguese]])</f>
        <v>Protección del Consumidor</v>
      </c>
      <c r="AS57" s="353" t="str" cm="1">
        <f t="array" ref="AS57">_xlfn.IFS(SScript="English",Independent_United_States[[#This Row],[Suggested script English]],SScript="Spanish",Independent_United_States[[#This Row],[Suggested script Spanish]],SScript="French",Independent_United_States[[#This Row],[Suggested script French]],SScript="Portuguese",Independent_United_States[[#This Row],[Suggested script Portuguese]])</f>
        <v>If a consumer wants to cancel a transaction they sent 10 minutes ago, how do you process it?
(Through WUPOS OR by calling on behalf of the consumer to WU 1-800-435-2227)</v>
      </c>
      <c r="AT57" s="353"/>
      <c r="AU57" s="353"/>
      <c r="AV57" s="353" t="s">
        <v>585</v>
      </c>
      <c r="AW57" s="353" t="s">
        <v>159</v>
      </c>
      <c r="AX57" s="353" t="s">
        <v>1009</v>
      </c>
      <c r="AY57" s="353" t="s">
        <v>160</v>
      </c>
      <c r="AZ57" s="353" t="s">
        <v>1010</v>
      </c>
      <c r="BA57" s="353" t="s">
        <v>161</v>
      </c>
      <c r="BB57" s="353" t="s">
        <v>1011</v>
      </c>
      <c r="BC57" s="355" t="str">
        <f>IF('Gen Info'!$E$4="Portugal","Proteção dos consumidores","Proteção ao consumidor")</f>
        <v>Proteção ao consumidor</v>
      </c>
      <c r="BD57" s="353" t="s">
        <v>1012</v>
      </c>
    </row>
    <row r="58" spans="4:56">
      <c r="D58" s="465" t="s">
        <v>918</v>
      </c>
      <c r="E58" s="465" t="s">
        <v>1013</v>
      </c>
      <c r="F58" s="353">
        <v>2</v>
      </c>
      <c r="G58" s="353" t="s">
        <v>609</v>
      </c>
      <c r="H58" s="353" t="s">
        <v>1014</v>
      </c>
      <c r="I58" s="353" t="s">
        <v>1015</v>
      </c>
      <c r="J58" s="353"/>
      <c r="K58" s="353"/>
      <c r="L58" s="464"/>
      <c r="M58" s="353">
        <f ca="1">IFERROR(VLOOKUP(Independent[[#This Row],[iWatch '#]],INDIRECT('Defined Ranges'!$C$28&amp;"Order"&amp;'Defined Ranges'!$C$29),2,FALSE),"")</f>
        <v>34</v>
      </c>
      <c r="N58" s="353">
        <f ca="1">IFERROR(VLOOKUP(Independent[[#This Row],[iWatch '#]],INDIRECT('Defined Ranges'!$C$28&amp;"Order"&amp;'Defined Ranges'!$C$29),3,FALSE),"")</f>
        <v>32</v>
      </c>
      <c r="O58" s="353" t="e">
        <f t="shared" si="4"/>
        <v>#VALUE!</v>
      </c>
      <c r="P58" s="353" t="str" cm="1">
        <f t="array" ref="P58">_xlfn.IFS(LSelected="English",Independent[[#This Row],[Verification Type English]],LSelected="Spanish",Independent[[#This Row],[Verification Type Spanish]],LSelected="French",Independent[[#This Row],[Verification Type French]],LSelected="Portuguese",Independent[[#This Row],[Verification Type Portuguese]])</f>
        <v>Programa de Capacitación</v>
      </c>
      <c r="Q58" s="353" t="str" cm="1">
        <f t="array" ref="Q58">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DOCUMENT REQUIRED Training Log/LMS): Answer by reviewing Agent's Training Log or LMS report. Make sure a specific comment is noted on the Training Log indicating AML/CFT &amp; Anti-Fraud training was delivered. The agent can also use WU provided materials and resources, such as COS Kit, Regulatory Bulletins, Job Aids, and/or Agent Portal, or external materials. You may also add to this, the following questions:
1. Walk me through the process a newly hired operator must go through before being able to conduct transactions? (Initial Training).
2. Where or how do you document these trainings?</v>
      </c>
      <c r="R58" s="353"/>
      <c r="S58" s="353"/>
      <c r="T58" s="353" t="s">
        <v>644</v>
      </c>
      <c r="U58" s="353" t="s">
        <v>210</v>
      </c>
      <c r="V58" s="353" t="s">
        <v>1016</v>
      </c>
      <c r="W58" s="404" t="str">
        <f>IF('Gen Info'!$E$4="Spain","Programa de Formación","Programa de Capacitación")</f>
        <v>Programa de Capacitación</v>
      </c>
      <c r="X58" s="353" t="s">
        <v>1017</v>
      </c>
      <c r="Y58" s="355" t="str">
        <f>IF('Gen Info'!$E$4="Canada","Programme du Formation","Programme de Formation")</f>
        <v>Programme de Formation</v>
      </c>
      <c r="Z58" s="353" t="s">
        <v>1018</v>
      </c>
      <c r="AA58" s="355" t="str">
        <f>IF('Gen Info'!$E$4="Portugal","Programa de formação","Programa de treinamento")</f>
        <v>Programa de treinamento</v>
      </c>
      <c r="AB58" s="353" t="s">
        <v>1019</v>
      </c>
      <c r="AC58" s="353"/>
      <c r="AF58" s="353" t="s">
        <v>1020</v>
      </c>
      <c r="AG58" s="353" t="s">
        <v>1021</v>
      </c>
      <c r="AH58" s="353">
        <v>3</v>
      </c>
      <c r="AI58" s="353"/>
      <c r="AJ58" s="353" t="s">
        <v>1022</v>
      </c>
      <c r="AK58" s="353" t="s">
        <v>1023</v>
      </c>
      <c r="AL58" s="353"/>
      <c r="AM58" s="353" t="s">
        <v>994</v>
      </c>
      <c r="AN58" s="353"/>
      <c r="AO58" s="353" t="str">
        <f ca="1">IFERROR(VLOOKUP(Independent_United_States[[#This Row],[iWatch '#]],INDIRECT('Defined Ranges'!$C$28&amp;"ROrder"&amp;'Defined Ranges'!$C$29),2,FALSE),"")</f>
        <v/>
      </c>
      <c r="AP58" s="353" t="str">
        <f ca="1">IFERROR(VLOOKUP(Independent_United_States[[#This Row],[iWatch '#]],INDIRECT('Defined Ranges'!$C$28&amp;"ROrder"&amp;'Defined Ranges'!$C$29),3,FALSE),"")</f>
        <v/>
      </c>
      <c r="AQ58" s="353">
        <f t="shared" ca="1" si="5"/>
        <v>45</v>
      </c>
      <c r="AR58" s="353" t="str" cm="1">
        <f t="array" ref="AR58">_xlfn.IFS(LSelected="English",Independent_United_States[[#This Row],[Verification Type English]],LSelected="Spanish",Independent_United_States[[#This Row],[Verification Type Spanish]],LSelected="French",Independent_United_States[[#This Row],[Verification Type French]],LSelected="Portuguese",Independent_United_States[[#This Row],[Verification Type Portuguese]])</f>
        <v>Protección del Consumidor</v>
      </c>
      <c r="AS58" s="353" t="str" cm="1">
        <f t="array" ref="AS58">_xlfn.IFS(SScript="English",Independent_United_States[[#This Row],[Suggested script English]],SScript="Spanish",Independent_United_States[[#This Row],[Suggested script Spanish]],SScript="French",Independent_United_States[[#This Row],[Suggested script French]],SScript="Portuguese",Independent_United_States[[#This Row],[Suggested script Portuguese]])</f>
        <v>What happens if a consumer has a complaint about WU, how do you handle it?
(Through WUPOS in the other services option complaints and fill out the consumer complaint form and submit it OR by calling on behalf of the consumer to 1-800-435-2227) Also in WU.com.</v>
      </c>
      <c r="AT58" s="353"/>
      <c r="AU58" s="353"/>
      <c r="AV58" s="353" t="s">
        <v>585</v>
      </c>
      <c r="AW58" s="353" t="s">
        <v>159</v>
      </c>
      <c r="AX58" s="353" t="s">
        <v>1024</v>
      </c>
      <c r="AY58" s="353" t="s">
        <v>160</v>
      </c>
      <c r="AZ58" s="353" t="s">
        <v>1025</v>
      </c>
      <c r="BA58" s="353" t="s">
        <v>161</v>
      </c>
      <c r="BB58" s="353" t="s">
        <v>1026</v>
      </c>
      <c r="BC58" s="355" t="str">
        <f>IF('Gen Info'!$E$4="Portugal","Proteção dos consumidores","Proteção ao consumidor")</f>
        <v>Proteção ao consumidor</v>
      </c>
      <c r="BD58" s="353" t="s">
        <v>1027</v>
      </c>
    </row>
    <row r="59" spans="4:56">
      <c r="D59" s="465" t="s">
        <v>920</v>
      </c>
      <c r="E59" s="465" t="s">
        <v>1028</v>
      </c>
      <c r="F59" s="353">
        <v>3</v>
      </c>
      <c r="G59" s="353" t="s">
        <v>581</v>
      </c>
      <c r="H59" s="353" t="s">
        <v>1029</v>
      </c>
      <c r="I59" s="353" t="s">
        <v>1030</v>
      </c>
      <c r="J59" s="353"/>
      <c r="K59" s="353" t="s">
        <v>1031</v>
      </c>
      <c r="L59" s="353"/>
      <c r="M59" s="353">
        <f ca="1">IFERROR(VLOOKUP(Independent[[#This Row],[iWatch '#]],INDIRECT('Defined Ranges'!$C$28&amp;"Order"&amp;'Defined Ranges'!$C$29),2,FALSE),"")</f>
        <v>35</v>
      </c>
      <c r="N59" s="353">
        <f ca="1">IFERROR(VLOOKUP(Independent[[#This Row],[iWatch '#]],INDIRECT('Defined Ranges'!$C$28&amp;"Order"&amp;'Defined Ranges'!$C$29),3,FALSE),"")</f>
        <v>33</v>
      </c>
      <c r="O59" s="353" t="e">
        <f t="shared" si="4"/>
        <v>#VALUE!</v>
      </c>
      <c r="P59" s="353" t="str" cm="1">
        <f t="array" ref="P59">_xlfn.IFS(LSelected="English",Independent[[#This Row],[Verification Type English]],LSelected="Spanish",Independent[[#This Row],[Verification Type Spanish]],LSelected="French",Independent[[#This Row],[Verification Type French]],LSelected="Portuguese",Independent[[#This Row],[Verification Type Portuguese]])</f>
        <v>Programa de Capacitación</v>
      </c>
      <c r="Q59" s="353" t="str" cm="1">
        <f t="array" ref="Q59">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DOCUMENT REQUIRED Training Log/LMS: Answer by reviewing Agent's Training Log or LMS report. Make sure a specific comment is noted on the Training Log indicating AML/CFT &amp; Anti-Fraud training was delivered. The agent can also use WU provided materials and resources, such as COS Kit, Regulatory Bulletins, Job Aids, and/or Agent Portal, or external materials. You may also add to this, the following questions:
How often do you provide AML and Anti-Fraud refresher training to your regular employees?</v>
      </c>
      <c r="R59" s="353"/>
      <c r="S59" s="353"/>
      <c r="T59" s="353" t="s">
        <v>644</v>
      </c>
      <c r="U59" s="353" t="s">
        <v>210</v>
      </c>
      <c r="V59" s="353" t="s">
        <v>1032</v>
      </c>
      <c r="W59" s="404" t="str">
        <f>IF('Gen Info'!$E$4="Spain","Programa de Formación","Programa de Capacitación")</f>
        <v>Programa de Capacitación</v>
      </c>
      <c r="X59" s="353" t="s">
        <v>1033</v>
      </c>
      <c r="Y59" s="355" t="str">
        <f>IF('Gen Info'!$E$4="Canada","Programme du Formation","Programme de Formation")</f>
        <v>Programme de Formation</v>
      </c>
      <c r="Z59" s="353" t="s">
        <v>1034</v>
      </c>
      <c r="AA59" s="355" t="str">
        <f>IF('Gen Info'!$E$4="Portugal","Programa de formação","Programa de treinamento")</f>
        <v>Programa de treinamento</v>
      </c>
      <c r="AB59" s="353" t="s">
        <v>1035</v>
      </c>
      <c r="AC59" s="353"/>
      <c r="AF59" s="353" t="s">
        <v>1036</v>
      </c>
      <c r="AG59" s="353" t="s">
        <v>613</v>
      </c>
      <c r="AH59" s="353">
        <v>3</v>
      </c>
      <c r="AI59" s="353"/>
      <c r="AJ59" s="353" t="s">
        <v>1037</v>
      </c>
      <c r="AK59" s="353" t="s">
        <v>1038</v>
      </c>
      <c r="AL59" s="353"/>
      <c r="AM59" s="353" t="s">
        <v>1039</v>
      </c>
      <c r="AN59" s="353"/>
      <c r="AO59" s="353" t="str">
        <f ca="1">IFERROR(VLOOKUP(Independent_United_States[[#This Row],[iWatch '#]],INDIRECT('Defined Ranges'!$C$28&amp;"ROrder"&amp;'Defined Ranges'!$C$29),2,FALSE),"")</f>
        <v/>
      </c>
      <c r="AP59" s="353" t="str">
        <f ca="1">IFERROR(VLOOKUP(Independent_United_States[[#This Row],[iWatch '#]],INDIRECT('Defined Ranges'!$C$28&amp;"ROrder"&amp;'Defined Ranges'!$C$29),3,FALSE),"")</f>
        <v/>
      </c>
      <c r="AQ59" s="353">
        <f t="shared" ca="1" si="5"/>
        <v>46</v>
      </c>
      <c r="AR59" s="353" t="str" cm="1">
        <f t="array" ref="AR59">_xlfn.IFS(LSelected="English",Independent_United_States[[#This Row],[Verification Type English]],LSelected="Spanish",Independent_United_States[[#This Row],[Verification Type Spanish]],LSelected="French",Independent_United_States[[#This Row],[Verification Type French]],LSelected="Portuguese",Independent_United_States[[#This Row],[Verification Type Portuguese]])</f>
        <v>Protección del Consumidor</v>
      </c>
      <c r="AS59" s="353" t="str" cm="1">
        <f t="array" ref="AS59">_xlfn.IFS(SScript="English",Independent_United_States[[#This Row],[Suggested script English]],SScript="Spanish",Independent_United_States[[#This Row],[Suggested script Spanish]],SScript="French",Independent_United_States[[#This Row],[Suggested script French]],SScript="Portuguese",Independent_United_States[[#This Row],[Suggested script Portuguese]])</f>
        <v>If a client wants to know what rights they have regarding the Western Union services:
1. Where do you find this information?
2. Have you seen it?
3. Do you know what it is for?
In WUPOS you can go to other services and there is an Error Resolution and Cancellation rights option, you can print it and give it to the consumer or you can call on behalf of the consumer to 1-800-435-2227.</v>
      </c>
      <c r="AT59" s="353"/>
      <c r="AU59" s="353"/>
      <c r="AV59" s="353" t="s">
        <v>585</v>
      </c>
      <c r="AW59" s="353" t="s">
        <v>159</v>
      </c>
      <c r="AX59" s="353" t="s">
        <v>1040</v>
      </c>
      <c r="AY59" s="353" t="s">
        <v>160</v>
      </c>
      <c r="AZ59" s="353" t="s">
        <v>1041</v>
      </c>
      <c r="BA59" s="353" t="s">
        <v>161</v>
      </c>
      <c r="BB59" s="353" t="s">
        <v>1042</v>
      </c>
      <c r="BC59" s="355" t="str">
        <f>IF('Gen Info'!$E$4="Portugal","Proteção dos consumidores","Proteção ao consumidor")</f>
        <v>Proteção ao consumidor</v>
      </c>
      <c r="BD59" s="353" t="s">
        <v>1043</v>
      </c>
    </row>
    <row r="60" spans="4:56">
      <c r="D60" s="465" t="s">
        <v>881</v>
      </c>
      <c r="E60" s="465" t="s">
        <v>1044</v>
      </c>
      <c r="F60" s="353">
        <v>2</v>
      </c>
      <c r="G60" s="353" t="s">
        <v>609</v>
      </c>
      <c r="H60" s="353" t="s">
        <v>1045</v>
      </c>
      <c r="I60" s="353" t="s">
        <v>1046</v>
      </c>
      <c r="J60" s="353"/>
      <c r="K60" s="353"/>
      <c r="L60" s="353"/>
      <c r="M60" s="353">
        <f ca="1">IFERROR(VLOOKUP(Independent[[#This Row],[iWatch '#]],INDIRECT('Defined Ranges'!$C$28&amp;"Order"&amp;'Defined Ranges'!$C$29),2,FALSE),"")</f>
        <v>8</v>
      </c>
      <c r="N60" s="353">
        <f ca="1">IFERROR(VLOOKUP(Independent[[#This Row],[iWatch '#]],INDIRECT('Defined Ranges'!$C$28&amp;"Order"&amp;'Defined Ranges'!$C$29),3,FALSE),"")</f>
        <v>28</v>
      </c>
      <c r="O60" s="353" t="e">
        <f t="shared" si="4"/>
        <v>#VALUE!</v>
      </c>
      <c r="P60" s="353" t="str" cm="1">
        <f t="array" ref="P60">_xlfn.IFS(LSelected="English",Independent[[#This Row],[Verification Type English]],LSelected="Spanish",Independent[[#This Row],[Verification Type Spanish]],LSelected="French",Independent[[#This Row],[Verification Type French]],LSelected="Portuguese",Independent[[#This Row],[Verification Type Portuguese]])</f>
        <v>Elaboración de Informes</v>
      </c>
      <c r="Q60" s="353" t="str" cm="1">
        <f t="array" ref="Q60">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DOCUMENTS REQUIRED P&amp;Ps: Answer by reviewing Agent's Policies and Procedures document (Suspicious Activity) prior or during the call.</v>
      </c>
      <c r="R60" s="353"/>
      <c r="S60" s="353"/>
      <c r="T60" s="353" t="s">
        <v>644</v>
      </c>
      <c r="U60" s="353" t="s">
        <v>199</v>
      </c>
      <c r="V60" s="353" t="s">
        <v>1047</v>
      </c>
      <c r="W60" s="404" t="str">
        <f>IF('Gen Info'!$E$4="Spain","Informes","Elaboración de Informes")</f>
        <v>Elaboración de Informes</v>
      </c>
      <c r="X60" s="353" t="s">
        <v>1047</v>
      </c>
      <c r="Y60" s="355" t="str">
        <f>IF('Gen Info'!$E$4="Canada","Déclarations","Signalement d'activité douteuse/déclarations de doute interne")</f>
        <v>Signalement d'activité douteuse/déclarations de doute interne</v>
      </c>
      <c r="Z60" s="353" t="s">
        <v>1047</v>
      </c>
      <c r="AA60" s="355" t="str">
        <f>IF('Gen Info'!$E$4="Portugal","Denúncias","Geração de relatórios")</f>
        <v>Geração de relatórios</v>
      </c>
      <c r="AB60" s="353" t="s">
        <v>1047</v>
      </c>
      <c r="AC60" s="353"/>
      <c r="AF60" s="353" t="s">
        <v>1048</v>
      </c>
      <c r="AG60" s="353" t="s">
        <v>1049</v>
      </c>
      <c r="AH60" s="353">
        <v>3</v>
      </c>
      <c r="AI60" s="353"/>
      <c r="AJ60" s="353" t="s">
        <v>1050</v>
      </c>
      <c r="AK60" s="353" t="s">
        <v>1051</v>
      </c>
      <c r="AL60" s="353"/>
      <c r="AM60" s="353" t="s">
        <v>1052</v>
      </c>
      <c r="AN60" s="353"/>
      <c r="AO60" s="353" t="str">
        <f ca="1">IFERROR(VLOOKUP(Independent_United_States[[#This Row],[iWatch '#]],INDIRECT('Defined Ranges'!$C$28&amp;"ROrder"&amp;'Defined Ranges'!$C$29),2,FALSE),"")</f>
        <v/>
      </c>
      <c r="AP60" s="353" t="str">
        <f ca="1">IFERROR(VLOOKUP(Independent_United_States[[#This Row],[iWatch '#]],INDIRECT('Defined Ranges'!$C$28&amp;"ROrder"&amp;'Defined Ranges'!$C$29),3,FALSE),"")</f>
        <v/>
      </c>
      <c r="AQ60" s="353">
        <f t="shared" ca="1" si="5"/>
        <v>47</v>
      </c>
      <c r="AR60" s="353" t="str" cm="1">
        <f t="array" ref="AR60">_xlfn.IFS(LSelected="English",Independent_United_States[[#This Row],[Verification Type English]],LSelected="Spanish",Independent_United_States[[#This Row],[Verification Type Spanish]],LSelected="French",Independent_United_States[[#This Row],[Verification Type French]],LSelected="Portuguese",Independent_United_States[[#This Row],[Verification Type Portuguese]])</f>
        <v>Protección del Consumidor</v>
      </c>
      <c r="AS60" s="353" t="str" cm="1">
        <f t="array" ref="AS60">_xlfn.IFS(SScript="English",Independent_United_States[[#This Row],[Suggested script English]],SScript="Spanish",Independent_United_States[[#This Row],[Suggested script Spanish]],SScript="French",Independent_United_States[[#This Row],[Suggested script French]],SScript="Portuguese",Independent_United_States[[#This Row],[Suggested script Portuguese]])</f>
        <v>In what languages are your Advertising/marketing signs displayed at the location? 
Note: English/Spanish/Creole.</v>
      </c>
      <c r="AT60" s="353"/>
      <c r="AU60" s="353"/>
      <c r="AV60" s="353" t="s">
        <v>585</v>
      </c>
      <c r="AW60" s="353" t="s">
        <v>159</v>
      </c>
      <c r="AX60" s="353" t="s">
        <v>1053</v>
      </c>
      <c r="AY60" s="353" t="s">
        <v>160</v>
      </c>
      <c r="AZ60" s="353" t="s">
        <v>1054</v>
      </c>
      <c r="BA60" s="353" t="s">
        <v>161</v>
      </c>
      <c r="BB60" s="353" t="s">
        <v>1055</v>
      </c>
      <c r="BC60" s="355" t="str">
        <f>IF('Gen Info'!$E$4="Portugal","Proteção dos consumidores","Proteção ao consumidor")</f>
        <v>Proteção ao consumidor</v>
      </c>
      <c r="BD60" s="353" t="s">
        <v>1056</v>
      </c>
    </row>
    <row r="61" spans="4:56">
      <c r="D61" s="465" t="s">
        <v>893</v>
      </c>
      <c r="E61" s="465" t="s">
        <v>1057</v>
      </c>
      <c r="F61" s="353">
        <v>7</v>
      </c>
      <c r="G61" s="353" t="s">
        <v>1058</v>
      </c>
      <c r="H61" s="353" t="s">
        <v>1059</v>
      </c>
      <c r="I61" s="353" t="s">
        <v>1060</v>
      </c>
      <c r="J61" s="353"/>
      <c r="K61" s="353" t="s">
        <v>1061</v>
      </c>
      <c r="L61" s="353"/>
      <c r="M61" s="353">
        <f ca="1">IFERROR(VLOOKUP(Independent[[#This Row],[iWatch '#]],INDIRECT('Defined Ranges'!$C$28&amp;"Order"&amp;'Defined Ranges'!$C$29),2,FALSE),"")</f>
        <v>9</v>
      </c>
      <c r="N61" s="353">
        <f ca="1">IFERROR(VLOOKUP(Independent[[#This Row],[iWatch '#]],INDIRECT('Defined Ranges'!$C$28&amp;"Order"&amp;'Defined Ranges'!$C$29),3,FALSE),"")</f>
        <v>29</v>
      </c>
      <c r="O61" s="353" t="e">
        <f t="shared" si="4"/>
        <v>#VALUE!</v>
      </c>
      <c r="P61" s="353" t="str" cm="1">
        <f t="array" ref="P61">_xlfn.IFS(LSelected="English",Independent[[#This Row],[Verification Type English]],LSelected="Spanish",Independent[[#This Row],[Verification Type Spanish]],LSelected="French",Independent[[#This Row],[Verification Type French]],LSelected="Portuguese",Independent[[#This Row],[Verification Type Portuguese]])</f>
        <v>Elaboración de Informes</v>
      </c>
      <c r="Q61" s="353" t="str" cm="1">
        <f t="array" ref="Q61">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How do you report unusual/suspicious activity? (Submit a SAR – Suspicious Activity Report via BSA.
What is the timeframe to send a SAR? (30 days from the event)
Have you filed a SAR?
Are you familiar with the CTRs?
(WU files CTRs for WU MT transactions above $10,000 but the Agent is responsible for a combination of money orders, check cashing, travelers check or currency exchange and money transfers above 10 k or just money orders.)"</v>
      </c>
      <c r="R61" s="353"/>
      <c r="S61" s="353"/>
      <c r="T61" s="353" t="s">
        <v>644</v>
      </c>
      <c r="U61" s="353" t="s">
        <v>199</v>
      </c>
      <c r="V61" s="353" t="s">
        <v>1062</v>
      </c>
      <c r="W61" s="355" t="str">
        <f>IF('Gen Info'!$E$4="Spain","Informes","Elaboración de Informes")</f>
        <v>Elaboración de Informes</v>
      </c>
      <c r="X61" s="353" t="s">
        <v>1063</v>
      </c>
      <c r="Y61" s="355" t="str">
        <f>IF('Gen Info'!$E$4="Canada","Déclarations","Signalement d'activité douteuse/déclarations de doute interne")</f>
        <v>Signalement d'activité douteuse/déclarations de doute interne</v>
      </c>
      <c r="Z61" s="353" t="s">
        <v>1064</v>
      </c>
      <c r="AA61" s="355" t="str">
        <f>IF('Gen Info'!$E$4="Portugal","Denúncias","Geração de relatórios")</f>
        <v>Geração de relatórios</v>
      </c>
      <c r="AB61" s="353" t="s">
        <v>1065</v>
      </c>
      <c r="AC61" s="353"/>
      <c r="AF61" s="353" t="s">
        <v>1066</v>
      </c>
      <c r="AG61" s="353" t="s">
        <v>1067</v>
      </c>
      <c r="AH61" s="353">
        <v>2</v>
      </c>
      <c r="AI61" s="353"/>
      <c r="AJ61" s="353" t="s">
        <v>1068</v>
      </c>
      <c r="AK61" s="353" t="s">
        <v>1069</v>
      </c>
      <c r="AL61" s="353"/>
      <c r="AM61" s="353" t="s">
        <v>42</v>
      </c>
      <c r="AN61" s="353"/>
      <c r="AO61" s="353" t="str">
        <f ca="1">IFERROR(VLOOKUP(Independent_United_States[[#This Row],[iWatch '#]],INDIRECT('Defined Ranges'!$C$28&amp;"ROrder"&amp;'Defined Ranges'!$C$29),2,FALSE),"")</f>
        <v/>
      </c>
      <c r="AP61" s="353" t="str">
        <f ca="1">IFERROR(VLOOKUP(Independent_United_States[[#This Row],[iWatch '#]],INDIRECT('Defined Ranges'!$C$28&amp;"ROrder"&amp;'Defined Ranges'!$C$29),3,FALSE),"")</f>
        <v/>
      </c>
      <c r="AQ61" s="353">
        <f t="shared" ca="1" si="5"/>
        <v>48</v>
      </c>
      <c r="AR61" s="402" t="str" cm="1">
        <f t="array" ref="AR61">_xlfn.IFS(LSelected="English",Independent_United_States[[#This Row],[Verification Type English]],LSelected="Spanish",Independent_United_States[[#This Row],[Verification Type Spanish]],LSelected="French",Independent_United_States[[#This Row],[Verification Type French]],LSelected="Portuguese",Independent_United_States[[#This Row],[Verification Type Portuguese]])</f>
        <v xml:space="preserve"> </v>
      </c>
      <c r="AS61" s="353" t="str" cm="1">
        <f t="array" ref="AS61">_xlfn.IFS(SScript="English",Independent_United_States[[#This Row],[Suggested script English]],SScript="Spanish",Independent_United_States[[#This Row],[Suggested script Spanish]],SScript="French",Independent_United_States[[#This Row],[Suggested script French]],SScript="Portuguese",Independent_United_States[[#This Row],[Suggested script Portuguese]])</f>
        <v xml:space="preserve"> </v>
      </c>
      <c r="AT61" s="353"/>
      <c r="AU61" s="353"/>
      <c r="AV61" s="353"/>
      <c r="AW61" s="353"/>
      <c r="AX61" s="353" t="s">
        <v>42</v>
      </c>
      <c r="AY61" s="353" t="s">
        <v>42</v>
      </c>
      <c r="AZ61" s="353" t="s">
        <v>42</v>
      </c>
      <c r="BA61" s="353" t="s">
        <v>42</v>
      </c>
      <c r="BB61" s="353" t="s">
        <v>42</v>
      </c>
      <c r="BC61" s="353" t="s">
        <v>42</v>
      </c>
      <c r="BD61" s="353" t="s">
        <v>42</v>
      </c>
    </row>
    <row r="62" spans="4:56">
      <c r="D62" s="465" t="s">
        <v>1070</v>
      </c>
      <c r="E62" s="465" t="s">
        <v>1071</v>
      </c>
      <c r="F62" s="353">
        <v>2</v>
      </c>
      <c r="G62" s="353" t="s">
        <v>609</v>
      </c>
      <c r="H62" s="353" t="s">
        <v>1072</v>
      </c>
      <c r="I62" s="353" t="s">
        <v>1073</v>
      </c>
      <c r="J62" s="353"/>
      <c r="K62" s="353"/>
      <c r="L62" s="353"/>
      <c r="M62" s="353" t="str">
        <f ca="1">IFERROR(VLOOKUP(Independent[[#This Row],[iWatch '#]],INDIRECT('Defined Ranges'!$C$28&amp;"Order"&amp;'Defined Ranges'!$C$29),2,FALSE),"")</f>
        <v/>
      </c>
      <c r="N62" s="353" t="str">
        <f ca="1">IFERROR(VLOOKUP(Independent[[#This Row],[iWatch '#]],INDIRECT('Defined Ranges'!$C$28&amp;"Order"&amp;'Defined Ranges'!$C$29),3,FALSE),"")</f>
        <v/>
      </c>
      <c r="O62" s="353" t="e">
        <f t="shared" si="4"/>
        <v>#VALUE!</v>
      </c>
      <c r="P62" s="353" t="str" cm="1">
        <f t="array" ref="P62">_xlfn.IFS(LSelected="English",Independent[[#This Row],[Verification Type English]],LSelected="Spanish",Independent[[#This Row],[Verification Type Spanish]],LSelected="French",Independent[[#This Row],[Verification Type French]],LSelected="Portuguese",Independent[[#This Row],[Verification Type Portuguese]])</f>
        <v>Conservación de Registros</v>
      </c>
      <c r="Q62" s="353" t="str" cm="1">
        <f t="array" ref="Q62">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DOCUMENT REQUIRED ID Policy or Addendum: Answer by reviewing Agent's Policies and Procedures document or an Addendum prior or during the call.</v>
      </c>
      <c r="R62" s="353"/>
      <c r="S62" s="353"/>
      <c r="T62" s="353" t="s">
        <v>644</v>
      </c>
      <c r="U62" s="353" t="s">
        <v>197</v>
      </c>
      <c r="V62" s="353" t="s">
        <v>1074</v>
      </c>
      <c r="W62" s="355" t="str">
        <f>IF('Gen Info'!$E$4="Spain","Mantenimiento de Registros","Conservación de Registros")</f>
        <v>Conservación de Registros</v>
      </c>
      <c r="X62" s="353" t="s">
        <v>1074</v>
      </c>
      <c r="Y62" s="355" t="str">
        <f>IF('Gen Info'!$E$4="Canada","Tenue de Documents","Archivage")</f>
        <v>Archivage</v>
      </c>
      <c r="Z62" s="353" t="s">
        <v>1074</v>
      </c>
      <c r="AA62" s="403" t="str">
        <f>IF('Gen Info'!$E$4="Portugal","Manutenção de registos","Manutenção de registros")</f>
        <v>Manutenção de registros</v>
      </c>
      <c r="AB62" s="353" t="s">
        <v>1074</v>
      </c>
      <c r="AC62" s="353"/>
      <c r="AF62" s="353" t="s">
        <v>1075</v>
      </c>
      <c r="AG62" s="353" t="s">
        <v>1076</v>
      </c>
      <c r="AH62" s="353">
        <v>2</v>
      </c>
      <c r="AI62" s="353"/>
      <c r="AJ62" s="353" t="s">
        <v>1077</v>
      </c>
      <c r="AK62" s="353" t="s">
        <v>1078</v>
      </c>
      <c r="AL62" s="353"/>
      <c r="AM62" s="353" t="s">
        <v>1039</v>
      </c>
      <c r="AN62" s="353"/>
      <c r="AO62" s="353" t="str">
        <f ca="1">IFERROR(VLOOKUP(Independent_United_States[[#This Row],[iWatch '#]],INDIRECT('Defined Ranges'!$C$28&amp;"ROrder"&amp;'Defined Ranges'!$C$29),2,FALSE),"")</f>
        <v/>
      </c>
      <c r="AP62" s="353" t="str">
        <f ca="1">IFERROR(VLOOKUP(Independent_United_States[[#This Row],[iWatch '#]],INDIRECT('Defined Ranges'!$C$28&amp;"ROrder"&amp;'Defined Ranges'!$C$29),3,FALSE),"")</f>
        <v/>
      </c>
      <c r="AQ62" s="353">
        <f t="shared" ca="1" si="5"/>
        <v>49</v>
      </c>
      <c r="AR62" s="353" t="str" cm="1">
        <f t="array" ref="AR62">_xlfn.IFS(LSelected="English",Independent_United_States[[#This Row],[Verification Type English]],LSelected="Spanish",Independent_United_States[[#This Row],[Verification Type Spanish]],LSelected="French",Independent_United_States[[#This Row],[Verification Type French]],LSelected="Portuguese",Independent_United_States[[#This Row],[Verification Type Portuguese]])</f>
        <v>Protección del Consumidor</v>
      </c>
      <c r="AS62" s="353" t="str" cm="1">
        <f t="array" ref="AS62">_xlfn.IFS(SScript="English",Independent_United_States[[#This Row],[Suggested script English]],SScript="Spanish",Independent_United_States[[#This Row],[Suggested script Spanish]],SScript="French",Independent_United_States[[#This Row],[Suggested script French]],SScript="Portuguese",Independent_United_States[[#This Row],[Suggested script Portuguese]])</f>
        <v>DOCUMENT REQUIRED: Training Log -  Answer by reviewing the the agent's training log as to where it indicates Dodd-Frank training to all FLAs/ employees before allowing them to conduct Western Union transactions is delivered.</v>
      </c>
      <c r="AT62" s="353"/>
      <c r="AU62" s="353"/>
      <c r="AV62" s="353" t="s">
        <v>644</v>
      </c>
      <c r="AW62" s="353" t="s">
        <v>159</v>
      </c>
      <c r="AX62" s="353" t="s">
        <v>1079</v>
      </c>
      <c r="AY62" s="353" t="s">
        <v>160</v>
      </c>
      <c r="AZ62" s="353" t="s">
        <v>1079</v>
      </c>
      <c r="BA62" s="353" t="s">
        <v>161</v>
      </c>
      <c r="BB62" s="353" t="s">
        <v>1079</v>
      </c>
      <c r="BC62" s="355" t="str">
        <f>IF('Gen Info'!$E$4="Portugal","Proteção dos consumidores","Proteção ao consumidor")</f>
        <v>Proteção ao consumidor</v>
      </c>
      <c r="BD62" s="353" t="s">
        <v>1079</v>
      </c>
    </row>
    <row r="63" spans="4:56">
      <c r="D63" s="465" t="s">
        <v>1080</v>
      </c>
      <c r="E63" s="465" t="s">
        <v>933</v>
      </c>
      <c r="F63" s="353">
        <v>2</v>
      </c>
      <c r="G63" s="353" t="s">
        <v>609</v>
      </c>
      <c r="H63" s="353" t="s">
        <v>1081</v>
      </c>
      <c r="I63" s="353" t="s">
        <v>1082</v>
      </c>
      <c r="J63" s="353"/>
      <c r="K63" s="353" t="s">
        <v>1061</v>
      </c>
      <c r="L63" s="353"/>
      <c r="M63" s="353" t="str">
        <f ca="1">IFERROR(VLOOKUP(Independent[[#This Row],[iWatch '#]],INDIRECT('Defined Ranges'!$C$28&amp;"Order"&amp;'Defined Ranges'!$C$29),2,FALSE),"")</f>
        <v/>
      </c>
      <c r="N63" s="353" t="str">
        <f ca="1">IFERROR(VLOOKUP(Independent[[#This Row],[iWatch '#]],INDIRECT('Defined Ranges'!$C$28&amp;"Order"&amp;'Defined Ranges'!$C$29),3,FALSE),"")</f>
        <v/>
      </c>
      <c r="O63" s="353" t="e">
        <f t="shared" si="4"/>
        <v>#VALUE!</v>
      </c>
      <c r="P63" s="353" t="str" cm="1">
        <f t="array" ref="P63">_xlfn.IFS(LSelected="English",Independent[[#This Row],[Verification Type English]],LSelected="Spanish",Independent[[#This Row],[Verification Type Spanish]],LSelected="French",Independent[[#This Row],[Verification Type French]],LSelected="Portuguese",Independent[[#This Row],[Verification Type Portuguese]])</f>
        <v>Conservación de Registros</v>
      </c>
      <c r="Q63" s="353" t="str" cm="1">
        <f t="array" ref="Q63">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1. For how long do you keep the AML/CFT and Anti-Fraud Compliance documents? (5 years USA and 6 years Canada, and Australia and New Zealand 10 years.) 
2. For how long to you keep forms/receipts? (6 months for Receipts/Forms - USA and Canada). Australia and New Zealand 10 years.
Note:
For receipts, if the transactions are involved in OFAC, IRs audits or going to Sudan/Syria, these must be kept for 5 years US and 6 years Canada. Australia and New Zealand 10 years.</v>
      </c>
      <c r="R63" s="353"/>
      <c r="S63" s="353"/>
      <c r="T63" s="353" t="s">
        <v>644</v>
      </c>
      <c r="U63" s="353" t="s">
        <v>197</v>
      </c>
      <c r="V63" s="353" t="s">
        <v>1083</v>
      </c>
      <c r="W63" s="355" t="str">
        <f>IF('Gen Info'!$E$4="Spain","Mantenimiento de Registros","Conservación de Registros")</f>
        <v>Conservación de Registros</v>
      </c>
      <c r="X63" s="353" t="s">
        <v>1084</v>
      </c>
      <c r="Y63" s="355" t="str">
        <f>IF('Gen Info'!$E$4="Canada","Tenue de Documents","Archivage")</f>
        <v>Archivage</v>
      </c>
      <c r="Z63" s="353" t="s">
        <v>1085</v>
      </c>
      <c r="AA63" s="403" t="str">
        <f>IF('Gen Info'!$E$4="Portugal","Manutenção de registos","Manutenção de registros")</f>
        <v>Manutenção de registros</v>
      </c>
      <c r="AB63" s="353" t="s">
        <v>1086</v>
      </c>
      <c r="AC63" s="353"/>
      <c r="AF63" s="353" t="s">
        <v>1087</v>
      </c>
      <c r="AG63" s="353" t="s">
        <v>647</v>
      </c>
      <c r="AH63" s="353">
        <v>2</v>
      </c>
      <c r="AI63" s="353"/>
      <c r="AJ63" s="353" t="s">
        <v>1088</v>
      </c>
      <c r="AK63" s="353" t="s">
        <v>1089</v>
      </c>
      <c r="AL63" s="353"/>
      <c r="AM63" s="353" t="s">
        <v>42</v>
      </c>
      <c r="AN63" s="353"/>
      <c r="AO63" s="353" t="str">
        <f ca="1">IFERROR(VLOOKUP(Independent_United_States[[#This Row],[iWatch '#]],INDIRECT('Defined Ranges'!$C$28&amp;"ROrder"&amp;'Defined Ranges'!$C$29),2,FALSE),"")</f>
        <v/>
      </c>
      <c r="AP63" s="353" t="str">
        <f ca="1">IFERROR(VLOOKUP(Independent_United_States[[#This Row],[iWatch '#]],INDIRECT('Defined Ranges'!$C$28&amp;"ROrder"&amp;'Defined Ranges'!$C$29),3,FALSE),"")</f>
        <v/>
      </c>
      <c r="AQ63" s="353">
        <f t="shared" ca="1" si="5"/>
        <v>50</v>
      </c>
      <c r="AR63" s="353" t="str" cm="1">
        <f t="array" ref="AR63">_xlfn.IFS(LSelected="English",Independent_United_States[[#This Row],[Verification Type English]],LSelected="Spanish",Independent_United_States[[#This Row],[Verification Type Spanish]],LSelected="French",Independent_United_States[[#This Row],[Verification Type French]],LSelected="Portuguese",Independent_United_States[[#This Row],[Verification Type Portuguese]])</f>
        <v>Conservación de Registros</v>
      </c>
      <c r="AS63" s="353" t="str" cm="1">
        <f t="array" ref="AS63">_xlfn.IFS(SScript="English",Independent_United_States[[#This Row],[Suggested script English]],SScript="Spanish",Independent_United_States[[#This Row],[Suggested script Spanish]],SScript="French",Independent_United_States[[#This Row],[Suggested script French]],SScript="Portuguese",Independent_United_States[[#This Row],[Suggested script Portuguese]])</f>
        <v>Let’s say something happens and the compliance documents get damaged, stolen, or lost before they reach the 5 year period. 1. Who do you contact to report this to?
Note: They have to contact either agent support or the AE (USA).</v>
      </c>
      <c r="AT63" s="353"/>
      <c r="AU63" s="353"/>
      <c r="AV63" s="353" t="s">
        <v>585</v>
      </c>
      <c r="AW63" s="353" t="s">
        <v>197</v>
      </c>
      <c r="AX63" s="353" t="s">
        <v>1090</v>
      </c>
      <c r="AY63" s="355" t="str">
        <f>IF('Gen Info'!$E$4="Spain","Mantenimiento de Registros","Conservación de Registros")</f>
        <v>Conservación de Registros</v>
      </c>
      <c r="AZ63" s="353" t="s">
        <v>1091</v>
      </c>
      <c r="BA63" s="355" t="str">
        <f>IF('Gen Info'!$E$4="Canada","Tenue de Documents","Archivage")</f>
        <v>Archivage</v>
      </c>
      <c r="BB63" s="353" t="s">
        <v>1092</v>
      </c>
      <c r="BC63" s="355" t="str">
        <f>IF('Gen Info'!$E$4="Portugal","Manutenção de registos","Manutenção de registros")</f>
        <v>Manutenção de registros</v>
      </c>
      <c r="BD63" s="353" t="s">
        <v>1093</v>
      </c>
    </row>
    <row r="64" spans="4:56">
      <c r="D64" s="465" t="s">
        <v>1094</v>
      </c>
      <c r="E64" s="465" t="s">
        <v>1095</v>
      </c>
      <c r="F64" s="353">
        <v>2</v>
      </c>
      <c r="G64" s="353" t="s">
        <v>609</v>
      </c>
      <c r="H64" s="353" t="s">
        <v>1096</v>
      </c>
      <c r="I64" s="353" t="s">
        <v>953</v>
      </c>
      <c r="J64" s="353"/>
      <c r="K64" s="353"/>
      <c r="L64" s="353"/>
      <c r="M64" s="353" t="str">
        <f ca="1">IFERROR(VLOOKUP(Independent[[#This Row],[iWatch '#]],INDIRECT('Defined Ranges'!$C$28&amp;"Order"&amp;'Defined Ranges'!$C$29),2,FALSE),"")</f>
        <v/>
      </c>
      <c r="N64" s="353" t="str">
        <f ca="1">IFERROR(VLOOKUP(Independent[[#This Row],[iWatch '#]],INDIRECT('Defined Ranges'!$C$28&amp;"Order"&amp;'Defined Ranges'!$C$29),3,FALSE),"")</f>
        <v/>
      </c>
      <c r="O64" s="353" t="e">
        <f t="shared" si="4"/>
        <v>#VALUE!</v>
      </c>
      <c r="P64" s="353" t="str" cm="1">
        <f t="array" ref="P64">_xlfn.IFS(LSelected="English",Independent[[#This Row],[Verification Type English]],LSelected="Spanish",Independent[[#This Row],[Verification Type Spanish]],LSelected="French",Independent[[#This Row],[Verification Type French]],LSelected="Portuguese",Independent[[#This Row],[Verification Type Portuguese]])</f>
        <v>Conservación de Registros</v>
      </c>
      <c r="Q64" s="353" t="str" cm="1">
        <f t="array" ref="Q64">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If I asked you to find and retrieve receipts from four months ago, would you be able to provide them?</v>
      </c>
      <c r="R64" s="353"/>
      <c r="S64" s="353"/>
      <c r="T64" s="353" t="s">
        <v>644</v>
      </c>
      <c r="U64" s="353" t="s">
        <v>197</v>
      </c>
      <c r="V64" s="353" t="s">
        <v>1097</v>
      </c>
      <c r="W64" s="355" t="str">
        <f>IF('Gen Info'!$E$4="Spain","Mantenimiento de Registros","Conservación de Registros")</f>
        <v>Conservación de Registros</v>
      </c>
      <c r="X64" s="353" t="s">
        <v>1098</v>
      </c>
      <c r="Y64" s="355" t="str">
        <f>IF('Gen Info'!$E$4="Canada","Tenue de Documents","Archivage")</f>
        <v>Archivage</v>
      </c>
      <c r="Z64" s="353" t="s">
        <v>1099</v>
      </c>
      <c r="AA64" s="403" t="str">
        <f>IF('Gen Info'!$E$4="Portugal","Manutenção de registos","Manutenção de registros")</f>
        <v>Manutenção de registros</v>
      </c>
      <c r="AB64" s="353" t="s">
        <v>1100</v>
      </c>
      <c r="AC64" s="353"/>
      <c r="AF64" s="353" t="s">
        <v>1101</v>
      </c>
      <c r="AG64" s="353" t="s">
        <v>656</v>
      </c>
      <c r="AH64" s="353">
        <v>2</v>
      </c>
      <c r="AI64" s="353"/>
      <c r="AJ64" s="353" t="s">
        <v>1102</v>
      </c>
      <c r="AK64" s="353" t="s">
        <v>1103</v>
      </c>
      <c r="AL64" s="353"/>
      <c r="AM64" s="353" t="s">
        <v>42</v>
      </c>
      <c r="AN64" s="353"/>
      <c r="AO64" s="353" t="str">
        <f ca="1">IFERROR(VLOOKUP(Independent_United_States[[#This Row],[iWatch '#]],INDIRECT('Defined Ranges'!$C$28&amp;"ROrder"&amp;'Defined Ranges'!$C$29),2,FALSE),"")</f>
        <v/>
      </c>
      <c r="AP64" s="353" t="str">
        <f ca="1">IFERROR(VLOOKUP(Independent_United_States[[#This Row],[iWatch '#]],INDIRECT('Defined Ranges'!$C$28&amp;"ROrder"&amp;'Defined Ranges'!$C$29),3,FALSE),"")</f>
        <v/>
      </c>
      <c r="AQ64" s="353">
        <f t="shared" ca="1" si="5"/>
        <v>51</v>
      </c>
      <c r="AR64" s="353" t="str" cm="1">
        <f t="array" ref="AR64">_xlfn.IFS(LSelected="English",Independent_United_States[[#This Row],[Verification Type English]],LSelected="Spanish",Independent_United_States[[#This Row],[Verification Type Spanish]],LSelected="French",Independent_United_States[[#This Row],[Verification Type French]],LSelected="Portuguese",Independent_United_States[[#This Row],[Verification Type Portuguese]])</f>
        <v>Conservación de Registros</v>
      </c>
      <c r="AS64" s="353" t="str" cm="1">
        <f t="array" ref="AS64">_xlfn.IFS(SScript="English",Independent_United_States[[#This Row],[Suggested script English]],SScript="Spanish",Independent_United_States[[#This Row],[Suggested script Spanish]],SScript="French",Independent_United_States[[#This Row],[Suggested script French]],SScript="Portuguese",Independent_United_States[[#This Row],[Suggested script Portuguese]])</f>
        <v>How would you respond to a consumer’s question about their privacy, for example: “How do I know you will not sell or provide my personal information to a third party (such as my SSN or ID information)?”
(Correct answer: Visit WU website, calling WU # on the receipt)</v>
      </c>
      <c r="AT64" s="353"/>
      <c r="AU64" s="353"/>
      <c r="AV64" s="353" t="s">
        <v>585</v>
      </c>
      <c r="AW64" s="353" t="s">
        <v>197</v>
      </c>
      <c r="AX64" s="353" t="s">
        <v>1104</v>
      </c>
      <c r="AY64" s="355" t="str">
        <f>IF('Gen Info'!$E$4="Spain","Mantenimiento de Registros","Conservación de Registros")</f>
        <v>Conservación de Registros</v>
      </c>
      <c r="AZ64" s="353" t="s">
        <v>1105</v>
      </c>
      <c r="BA64" s="355" t="str">
        <f>IF('Gen Info'!$E$4="Canada","Tenue de Documents","Archivage")</f>
        <v>Archivage</v>
      </c>
      <c r="BB64" s="353" t="s">
        <v>1106</v>
      </c>
      <c r="BC64" s="355" t="str">
        <f>IF('Gen Info'!$E$4="Portugal","Manutenção de registos","Manutenção de registros")</f>
        <v>Manutenção de registros</v>
      </c>
      <c r="BD64" s="353" t="s">
        <v>1107</v>
      </c>
    </row>
    <row r="65" spans="4:56">
      <c r="D65" s="465" t="s">
        <v>1108</v>
      </c>
      <c r="E65" s="465" t="s">
        <v>1109</v>
      </c>
      <c r="F65" s="353">
        <v>2</v>
      </c>
      <c r="G65" s="353" t="s">
        <v>609</v>
      </c>
      <c r="H65" s="353" t="s">
        <v>1110</v>
      </c>
      <c r="I65" s="353" t="s">
        <v>1111</v>
      </c>
      <c r="J65" s="353"/>
      <c r="K65" s="353"/>
      <c r="L65" s="353"/>
      <c r="M65" s="353" t="str">
        <f ca="1">IFERROR(VLOOKUP(Independent[[#This Row],[iWatch '#]],INDIRECT('Defined Ranges'!$C$28&amp;"Order"&amp;'Defined Ranges'!$C$29),2,FALSE),"")</f>
        <v/>
      </c>
      <c r="N65" s="353" t="str">
        <f ca="1">IFERROR(VLOOKUP(Independent[[#This Row],[iWatch '#]],INDIRECT('Defined Ranges'!$C$28&amp;"Order"&amp;'Defined Ranges'!$C$29),3,FALSE),"")</f>
        <v/>
      </c>
      <c r="O65" s="353" t="e">
        <f t="shared" si="4"/>
        <v>#VALUE!</v>
      </c>
      <c r="P65" s="353" t="str" cm="1">
        <f t="array" ref="P65">_xlfn.IFS(LSelected="English",Independent[[#This Row],[Verification Type English]],LSelected="Spanish",Independent[[#This Row],[Verification Type Spanish]],LSelected="French",Independent[[#This Row],[Verification Type French]],LSelected="Portuguese",Independent[[#This Row],[Verification Type Portuguese]])</f>
        <v>Conservación de Registros</v>
      </c>
      <c r="Q65" s="353" t="str" cm="1">
        <f t="array" ref="Q65">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¿Where do you keep documents inside the store?
Note: When discussing the recordkeeping period for IRS audits, if Agent has any questions about IRS audit requirements, provide Agent Audit Support phone contact: Email: AgentAuditSupport@westernunion.com</v>
      </c>
      <c r="R65" s="353"/>
      <c r="S65" s="353"/>
      <c r="T65" s="353" t="s">
        <v>644</v>
      </c>
      <c r="U65" s="353" t="s">
        <v>197</v>
      </c>
      <c r="V65" s="353" t="s">
        <v>1112</v>
      </c>
      <c r="W65" s="355" t="str">
        <f>IF('Gen Info'!$E$4="Spain","Mantenimiento de Registros","Conservación de Registros")</f>
        <v>Conservación de Registros</v>
      </c>
      <c r="X65" s="353" t="s">
        <v>1113</v>
      </c>
      <c r="Y65" s="355" t="str">
        <f>IF('Gen Info'!$E$4="Canada","Tenue de Documents","Archivage")</f>
        <v>Archivage</v>
      </c>
      <c r="Z65" s="353" t="s">
        <v>1114</v>
      </c>
      <c r="AA65" s="403" t="str">
        <f>IF('Gen Info'!$E$4="Portugal","Manutenção de registos","Manutenção de registros")</f>
        <v>Manutenção de registros</v>
      </c>
      <c r="AB65" s="353" t="s">
        <v>1115</v>
      </c>
      <c r="AC65" s="353"/>
      <c r="AF65" s="353" t="s">
        <v>823</v>
      </c>
      <c r="AG65" s="353" t="s">
        <v>1116</v>
      </c>
      <c r="AH65" s="353">
        <v>3</v>
      </c>
      <c r="AI65" s="353"/>
      <c r="AJ65" s="353" t="s">
        <v>1117</v>
      </c>
      <c r="AK65" s="353" t="s">
        <v>1118</v>
      </c>
      <c r="AL65" s="353"/>
      <c r="AM65" s="353" t="s">
        <v>1119</v>
      </c>
      <c r="AN65" s="353"/>
      <c r="AO65" s="353" t="str">
        <f ca="1">IFERROR(VLOOKUP(Independent_United_States[[#This Row],[iWatch '#]],INDIRECT('Defined Ranges'!$C$28&amp;"ROrder"&amp;'Defined Ranges'!$C$29),2,FALSE),"")</f>
        <v/>
      </c>
      <c r="AP65" s="353" t="str">
        <f ca="1">IFERROR(VLOOKUP(Independent_United_States[[#This Row],[iWatch '#]],INDIRECT('Defined Ranges'!$C$28&amp;"ROrder"&amp;'Defined Ranges'!$C$29),3,FALSE),"")</f>
        <v/>
      </c>
      <c r="AQ65" s="353">
        <f t="shared" ca="1" si="5"/>
        <v>52</v>
      </c>
      <c r="AR65" s="353" t="str" cm="1">
        <f t="array" ref="AR65">_xlfn.IFS(LSelected="English",Independent_United_States[[#This Row],[Verification Type English]],LSelected="Spanish",Independent_United_States[[#This Row],[Verification Type Spanish]],LSelected="French",Independent_United_States[[#This Row],[Verification Type French]],LSelected="Portuguese",Independent_United_States[[#This Row],[Verification Type Portuguese]])</f>
        <v>Políticas y Procedimientos</v>
      </c>
      <c r="AS65" s="353" t="str" cm="1">
        <f t="array" ref="AS65">_xlfn.IFS(SScript="English",Independent_United_States[[#This Row],[Suggested script English]],SScript="Spanish",Independent_United_States[[#This Row],[Suggested script Spanish]],SScript="French",Independent_United_States[[#This Row],[Suggested script French]],SScript="Portuguese",Independent_United_States[[#This Row],[Suggested script Portuguese]])</f>
        <v>DOCUMENTS REQUIRED Updated (Yearly) AML P&amp;Ps: Answer by reviewing Agent's Policies and Procedures prior or during the call.</v>
      </c>
      <c r="AT65" s="353"/>
      <c r="AU65" s="353"/>
      <c r="AV65" s="353" t="s">
        <v>585</v>
      </c>
      <c r="AW65" s="353" t="s">
        <v>186</v>
      </c>
      <c r="AX65" s="353" t="s">
        <v>1120</v>
      </c>
      <c r="AY65" s="353" t="s">
        <v>187</v>
      </c>
      <c r="AZ65" s="353" t="s">
        <v>1120</v>
      </c>
      <c r="BA65" s="402" t="str">
        <f>IF('Gen Info'!$E$4="Canada","Politiques et de Procédures","Politiques et Procédures")</f>
        <v>Politiques et Procédures</v>
      </c>
      <c r="BB65" s="353" t="s">
        <v>1120</v>
      </c>
      <c r="BC65" s="355" t="str">
        <f>IF('Gen Info'!$E$4="Portugal","Requisitos e Procedimentos","Políticas e Procedimentos")</f>
        <v>Políticas e Procedimentos</v>
      </c>
      <c r="BD65" s="353" t="s">
        <v>1120</v>
      </c>
    </row>
    <row r="66" spans="4:56">
      <c r="D66" s="465" t="s">
        <v>1121</v>
      </c>
      <c r="E66" s="465" t="s">
        <v>942</v>
      </c>
      <c r="F66" s="353">
        <v>2</v>
      </c>
      <c r="G66" s="353" t="s">
        <v>609</v>
      </c>
      <c r="H66" s="353" t="s">
        <v>943</v>
      </c>
      <c r="I66" s="353" t="s">
        <v>944</v>
      </c>
      <c r="J66" s="353"/>
      <c r="K66" s="353"/>
      <c r="L66" s="353"/>
      <c r="M66" s="353" t="str">
        <f ca="1">IFERROR(VLOOKUP(Independent[[#This Row],[iWatch '#]],INDIRECT('Defined Ranges'!$C$28&amp;"Order"&amp;'Defined Ranges'!$C$29),2,FALSE),"")</f>
        <v/>
      </c>
      <c r="N66" s="353" t="str">
        <f ca="1">IFERROR(VLOOKUP(Independent[[#This Row],[iWatch '#]],INDIRECT('Defined Ranges'!$C$28&amp;"Order"&amp;'Defined Ranges'!$C$29),3,FALSE),"")</f>
        <v/>
      </c>
      <c r="O66" s="353" t="e">
        <f t="shared" si="4"/>
        <v>#VALUE!</v>
      </c>
      <c r="P66" s="353" t="str" cm="1">
        <f t="array" ref="P66">_xlfn.IFS(LSelected="English",Independent[[#This Row],[Verification Type English]],LSelected="Spanish",Independent[[#This Row],[Verification Type Spanish]],LSelected="French",Independent[[#This Row],[Verification Type French]],LSelected="Portuguese",Independent[[#This Row],[Verification Type Portuguese]])</f>
        <v>Conservación de Registros</v>
      </c>
      <c r="Q66" s="353" t="str" cm="1">
        <f t="array" ref="Q66">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Once the documents reach the 5 year period, 
1. What do you do with them? 
2. How do you get rid of the program documents?</v>
      </c>
      <c r="R66" s="353"/>
      <c r="S66" s="353"/>
      <c r="T66" s="353" t="s">
        <v>644</v>
      </c>
      <c r="U66" s="353" t="s">
        <v>197</v>
      </c>
      <c r="V66" s="353" t="s">
        <v>1122</v>
      </c>
      <c r="W66" s="355" t="str">
        <f>IF('Gen Info'!$E$4="Spain","Mantenimiento de Registros","Conservación de Registros")</f>
        <v>Conservación de Registros</v>
      </c>
      <c r="X66" s="353" t="s">
        <v>947</v>
      </c>
      <c r="Y66" s="355" t="str">
        <f>IF('Gen Info'!$E$4="Canada","Tenue de Documents","Archivage")</f>
        <v>Archivage</v>
      </c>
      <c r="Z66" s="353" t="s">
        <v>948</v>
      </c>
      <c r="AA66" s="355" t="str">
        <f>IF('Gen Info'!$E$4="Portugal","Manutenção de registos","Manutenção de registros")</f>
        <v>Manutenção de registros</v>
      </c>
      <c r="AB66" s="353" t="s">
        <v>949</v>
      </c>
      <c r="AC66" s="353"/>
      <c r="AF66" s="353" t="s">
        <v>731</v>
      </c>
      <c r="AG66" s="353" t="s">
        <v>1123</v>
      </c>
      <c r="AH66" s="353">
        <v>2</v>
      </c>
      <c r="AI66" s="353"/>
      <c r="AJ66" s="353" t="s">
        <v>1124</v>
      </c>
      <c r="AK66" s="353" t="s">
        <v>1125</v>
      </c>
      <c r="AL66" s="353"/>
      <c r="AM66" s="353" t="s">
        <v>42</v>
      </c>
      <c r="AN66" s="353"/>
      <c r="AO66" s="353" t="str">
        <f ca="1">IFERROR(VLOOKUP(Independent_United_States[[#This Row],[iWatch '#]],INDIRECT('Defined Ranges'!$C$28&amp;"ROrder"&amp;'Defined Ranges'!$C$29),2,FALSE),"")</f>
        <v/>
      </c>
      <c r="AP66" s="353" t="str">
        <f ca="1">IFERROR(VLOOKUP(Independent_United_States[[#This Row],[iWatch '#]],INDIRECT('Defined Ranges'!$C$28&amp;"ROrder"&amp;'Defined Ranges'!$C$29),3,FALSE),"")</f>
        <v/>
      </c>
      <c r="AQ66" s="353">
        <f t="shared" ca="1" si="5"/>
        <v>53</v>
      </c>
      <c r="AR66" s="353" t="str" cm="1">
        <f t="array" ref="AR66">_xlfn.IFS(LSelected="English",Independent_United_States[[#This Row],[Verification Type English]],LSelected="Spanish",Independent_United_States[[#This Row],[Verification Type Spanish]],LSelected="French",Independent_United_States[[#This Row],[Verification Type French]],LSelected="Portuguese",Independent_United_States[[#This Row],[Verification Type Portuguese]])</f>
        <v>Conocimiento de Operador - Actividad Sospechosa y Fraude</v>
      </c>
      <c r="AS66" s="353" t="str" cm="1">
        <f t="array" ref="AS66">_xlfn.IFS(SScript="English",Independent_United_States[[#This Row],[Suggested script English]],SScript="Spanish",Independent_United_States[[#This Row],[Suggested script Spanish]],SScript="French",Independent_United_States[[#This Row],[Suggested script French]],SScript="Portuguese",Independent_United_States[[#This Row],[Suggested script Portuguese]])</f>
        <v>Can you describe what elderly abuse (the grandparent scam) is?
(This is a version of the emergency scam and targets elderly consumers. The fraudster impersonates the victim's grandchild or a person of authority and describes an urgent situation/emergency (usually a car accident, returning from a foreign country, or even in jail) and asks the victim to send money right away.)</v>
      </c>
      <c r="AT66" s="353"/>
      <c r="AU66" s="353"/>
      <c r="AV66" s="353" t="s">
        <v>644</v>
      </c>
      <c r="AW66" s="353" t="s">
        <v>163</v>
      </c>
      <c r="AX66" s="353" t="s">
        <v>1126</v>
      </c>
      <c r="AY66" s="355" t="str">
        <f>IF('Gen Info'!$E$4="Spain","Conocimiento de Operador (FLA) - Actividad Sospechosa y Fraude","Conocimiento de Operador - Actividad Sospechosa y Fraude")</f>
        <v>Conocimiento de Operador - Actividad Sospechosa y Fraude</v>
      </c>
      <c r="AZ66" s="353" t="s">
        <v>1127</v>
      </c>
      <c r="BA66" s="355" t="str">
        <f>IF('Gen Info'!$E$4="Canada","Connaissance des employés - Activités douteuses et la Fraude","Connaissance des opérateurs - Activités douteuses et Fraude")</f>
        <v>Connaissance des opérateurs - Activités douteuses et Fraude</v>
      </c>
      <c r="BB66" s="353" t="s">
        <v>1128</v>
      </c>
      <c r="BC66" s="353" t="s">
        <v>1129</v>
      </c>
      <c r="BD66" s="353" t="s">
        <v>1130</v>
      </c>
    </row>
    <row r="67" spans="4:56">
      <c r="D67" s="465" t="s">
        <v>1131</v>
      </c>
      <c r="E67" s="465" t="s">
        <v>968</v>
      </c>
      <c r="F67" s="353">
        <v>3</v>
      </c>
      <c r="G67" s="353" t="s">
        <v>679</v>
      </c>
      <c r="H67" s="353" t="s">
        <v>969</v>
      </c>
      <c r="I67" s="353" t="s">
        <v>970</v>
      </c>
      <c r="J67" s="353"/>
      <c r="K67" s="353" t="s">
        <v>1132</v>
      </c>
      <c r="L67" s="353"/>
      <c r="M67" s="353" t="str">
        <f ca="1">IFERROR(VLOOKUP(Independent[[#This Row],[iWatch '#]],INDIRECT('Defined Ranges'!$C$28&amp;"Order"&amp;'Defined Ranges'!$C$29),2,FALSE),"")</f>
        <v/>
      </c>
      <c r="N67" s="353" t="str">
        <f ca="1">IFERROR(VLOOKUP(Independent[[#This Row],[iWatch '#]],INDIRECT('Defined Ranges'!$C$28&amp;"Order"&amp;'Defined Ranges'!$C$29),3,FALSE),"")</f>
        <v/>
      </c>
      <c r="O67" s="353" t="e">
        <f t="shared" si="4"/>
        <v>#VALUE!</v>
      </c>
      <c r="P67" s="353" t="str" cm="1">
        <f t="array" ref="P67">_xlfn.IFS(LSelected="English",Independent[[#This Row],[Verification Type English]],LSelected="Spanish",Independent[[#This Row],[Verification Type Spanish]],LSelected="French",Independent[[#This Row],[Verification Type French]],LSelected="Portuguese",Independent[[#This Row],[Verification Type Portuguese]])</f>
        <v>Conservación de Registros</v>
      </c>
      <c r="Q67" s="353" t="str" cm="1">
        <f t="array" ref="Q67">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Once the electronic records reach the required retention period, what do you do with them?</v>
      </c>
      <c r="R67" s="353"/>
      <c r="S67" s="353"/>
      <c r="T67" s="353" t="s">
        <v>644</v>
      </c>
      <c r="U67" s="353" t="s">
        <v>197</v>
      </c>
      <c r="V67" s="353" t="s">
        <v>972</v>
      </c>
      <c r="W67" s="355" t="str">
        <f>IF('Gen Info'!$E$4="Spain","Mantenimiento de Registros","Conservación de Registros")</f>
        <v>Conservación de Registros</v>
      </c>
      <c r="X67" s="353" t="s">
        <v>1133</v>
      </c>
      <c r="Y67" s="355" t="str">
        <f>IF('Gen Info'!$E$4="Canada","Tenue de Documents","Archivage")</f>
        <v>Archivage</v>
      </c>
      <c r="Z67" s="353" t="s">
        <v>974</v>
      </c>
      <c r="AA67" s="355" t="str">
        <f>IF('Gen Info'!$E$4="Portugal","Manutenção de registos","Manutenção de registros")</f>
        <v>Manutenção de registros</v>
      </c>
      <c r="AB67" s="353" t="s">
        <v>975</v>
      </c>
      <c r="AC67" s="353"/>
      <c r="AF67" s="353" t="s">
        <v>746</v>
      </c>
      <c r="AG67" s="353" t="s">
        <v>1134</v>
      </c>
      <c r="AH67" s="353">
        <v>3</v>
      </c>
      <c r="AI67" s="353"/>
      <c r="AJ67" s="353" t="s">
        <v>1135</v>
      </c>
      <c r="AK67" s="353" t="s">
        <v>1136</v>
      </c>
      <c r="AL67" s="353"/>
      <c r="AM67" s="353" t="s">
        <v>1137</v>
      </c>
      <c r="AN67" s="353"/>
      <c r="AO67" s="353" t="str">
        <f ca="1">IFERROR(VLOOKUP(Independent_United_States[[#This Row],[iWatch '#]],INDIRECT('Defined Ranges'!$C$28&amp;"ROrder"&amp;'Defined Ranges'!$C$29),2,FALSE),"")</f>
        <v/>
      </c>
      <c r="AP67" s="353" t="str">
        <f ca="1">IFERROR(VLOOKUP(Independent_United_States[[#This Row],[iWatch '#]],INDIRECT('Defined Ranges'!$C$28&amp;"ROrder"&amp;'Defined Ranges'!$C$29),3,FALSE),"")</f>
        <v/>
      </c>
      <c r="AQ67" s="353">
        <f t="shared" ca="1" si="5"/>
        <v>54</v>
      </c>
      <c r="AR67" s="353" t="str" cm="1">
        <f t="array" ref="AR67">_xlfn.IFS(LSelected="English",Independent_United_States[[#This Row],[Verification Type English]],LSelected="Spanish",Independent_United_States[[#This Row],[Verification Type Spanish]],LSelected="French",Independent_United_States[[#This Row],[Verification Type French]],LSelected="Portuguese",Independent_United_States[[#This Row],[Verification Type Portuguese]])</f>
        <v>Conocimiento de Operador - Actividad Sospechosa y Fraude</v>
      </c>
      <c r="AS67" s="353" t="str" cm="1">
        <f t="array" ref="AS67">_xlfn.IFS(SScript="English",Independent_United_States[[#This Row],[Suggested script English]],SScript="Spanish",Independent_United_States[[#This Row],[Suggested script Spanish]],SScript="French",Independent_United_States[[#This Row],[Suggested script French]],SScript="Portuguese",Independent_United_States[[#This Row],[Suggested script Portuguese]])</f>
        <v>1. Have you ever seen the message that shows up on the computer screen when processing a transaction that talks about telemarketing? 
2. How do you answer that question?</v>
      </c>
      <c r="AT67" s="353"/>
      <c r="AU67" s="353"/>
      <c r="AV67" s="353" t="s">
        <v>585</v>
      </c>
      <c r="AW67" s="353" t="s">
        <v>163</v>
      </c>
      <c r="AX67" s="353" t="s">
        <v>1138</v>
      </c>
      <c r="AY67" s="355" t="str">
        <f>IF('Gen Info'!$E$4="Spain","Conocimiento de Operador (FLA) - Actividad Sospechosa y Fraude","Conocimiento de Operador - Actividad Sospechosa y Fraude")</f>
        <v>Conocimiento de Operador - Actividad Sospechosa y Fraude</v>
      </c>
      <c r="AZ67" s="353" t="s">
        <v>1139</v>
      </c>
      <c r="BA67" s="355" t="str">
        <f>IF('Gen Info'!$E$4="Canada","Connaissance des employés - Activités douteuses et la Fraude","Connaissance des opérateurs - Activités douteuses et Fraude")</f>
        <v>Connaissance des opérateurs - Activités douteuses et Fraude</v>
      </c>
      <c r="BB67" s="353" t="s">
        <v>1140</v>
      </c>
      <c r="BC67" s="353" t="s">
        <v>1129</v>
      </c>
      <c r="BD67" s="353" t="s">
        <v>1141</v>
      </c>
    </row>
    <row r="68" spans="4:56">
      <c r="D68" s="465" t="s">
        <v>797</v>
      </c>
      <c r="E68" s="465" t="s">
        <v>1142</v>
      </c>
      <c r="F68" s="353">
        <v>2</v>
      </c>
      <c r="G68" s="353" t="s">
        <v>609</v>
      </c>
      <c r="H68" s="353" t="s">
        <v>1143</v>
      </c>
      <c r="I68" s="353" t="s">
        <v>1144</v>
      </c>
      <c r="J68" s="353"/>
      <c r="K68" s="353"/>
      <c r="L68" s="353"/>
      <c r="M68" s="353">
        <f ca="1">IFERROR(VLOOKUP(Independent[[#This Row],[iWatch '#]],INDIRECT('Defined Ranges'!$C$28&amp;"Order"&amp;'Defined Ranges'!$C$29),2,FALSE),"")</f>
        <v>30</v>
      </c>
      <c r="N68" s="353">
        <f ca="1">IFERROR(VLOOKUP(Independent[[#This Row],[iWatch '#]],INDIRECT('Defined Ranges'!$C$28&amp;"Order"&amp;'Defined Ranges'!$C$29),3,FALSE),"")</f>
        <v>20</v>
      </c>
      <c r="O68" s="353" t="e">
        <f t="shared" si="4"/>
        <v>#VALUE!</v>
      </c>
      <c r="P68" s="353" t="str" cm="1">
        <f t="array" ref="P68">_xlfn.IFS(LSelected="English",Independent[[#This Row],[Verification Type English]],LSelected="Spanish",Independent[[#This Row],[Verification Type Spanish]],LSelected="French",Independent[[#This Row],[Verification Type French]],LSelected="Portuguese",Independent[[#This Row],[Verification Type Portuguese]])</f>
        <v>Políticas y Procedimientos</v>
      </c>
      <c r="Q68" s="353" t="str" cm="1">
        <f t="array" ref="Q68">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DOCUMENTS REQUIRED AML/CFT P&amp;Ps: Answered by reviewing Agent's Policies and Procedures document received prior or during the call.</v>
      </c>
      <c r="R68" s="353"/>
      <c r="S68" s="353"/>
      <c r="T68" s="353" t="s">
        <v>644</v>
      </c>
      <c r="U68" s="353" t="s">
        <v>186</v>
      </c>
      <c r="V68" s="353" t="s">
        <v>1145</v>
      </c>
      <c r="W68" s="353" t="s">
        <v>187</v>
      </c>
      <c r="X68" s="353" t="s">
        <v>1145</v>
      </c>
      <c r="Y68" s="355" t="str">
        <f>IF('Gen Info'!$E$4="Canada","Politiques et de Procédures","Politiques et Procédures")</f>
        <v>Politiques et Procédures</v>
      </c>
      <c r="Z68" s="353" t="s">
        <v>1145</v>
      </c>
      <c r="AA68" s="403" t="str">
        <f>IF('Gen Info'!$E$4="Portugal","Requisitos e Procedimentos","Políticas e Procedimentos")</f>
        <v>Políticas e Procedimentos</v>
      </c>
      <c r="AB68" s="353" t="s">
        <v>1145</v>
      </c>
      <c r="AC68" s="353"/>
      <c r="AF68" s="353" t="s">
        <v>646</v>
      </c>
      <c r="AG68" s="353" t="s">
        <v>1146</v>
      </c>
      <c r="AH68" s="353">
        <v>3</v>
      </c>
      <c r="AI68" s="353"/>
      <c r="AJ68" s="353" t="s">
        <v>1147</v>
      </c>
      <c r="AK68" s="353" t="s">
        <v>1148</v>
      </c>
      <c r="AL68" s="353"/>
      <c r="AM68" s="353" t="s">
        <v>1149</v>
      </c>
      <c r="AN68" s="353"/>
      <c r="AO68" s="353" t="str">
        <f ca="1">IFERROR(VLOOKUP(Independent_United_States[[#This Row],[iWatch '#]],INDIRECT('Defined Ranges'!$C$28&amp;"ROrder"&amp;'Defined Ranges'!$C$29),2,FALSE),"")</f>
        <v/>
      </c>
      <c r="AP68" s="353" t="str">
        <f ca="1">IFERROR(VLOOKUP(Independent_United_States[[#This Row],[iWatch '#]],INDIRECT('Defined Ranges'!$C$28&amp;"ROrder"&amp;'Defined Ranges'!$C$29),3,FALSE),"")</f>
        <v/>
      </c>
      <c r="AQ68" s="353">
        <f t="shared" ca="1" si="5"/>
        <v>55</v>
      </c>
      <c r="AR68" s="353" t="str" cm="1">
        <f t="array" ref="AR68">_xlfn.IFS(LSelected="English",Independent_United_States[[#This Row],[Verification Type English]],LSelected="Spanish",Independent_United_States[[#This Row],[Verification Type Spanish]],LSelected="French",Independent_United_States[[#This Row],[Verification Type French]],LSelected="Portuguese",Independent_United_States[[#This Row],[Verification Type Portuguese]])</f>
        <v>Conocimiento de Operador - Actividad Sospechosa y Fraude</v>
      </c>
      <c r="AS68" s="353" t="str" cm="1">
        <f t="array" ref="AS68">_xlfn.IFS(SScript="English",Independent_United_States[[#This Row],[Suggested script English]],SScript="Spanish",Independent_United_States[[#This Row],[Suggested script Spanish]],SScript="French",Independent_United_States[[#This Row],[Suggested script French]],SScript="Portuguese",Independent_United_States[[#This Row],[Suggested script Portuguese]])</f>
        <v>Note: During Onsite Reviews, observe at least 1 FLA asking the question (displayed on the consumer fraud prompt) to a consumer and entering the consumer’s response in the WUPOS system.</v>
      </c>
      <c r="AT68" s="353"/>
      <c r="AU68" s="353"/>
      <c r="AV68" s="353" t="s">
        <v>585</v>
      </c>
      <c r="AW68" s="353" t="s">
        <v>163</v>
      </c>
      <c r="AX68" s="353" t="s">
        <v>1150</v>
      </c>
      <c r="AY68" s="355" t="str">
        <f>IF('Gen Info'!$E$4="Spain","Conocimiento de Operador (FLA) - Actividad Sospechosa y Fraude","Conocimiento de Operador - Actividad Sospechosa y Fraude")</f>
        <v>Conocimiento de Operador - Actividad Sospechosa y Fraude</v>
      </c>
      <c r="AZ68" s="353" t="s">
        <v>1150</v>
      </c>
      <c r="BA68" s="355" t="str">
        <f>IF('Gen Info'!$E$4="Canada","Connaissance des employés - Activités douteuses et la Fraude","Connaissance des opérateurs - Activités douteuses et Fraude")</f>
        <v>Connaissance des opérateurs - Activités douteuses et Fraude</v>
      </c>
      <c r="BB68" s="353" t="s">
        <v>1150</v>
      </c>
      <c r="BC68" s="353" t="s">
        <v>1129</v>
      </c>
      <c r="BD68" s="353" t="s">
        <v>1150</v>
      </c>
    </row>
    <row r="69" spans="4:56">
      <c r="D69" s="465" t="s">
        <v>807</v>
      </c>
      <c r="E69" s="465" t="s">
        <v>1151</v>
      </c>
      <c r="F69" s="353">
        <v>3</v>
      </c>
      <c r="G69" s="353" t="s">
        <v>581</v>
      </c>
      <c r="H69" s="353" t="s">
        <v>1152</v>
      </c>
      <c r="I69" s="353" t="s">
        <v>1153</v>
      </c>
      <c r="J69" s="353"/>
      <c r="K69" s="353" t="s">
        <v>1154</v>
      </c>
      <c r="L69" s="353" t="s">
        <v>93</v>
      </c>
      <c r="M69" s="353">
        <f ca="1">IFERROR(VLOOKUP(Independent[[#This Row],[iWatch '#]],INDIRECT('Defined Ranges'!$C$28&amp;"Order"&amp;'Defined Ranges'!$C$29),2,FALSE),"")</f>
        <v>31</v>
      </c>
      <c r="N69" s="353">
        <f ca="1">IFERROR(VLOOKUP(Independent[[#This Row],[iWatch '#]],INDIRECT('Defined Ranges'!$C$28&amp;"Order"&amp;'Defined Ranges'!$C$29),3,FALSE),"")</f>
        <v>21</v>
      </c>
      <c r="O69" s="353" t="e">
        <f t="shared" si="4"/>
        <v>#VALUE!</v>
      </c>
      <c r="P69" s="353" t="str" cm="1">
        <f t="array" ref="P69">_xlfn.IFS(LSelected="English",Independent[[#This Row],[Verification Type English]],LSelected="Spanish",Independent[[#This Row],[Verification Type Spanish]],LSelected="French",Independent[[#This Row],[Verification Type French]],LSelected="Portuguese",Independent[[#This Row],[Verification Type Portuguese]])</f>
        <v>Políticas y Procedimientos</v>
      </c>
      <c r="Q69" s="353" t="str" cm="1">
        <f t="array" ref="Q69">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DOCUMENTS REQUIRED AML/CFT P&amp;Ps: Answered by reviewing Agent's Policies and Procedures document received prior or during the call.</v>
      </c>
      <c r="R69" s="353"/>
      <c r="S69" s="353"/>
      <c r="T69" s="353" t="s">
        <v>644</v>
      </c>
      <c r="U69" s="353" t="s">
        <v>186</v>
      </c>
      <c r="V69" s="353" t="s">
        <v>1145</v>
      </c>
      <c r="W69" s="353" t="s">
        <v>187</v>
      </c>
      <c r="X69" s="353" t="s">
        <v>1145</v>
      </c>
      <c r="Y69" s="355" t="str">
        <f>IF('Gen Info'!$E$4="Canada","Politiques et de Procédures","Politiques et Procédures")</f>
        <v>Politiques et Procédures</v>
      </c>
      <c r="Z69" s="353" t="s">
        <v>1145</v>
      </c>
      <c r="AA69" s="403" t="str">
        <f>IF('Gen Info'!$E$4="Portugal","Requisitos e Procedimentos","Políticas e Procedimentos")</f>
        <v>Políticas e Procedimentos</v>
      </c>
      <c r="AB69" s="353" t="s">
        <v>1145</v>
      </c>
      <c r="AC69" s="353"/>
      <c r="AF69" s="353" t="s">
        <v>655</v>
      </c>
      <c r="AG69" s="353" t="s">
        <v>1155</v>
      </c>
      <c r="AH69" s="353">
        <v>2</v>
      </c>
      <c r="AI69" s="353"/>
      <c r="AJ69" s="353" t="s">
        <v>1156</v>
      </c>
      <c r="AK69" s="353" t="s">
        <v>1157</v>
      </c>
      <c r="AL69" s="353"/>
      <c r="AM69" s="353" t="s">
        <v>42</v>
      </c>
      <c r="AN69" s="353"/>
      <c r="AO69" s="353" t="str">
        <f ca="1">IFERROR(VLOOKUP(Independent_United_States[[#This Row],[iWatch '#]],INDIRECT('Defined Ranges'!$C$28&amp;"ROrder"&amp;'Defined Ranges'!$C$29),2,FALSE),"")</f>
        <v/>
      </c>
      <c r="AP69" s="353" t="str">
        <f ca="1">IFERROR(VLOOKUP(Independent_United_States[[#This Row],[iWatch '#]],INDIRECT('Defined Ranges'!$C$28&amp;"ROrder"&amp;'Defined Ranges'!$C$29),3,FALSE),"")</f>
        <v/>
      </c>
      <c r="AQ69" s="353">
        <f t="shared" ca="1" si="5"/>
        <v>56</v>
      </c>
      <c r="AR69" s="353" t="str" cm="1">
        <f t="array" ref="AR69">_xlfn.IFS(LSelected="English",Independent_United_States[[#This Row],[Verification Type English]],LSelected="Spanish",Independent_United_States[[#This Row],[Verification Type Spanish]],LSelected="French",Independent_United_States[[#This Row],[Verification Type French]],LSelected="Portuguese",Independent_United_States[[#This Row],[Verification Type Portuguese]])</f>
        <v>Conocimiento de Operador - Actividad Sospechosa y Fraude</v>
      </c>
      <c r="AS69" s="353" t="str" cm="1">
        <f t="array" ref="AS69">_xlfn.IFS(SScript="English",Independent_United_States[[#This Row],[Suggested script English]],SScript="Spanish",Independent_United_States[[#This Row],[Suggested script Spanish]],SScript="French",Independent_United_States[[#This Row],[Suggested script French]],SScript="Portuguese",Independent_United_States[[#This Row],[Suggested script Portuguese]])</f>
        <v>1. What happens if you come across a customer who wants to send money to pay for a vacational promotion that he was offered over the phone?
2. Do you know about any restriction in terms of sending and/or receiving telemarketing transactions?
3. How often do you read the telemarketing prompt on the screen?
Important: Telemarketing transactions: Western Union policy prohibits the use of Western Union products, services, and systems as a form of payment by sellers or telemarketers. Associates FLAs must assist in identifying, preventing and stopping the use of WU products and services for telemarketing activities by: 
• asking all consumers whether the transaction is a payment for goods or services offered through telemarketing 
• declining to process known or suspected telemarketing transactions, and 
• reporting suspected or known sellers and telemarketers to Western Union so that they may be interdicted.</v>
      </c>
      <c r="AT69" s="353"/>
      <c r="AU69" s="353"/>
      <c r="AV69" s="353" t="s">
        <v>644</v>
      </c>
      <c r="AW69" s="353" t="s">
        <v>163</v>
      </c>
      <c r="AX69" s="353" t="s">
        <v>1158</v>
      </c>
      <c r="AY69" s="355" t="str">
        <f>IF('Gen Info'!$E$4="Spain","Conocimiento de Operador (FLA) - Actividad Sospechosa y Fraude","Conocimiento de Operador - Actividad Sospechosa y Fraude")</f>
        <v>Conocimiento de Operador - Actividad Sospechosa y Fraude</v>
      </c>
      <c r="AZ69" s="353" t="s">
        <v>1159</v>
      </c>
      <c r="BA69" s="355" t="str">
        <f>IF('Gen Info'!$E$4="Canada","Connaissance des employés - Activités douteuses et la Fraude","Connaissance des opérateurs - Activités douteuses et Fraude")</f>
        <v>Connaissance des opérateurs - Activités douteuses et Fraude</v>
      </c>
      <c r="BB69" s="353" t="s">
        <v>1160</v>
      </c>
      <c r="BC69" s="353" t="s">
        <v>1129</v>
      </c>
      <c r="BD69" s="353" t="s">
        <v>1161</v>
      </c>
    </row>
    <row r="70" spans="4:56">
      <c r="D70" s="465" t="s">
        <v>815</v>
      </c>
      <c r="E70" s="465" t="s">
        <v>1162</v>
      </c>
      <c r="F70" s="353">
        <v>3</v>
      </c>
      <c r="G70" s="353" t="s">
        <v>581</v>
      </c>
      <c r="H70" s="353" t="s">
        <v>1163</v>
      </c>
      <c r="I70" s="353" t="s">
        <v>1164</v>
      </c>
      <c r="J70" s="353"/>
      <c r="K70" s="353" t="s">
        <v>1165</v>
      </c>
      <c r="L70" s="353" t="s">
        <v>94</v>
      </c>
      <c r="M70" s="353">
        <f ca="1">IFERROR(VLOOKUP(Independent[[#This Row],[iWatch '#]],INDIRECT('Defined Ranges'!$C$28&amp;"Order"&amp;'Defined Ranges'!$C$29),2,FALSE),"")</f>
        <v>16</v>
      </c>
      <c r="N70" s="353">
        <f ca="1">IFERROR(VLOOKUP(Independent[[#This Row],[iWatch '#]],INDIRECT('Defined Ranges'!$C$28&amp;"Order"&amp;'Defined Ranges'!$C$29),3,FALSE),"")</f>
        <v>22</v>
      </c>
      <c r="O70" s="353" t="e">
        <f t="shared" si="4"/>
        <v>#VALUE!</v>
      </c>
      <c r="P70" s="353" t="str" cm="1">
        <f t="array" ref="P70">_xlfn.IFS(LSelected="English",Independent[[#This Row],[Verification Type English]],LSelected="Spanish",Independent[[#This Row],[Verification Type Spanish]],LSelected="French",Independent[[#This Row],[Verification Type French]],LSelected="Portuguese",Independent[[#This Row],[Verification Type Portuguese]])</f>
        <v>Políticas y Procedimientos</v>
      </c>
      <c r="Q70" s="353" t="str" cm="1">
        <f t="array" ref="Q70">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DOCUMENTS REQUIRED Anti-Fraud P&amp;Ps: Answered by reviewing Agent's Policies and Procedures document received prior or during the call.</v>
      </c>
      <c r="R70" s="353"/>
      <c r="S70" s="353"/>
      <c r="T70" s="353" t="s">
        <v>644</v>
      </c>
      <c r="U70" s="353" t="s">
        <v>186</v>
      </c>
      <c r="V70" s="353" t="s">
        <v>1166</v>
      </c>
      <c r="W70" s="353" t="s">
        <v>187</v>
      </c>
      <c r="X70" s="353" t="s">
        <v>1166</v>
      </c>
      <c r="Y70" s="355" t="str">
        <f>IF('Gen Info'!$E$4="Canada","Politiques et de Procédures","Politiques et Procédures")</f>
        <v>Politiques et Procédures</v>
      </c>
      <c r="Z70" s="353" t="s">
        <v>1166</v>
      </c>
      <c r="AA70" s="403" t="str">
        <f>IF('Gen Info'!$E$4="Portugal","Requisitos e Procedimentos","Políticas e Procedimentos")</f>
        <v>Políticas e Procedimentos</v>
      </c>
      <c r="AB70" s="353" t="s">
        <v>1166</v>
      </c>
      <c r="AC70" s="353"/>
      <c r="AF70" s="353" t="s">
        <v>579</v>
      </c>
      <c r="AG70" s="353" t="s">
        <v>1167</v>
      </c>
      <c r="AH70" s="353">
        <v>2</v>
      </c>
      <c r="AI70" s="353"/>
      <c r="AJ70" s="353" t="s">
        <v>1168</v>
      </c>
      <c r="AK70" s="353" t="s">
        <v>1169</v>
      </c>
      <c r="AL70" s="353"/>
      <c r="AM70" s="353" t="s">
        <v>42</v>
      </c>
      <c r="AN70" s="353"/>
      <c r="AO70" s="353" t="str">
        <f ca="1">IFERROR(VLOOKUP(Independent_United_States[[#This Row],[iWatch '#]],INDIRECT('Defined Ranges'!$C$28&amp;"ROrder"&amp;'Defined Ranges'!$C$29),2,FALSE),"")</f>
        <v/>
      </c>
      <c r="AP70" s="353" t="str">
        <f ca="1">IFERROR(VLOOKUP(Independent_United_States[[#This Row],[iWatch '#]],INDIRECT('Defined Ranges'!$C$28&amp;"ROrder"&amp;'Defined Ranges'!$C$29),3,FALSE),"")</f>
        <v/>
      </c>
      <c r="AQ70" s="353">
        <f t="shared" ca="1" si="5"/>
        <v>57</v>
      </c>
      <c r="AR70" s="353" t="str" cm="1">
        <f t="array" ref="AR70">_xlfn.IFS(LSelected="English",Independent_United_States[[#This Row],[Verification Type English]],LSelected="Spanish",Independent_United_States[[#This Row],[Verification Type Spanish]],LSelected="French",Independent_United_States[[#This Row],[Verification Type French]],LSelected="Portuguese",Independent_United_States[[#This Row],[Verification Type Portuguese]])</f>
        <v>Elaboración de Informes</v>
      </c>
      <c r="AS70" s="353" t="str" cm="1">
        <f t="array" ref="AS70">_xlfn.IFS(SScript="English",Independent_United_States[[#This Row],[Suggested script English]],SScript="Spanish",Independent_United_States[[#This Row],[Suggested script Spanish]],SScript="French",Independent_United_States[[#This Row],[Suggested script French]],SScript="Portuguese",Independent_United_States[[#This Row],[Suggested script Portuguese]])</f>
        <v>1. Do you have access to the BSA E-Filling system?
IF YES, 
2. Could you please send registration proof? Like the confirmation email you got when you registered
IF NO, I will send the steps you need to follow for registration and send me proof. OR access the system and send a screen shot showing you are logged in.</v>
      </c>
      <c r="AT70" s="353"/>
      <c r="AU70" s="353"/>
      <c r="AV70" s="353" t="s">
        <v>644</v>
      </c>
      <c r="AW70" s="353" t="s">
        <v>199</v>
      </c>
      <c r="AX70" s="353" t="s">
        <v>1170</v>
      </c>
      <c r="AY70" s="355" t="str">
        <f>IF('Gen Info'!$E$4="Spain","Informes","Elaboración de Informes")</f>
        <v>Elaboración de Informes</v>
      </c>
      <c r="AZ70" s="353" t="s">
        <v>1171</v>
      </c>
      <c r="BA70" s="355" t="str">
        <f>IF('Gen Info'!$E$4="Canada","Déclarations","Signalement d'activité douteuse/déclarations de doute interne")</f>
        <v>Signalement d'activité douteuse/déclarations de doute interne</v>
      </c>
      <c r="BB70" s="353" t="s">
        <v>1172</v>
      </c>
      <c r="BC70" s="355" t="str">
        <f>IF('Gen Info'!$E$4="Portugal","Denúncias","Geração de relatórios")</f>
        <v>Geração de relatórios</v>
      </c>
      <c r="BD70" s="353" t="s">
        <v>1173</v>
      </c>
    </row>
    <row r="71" spans="4:56">
      <c r="D71" s="465" t="s">
        <v>829</v>
      </c>
      <c r="E71" s="465" t="s">
        <v>1174</v>
      </c>
      <c r="F71" s="353">
        <v>3</v>
      </c>
      <c r="G71" s="353" t="s">
        <v>581</v>
      </c>
      <c r="H71" s="353" t="s">
        <v>1175</v>
      </c>
      <c r="I71" s="353" t="s">
        <v>1176</v>
      </c>
      <c r="J71" s="353"/>
      <c r="K71" s="353" t="s">
        <v>1177</v>
      </c>
      <c r="L71" s="353" t="s">
        <v>95</v>
      </c>
      <c r="M71" s="353">
        <f ca="1">IFERROR(VLOOKUP(Independent[[#This Row],[iWatch '#]],INDIRECT('Defined Ranges'!$C$28&amp;"Order"&amp;'Defined Ranges'!$C$29),2,FALSE),"")</f>
        <v>17</v>
      </c>
      <c r="N71" s="353">
        <f ca="1">IFERROR(VLOOKUP(Independent[[#This Row],[iWatch '#]],INDIRECT('Defined Ranges'!$C$28&amp;"Order"&amp;'Defined Ranges'!$C$29),3,FALSE),"")</f>
        <v>23</v>
      </c>
      <c r="O71" s="353" t="e">
        <f t="shared" si="4"/>
        <v>#VALUE!</v>
      </c>
      <c r="P71" s="353" t="str" cm="1">
        <f t="array" ref="P71">_xlfn.IFS(LSelected="English",Independent[[#This Row],[Verification Type English]],LSelected="Spanish",Independent[[#This Row],[Verification Type Spanish]],LSelected="French",Independent[[#This Row],[Verification Type French]],LSelected="Portuguese",Independent[[#This Row],[Verification Type Portuguese]])</f>
        <v>Políticas y Procedimientos</v>
      </c>
      <c r="Q71" s="353" t="str" cm="1">
        <f t="array" ref="Q71">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DOCUMENTS REQUIRED Anti-Fraud P&amp;Ps: Answered by reviewing Agent's Policies and Procedures document received prior or during the call.</v>
      </c>
      <c r="R71" s="353"/>
      <c r="S71" s="353"/>
      <c r="T71" s="353" t="s">
        <v>644</v>
      </c>
      <c r="U71" s="353" t="s">
        <v>186</v>
      </c>
      <c r="V71" s="353" t="s">
        <v>1166</v>
      </c>
      <c r="W71" s="353" t="s">
        <v>187</v>
      </c>
      <c r="X71" s="353" t="s">
        <v>1166</v>
      </c>
      <c r="Y71" s="355" t="str">
        <f>IF('Gen Info'!$E$4="Canada","Politiques et de Procédures","Politiques et Procédures")</f>
        <v>Politiques et Procédures</v>
      </c>
      <c r="Z71" s="353" t="s">
        <v>1166</v>
      </c>
      <c r="AA71" s="403" t="str">
        <f>IF('Gen Info'!$E$4="Portugal","Requisitos e Procedimentos","Políticas e Procedimentos")</f>
        <v>Políticas e Procedimentos</v>
      </c>
      <c r="AB71" s="353" t="s">
        <v>1166</v>
      </c>
      <c r="AC71" s="353"/>
      <c r="AF71" s="353" t="s">
        <v>1178</v>
      </c>
      <c r="AG71" s="353" t="s">
        <v>1179</v>
      </c>
      <c r="AH71" s="353">
        <v>3</v>
      </c>
      <c r="AI71" s="353"/>
      <c r="AJ71" s="353" t="s">
        <v>1180</v>
      </c>
      <c r="AK71" s="353" t="s">
        <v>1181</v>
      </c>
      <c r="AL71" s="353"/>
      <c r="AM71" s="353" t="s">
        <v>1182</v>
      </c>
      <c r="AN71" s="353" t="s">
        <v>99</v>
      </c>
      <c r="AO71" s="353" t="str">
        <f ca="1">IFERROR(VLOOKUP(Independent_United_States[[#This Row],[iWatch '#]],INDIRECT('Defined Ranges'!$C$28&amp;"ROrder"&amp;'Defined Ranges'!$C$29),2,FALSE),"")</f>
        <v/>
      </c>
      <c r="AP71" s="353" t="str">
        <f ca="1">IFERROR(VLOOKUP(Independent_United_States[[#This Row],[iWatch '#]],INDIRECT('Defined Ranges'!$C$28&amp;"ROrder"&amp;'Defined Ranges'!$C$29),3,FALSE),"")</f>
        <v/>
      </c>
      <c r="AQ71" s="353">
        <f t="shared" ca="1" si="5"/>
        <v>58</v>
      </c>
      <c r="AR71" s="353" t="str" cm="1">
        <f t="array" ref="AR71">_xlfn.IFS(LSelected="English",Independent_United_States[[#This Row],[Verification Type English]],LSelected="Spanish",Independent_United_States[[#This Row],[Verification Type Spanish]],LSelected="French",Independent_United_States[[#This Row],[Verification Type French]],LSelected="Portuguese",Independent_United_States[[#This Row],[Verification Type Portuguese]])</f>
        <v>Supervisión</v>
      </c>
      <c r="AS71" s="353" t="str" cm="1">
        <f t="array" ref="AS71">_xlfn.IFS(SScript="English",Independent_United_States[[#This Row],[Suggested script English]],SScript="Spanish",Independent_United_States[[#This Row],[Suggested script Spanish]],SScript="French",Independent_United_States[[#This Row],[Suggested script French]],SScript="Portuguese",Independent_United_States[[#This Row],[Suggested script Portuguese]])</f>
        <v>1. How do you conduct your monitoring process? 
2. How often? 
3. What information do you pay attention to? 
4. What patterns do you look for? 
5. What do you do if you come across any suspicious activity pattern?
(WUPOS Transaction Log: Go to other services and select transaction log, enter the date range for the period of time that you would like to review (weekly, biweekly or monthly), and you will have the report to review all transactions, you can sort names and amounts to look for possible suspicious patterns.)</v>
      </c>
      <c r="AT71" s="353"/>
      <c r="AU71" s="353"/>
      <c r="AV71" s="353" t="s">
        <v>585</v>
      </c>
      <c r="AW71" s="353" t="s">
        <v>181</v>
      </c>
      <c r="AX71" s="353" t="s">
        <v>1183</v>
      </c>
      <c r="AY71" s="355" t="str">
        <f>IF('Gen Info'!$E$4="Spain","Seguimiento","Supervisión")</f>
        <v>Supervisión</v>
      </c>
      <c r="AZ71" s="353" t="s">
        <v>1184</v>
      </c>
      <c r="BA71" s="353" t="s">
        <v>183</v>
      </c>
      <c r="BB71" s="353" t="s">
        <v>1185</v>
      </c>
      <c r="BC71" s="355" t="str">
        <f>IF('Gen Info'!$E$4="Portugal","Monitorização","Monitoramento")</f>
        <v>Monitoramento</v>
      </c>
      <c r="BD71" s="353" t="s">
        <v>1186</v>
      </c>
    </row>
    <row r="72" spans="4:56">
      <c r="D72" s="465" t="s">
        <v>841</v>
      </c>
      <c r="E72" s="465" t="s">
        <v>1187</v>
      </c>
      <c r="F72" s="353">
        <v>2</v>
      </c>
      <c r="G72" s="353" t="s">
        <v>609</v>
      </c>
      <c r="H72" s="353" t="s">
        <v>1188</v>
      </c>
      <c r="I72" s="353" t="s">
        <v>1189</v>
      </c>
      <c r="J72" s="353"/>
      <c r="K72" s="353"/>
      <c r="L72" s="353" t="s">
        <v>96</v>
      </c>
      <c r="M72" s="353">
        <f ca="1">IFERROR(VLOOKUP(Independent[[#This Row],[iWatch '#]],INDIRECT('Defined Ranges'!$C$28&amp;"Order"&amp;'Defined Ranges'!$C$29),2,FALSE),"")</f>
        <v>23</v>
      </c>
      <c r="N72" s="353">
        <f ca="1">IFERROR(VLOOKUP(Independent[[#This Row],[iWatch '#]],INDIRECT('Defined Ranges'!$C$28&amp;"Order"&amp;'Defined Ranges'!$C$29),3,FALSE),"")</f>
        <v>24</v>
      </c>
      <c r="O72" s="353" t="e">
        <f t="shared" si="4"/>
        <v>#VALUE!</v>
      </c>
      <c r="P72" s="353" t="str" cm="1">
        <f t="array" ref="P72">_xlfn.IFS(LSelected="English",Independent[[#This Row],[Verification Type English]],LSelected="Spanish",Independent[[#This Row],[Verification Type Spanish]],LSelected="French",Independent[[#This Row],[Verification Type French]],LSelected="Portuguese",Independent[[#This Row],[Verification Type Portuguese]])</f>
        <v>Políticas y Procedimientos</v>
      </c>
      <c r="Q72" s="353" t="str" cm="1">
        <f t="array" ref="Q72">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 xml:space="preserve">DOCUMENT REQUIRED AML/CFT &amp; Anti-Fraud P&amp;Ps and Training Evidence: If P&amp;Ps were not shown, finding applies. </v>
      </c>
      <c r="R72" s="353"/>
      <c r="S72" s="353"/>
      <c r="T72" s="353" t="s">
        <v>644</v>
      </c>
      <c r="U72" s="353" t="s">
        <v>186</v>
      </c>
      <c r="V72" s="353" t="s">
        <v>1190</v>
      </c>
      <c r="W72" s="353" t="s">
        <v>187</v>
      </c>
      <c r="X72" s="353" t="s">
        <v>1190</v>
      </c>
      <c r="Y72" s="355" t="str">
        <f>IF('Gen Info'!$E$4="Canada","Politiques et de Procédures","Politiques et Procédures")</f>
        <v>Politiques et Procédures</v>
      </c>
      <c r="Z72" s="353" t="s">
        <v>1190</v>
      </c>
      <c r="AA72" s="403" t="str">
        <f>IF('Gen Info'!$E$4="Portugal","Requisitos e Procedimentos","Políticas e Procedimentos")</f>
        <v>Políticas e Procedimentos</v>
      </c>
      <c r="AB72" s="353" t="s">
        <v>1190</v>
      </c>
      <c r="AC72" s="353"/>
      <c r="AF72" s="353" t="s">
        <v>1191</v>
      </c>
      <c r="AG72" s="353" t="s">
        <v>732</v>
      </c>
      <c r="AH72" s="353">
        <v>3</v>
      </c>
      <c r="AI72" s="353"/>
      <c r="AJ72" s="353" t="s">
        <v>1192</v>
      </c>
      <c r="AK72" s="353" t="s">
        <v>1193</v>
      </c>
      <c r="AL72" s="353"/>
      <c r="AM72" s="353" t="s">
        <v>1194</v>
      </c>
      <c r="AN72" s="353"/>
      <c r="AO72" s="353" t="str">
        <f ca="1">IFERROR(VLOOKUP(Independent_United_States[[#This Row],[iWatch '#]],INDIRECT('Defined Ranges'!$C$28&amp;"ROrder"&amp;'Defined Ranges'!$C$29),2,FALSE),"")</f>
        <v/>
      </c>
      <c r="AP72" s="353" t="str">
        <f ca="1">IFERROR(VLOOKUP(Independent_United_States[[#This Row],[iWatch '#]],INDIRECT('Defined Ranges'!$C$28&amp;"ROrder"&amp;'Defined Ranges'!$C$29),3,FALSE),"")</f>
        <v/>
      </c>
      <c r="AQ72" s="353">
        <f t="shared" ca="1" si="5"/>
        <v>59</v>
      </c>
      <c r="AR72" s="353" t="str" cm="1">
        <f t="array" ref="AR72">_xlfn.IFS(LSelected="English",Independent_United_States[[#This Row],[Verification Type English]],LSelected="Spanish",Independent_United_States[[#This Row],[Verification Type Spanish]],LSelected="French",Independent_United_States[[#This Row],[Verification Type French]],LSelected="Portuguese",Independent_United_States[[#This Row],[Verification Type Portuguese]])</f>
        <v>Conservación de Registros</v>
      </c>
      <c r="AS72" s="353" t="str" cm="1">
        <f t="array" ref="AS72">_xlfn.IFS(SScript="English",Independent_United_States[[#This Row],[Suggested script English]],SScript="Spanish",Independent_United_States[[#This Row],[Suggested script Spanish]],SScript="French",Independent_United_States[[#This Row],[Suggested script French]],SScript="Portuguese",Independent_United_States[[#This Row],[Suggested script Portuguese]])</f>
        <v>DOCUMENT REQUIRED MO Log, CMOR or No Results Template created by WUCO: Answer by reviewing the CMOR report prior o during the call. If the CMOR report shows sales for 3k or more and it is confirmed, ensure the respective MO Log is attached to the case. 
1. Do you sell Money Orders that add up to 3K or more to the same person?</v>
      </c>
      <c r="AT72" s="353"/>
      <c r="AU72" s="353"/>
      <c r="AV72" s="353" t="s">
        <v>585</v>
      </c>
      <c r="AW72" s="353" t="s">
        <v>197</v>
      </c>
      <c r="AX72" s="353" t="s">
        <v>1195</v>
      </c>
      <c r="AY72" s="355" t="str">
        <f>IF('Gen Info'!$E$4="Spain","Mantenimiento de Registros","Conservación de Registros")</f>
        <v>Conservación de Registros</v>
      </c>
      <c r="AZ72" s="353" t="s">
        <v>1196</v>
      </c>
      <c r="BA72" s="355" t="str">
        <f>IF('Gen Info'!$E$4="Canada","Tenue de Documents","Archivage")</f>
        <v>Archivage</v>
      </c>
      <c r="BB72" s="353" t="s">
        <v>1197</v>
      </c>
      <c r="BC72" s="355" t="str">
        <f>IF('Gen Info'!$E$4="Portugal","Manutenção de registos","Manutenção de registros")</f>
        <v>Manutenção de registros</v>
      </c>
      <c r="BD72" s="353" t="s">
        <v>1198</v>
      </c>
    </row>
    <row r="73" spans="4:56">
      <c r="D73" s="465" t="s">
        <v>849</v>
      </c>
      <c r="E73" s="465" t="s">
        <v>1199</v>
      </c>
      <c r="F73" s="353">
        <v>3</v>
      </c>
      <c r="G73" s="353" t="s">
        <v>581</v>
      </c>
      <c r="H73" s="353" t="s">
        <v>1200</v>
      </c>
      <c r="I73" s="353" t="s">
        <v>1201</v>
      </c>
      <c r="J73" s="353"/>
      <c r="K73" s="353" t="s">
        <v>1202</v>
      </c>
      <c r="L73" s="353" t="s">
        <v>96</v>
      </c>
      <c r="M73" s="353">
        <f ca="1">IFERROR(VLOOKUP(Independent[[#This Row],[iWatch '#]],INDIRECT('Defined Ranges'!$C$28&amp;"Order"&amp;'Defined Ranges'!$C$29),2,FALSE),"")</f>
        <v>24</v>
      </c>
      <c r="N73" s="353">
        <f ca="1">IFERROR(VLOOKUP(Independent[[#This Row],[iWatch '#]],INDIRECT('Defined Ranges'!$C$28&amp;"Order"&amp;'Defined Ranges'!$C$29),3,FALSE),"")</f>
        <v>25</v>
      </c>
      <c r="O73" s="353" t="e">
        <f t="shared" si="4"/>
        <v>#VALUE!</v>
      </c>
      <c r="P73" s="353" t="str" cm="1">
        <f t="array" ref="P73">_xlfn.IFS(LSelected="English",Independent[[#This Row],[Verification Type English]],LSelected="Spanish",Independent[[#This Row],[Verification Type Spanish]],LSelected="French",Independent[[#This Row],[Verification Type French]],LSelected="Portuguese",Independent[[#This Row],[Verification Type Portuguese]])</f>
        <v>Políticas y Procedimientos</v>
      </c>
      <c r="Q73" s="353" t="str" cm="1">
        <f t="array" ref="Q73">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1) Do you have access to Anti-Money Laundering and Counter Terrorism Financing and Anti-Fraud P&amp;Ps?
2) If I were to ask you to access that information at this very moment, where would you go to find it? (Intranet communication, E-mail communication, Newsletters, store level communication, etc.</v>
      </c>
      <c r="R73" s="353"/>
      <c r="S73" s="353"/>
      <c r="T73" s="353" t="s">
        <v>644</v>
      </c>
      <c r="U73" s="353" t="s">
        <v>186</v>
      </c>
      <c r="V73" s="353" t="s">
        <v>1203</v>
      </c>
      <c r="W73" s="353" t="s">
        <v>187</v>
      </c>
      <c r="X73" s="353" t="s">
        <v>1204</v>
      </c>
      <c r="Y73" s="355" t="str">
        <f>IF('Gen Info'!$E$4="Canada","Politiques et de Procédures","Politiques et Procédures")</f>
        <v>Politiques et Procédures</v>
      </c>
      <c r="Z73" s="353" t="s">
        <v>1205</v>
      </c>
      <c r="AA73" s="355" t="str">
        <f>IF('Gen Info'!$E$4="Portugal","Requisitos e Procedimentos","Políticas e Procedimentos")</f>
        <v>Políticas e Procedimentos</v>
      </c>
      <c r="AB73" s="353" t="s">
        <v>1206</v>
      </c>
      <c r="AC73" s="353"/>
      <c r="AF73" s="353" t="s">
        <v>1207</v>
      </c>
      <c r="AG73" s="353" t="s">
        <v>1208</v>
      </c>
      <c r="AH73" s="353">
        <v>3</v>
      </c>
      <c r="AI73" s="353"/>
      <c r="AJ73" s="353" t="s">
        <v>1209</v>
      </c>
      <c r="AK73" s="353" t="s">
        <v>1210</v>
      </c>
      <c r="AL73" s="353"/>
      <c r="AM73" s="353" t="s">
        <v>1211</v>
      </c>
      <c r="AN73" s="353"/>
      <c r="AO73" s="353" t="str">
        <f ca="1">IFERROR(VLOOKUP(Independent_United_States[[#This Row],[iWatch '#]],INDIRECT('Defined Ranges'!$C$28&amp;"ROrder"&amp;'Defined Ranges'!$C$29),2,FALSE),"")</f>
        <v/>
      </c>
      <c r="AP73" s="353" t="str">
        <f ca="1">IFERROR(VLOOKUP(Independent_United_States[[#This Row],[iWatch '#]],INDIRECT('Defined Ranges'!$C$28&amp;"ROrder"&amp;'Defined Ranges'!$C$29),3,FALSE),"")</f>
        <v/>
      </c>
      <c r="AQ73" s="353">
        <f t="shared" ca="1" si="5"/>
        <v>60</v>
      </c>
      <c r="AR73" s="353" t="str" cm="1">
        <f t="array" ref="AR73">_xlfn.IFS(LSelected="English",Independent_United_States[[#This Row],[Verification Type English]],LSelected="Spanish",Independent_United_States[[#This Row],[Verification Type Spanish]],LSelected="French",Independent_United_States[[#This Row],[Verification Type French]],LSelected="Portuguese",Independent_United_States[[#This Row],[Verification Type Portuguese]])</f>
        <v>Conservación de Registros</v>
      </c>
      <c r="AS73" s="353" t="str" cm="1">
        <f t="array" ref="AS73">_xlfn.IFS(SScript="English",Independent_United_States[[#This Row],[Suggested script English]],SScript="Spanish",Independent_United_States[[#This Row],[Suggested script Spanish]],SScript="French",Independent_United_States[[#This Row],[Suggested script French]],SScript="Portuguese",Independent_United_States[[#This Row],[Suggested script Portuguese]])</f>
        <v>1. What do you know about OFAC or the Designated National List? 
2. For how long do you keep records related to OFAC?
Note: OFAC is Office of Foreign Assets and Controls. OFAC publishes a list of individuals and companies. For such individuals and companies their assets are blocked and U.S. persons are generally prohibited from dealing with them.</v>
      </c>
      <c r="AT73" s="353"/>
      <c r="AU73" s="353"/>
      <c r="AV73" s="353" t="s">
        <v>698</v>
      </c>
      <c r="AW73" s="353" t="s">
        <v>197</v>
      </c>
      <c r="AX73" s="353" t="s">
        <v>1212</v>
      </c>
      <c r="AY73" s="355" t="str">
        <f>IF('Gen Info'!$E$4="Spain","Mantenimiento de Registros","Conservación de Registros")</f>
        <v>Conservación de Registros</v>
      </c>
      <c r="AZ73" s="353" t="s">
        <v>1213</v>
      </c>
      <c r="BA73" s="355" t="str">
        <f>IF('Gen Info'!$E$4="Canada","Tenue de Documents","Archivage")</f>
        <v>Archivage</v>
      </c>
      <c r="BB73" s="353" t="s">
        <v>1214</v>
      </c>
      <c r="BC73" s="355" t="str">
        <f>IF('Gen Info'!$E$4="Portugal","Manutenção de registos","Manutenção de registros")</f>
        <v>Manutenção de registros</v>
      </c>
      <c r="BD73" s="353" t="s">
        <v>1215</v>
      </c>
    </row>
    <row r="74" spans="4:56">
      <c r="D74" s="465" t="s">
        <v>1216</v>
      </c>
      <c r="E74" s="465" t="s">
        <v>1217</v>
      </c>
      <c r="F74" s="353">
        <v>2</v>
      </c>
      <c r="G74" s="353" t="s">
        <v>609</v>
      </c>
      <c r="H74" s="353" t="s">
        <v>1218</v>
      </c>
      <c r="I74" s="353" t="s">
        <v>1219</v>
      </c>
      <c r="J74" s="353"/>
      <c r="K74" s="353"/>
      <c r="L74" s="353"/>
      <c r="M74" s="353" t="str">
        <f ca="1">IFERROR(VLOOKUP(Independent[[#This Row],[iWatch '#]],INDIRECT('Defined Ranges'!$C$28&amp;"Order"&amp;'Defined Ranges'!$C$29),2,FALSE),"")</f>
        <v/>
      </c>
      <c r="N74" s="353" t="str">
        <f ca="1">IFERROR(VLOOKUP(Independent[[#This Row],[iWatch '#]],INDIRECT('Defined Ranges'!$C$28&amp;"Order"&amp;'Defined Ranges'!$C$29),3,FALSE),"")</f>
        <v/>
      </c>
      <c r="O74" s="353" t="e">
        <f t="shared" si="4"/>
        <v>#VALUE!</v>
      </c>
      <c r="P74" s="353" t="str" cm="1">
        <f t="array" ref="P74">_xlfn.IFS(LSelected="English",Independent[[#This Row],[Verification Type English]],LSelected="Spanish",Independent[[#This Row],[Verification Type Spanish]],LSelected="French",Independent[[#This Row],[Verification Type French]],LSelected="Portuguese",Independent[[#This Row],[Verification Type Portuguese]])</f>
        <v>Supervisión</v>
      </c>
      <c r="Q74" s="353" t="str" cm="1">
        <f t="array" ref="Q74">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DOCUMENT REQUIRED (Monitoring Check List): Answer by reviewing Agent's Monitoring document prior or during the call.
1) What WU products are included in your monitoring process?
2) How often do you monitor the transactions conducted at the location?</v>
      </c>
      <c r="R74" s="353"/>
      <c r="S74" s="353"/>
      <c r="T74" s="353" t="s">
        <v>644</v>
      </c>
      <c r="U74" s="353" t="s">
        <v>181</v>
      </c>
      <c r="V74" s="353" t="s">
        <v>1220</v>
      </c>
      <c r="W74" s="355" t="str">
        <f>IF('Gen Info'!$E$4="Spain","Seguimiento","Supervisión")</f>
        <v>Supervisión</v>
      </c>
      <c r="X74" s="353" t="s">
        <v>1221</v>
      </c>
      <c r="Y74" s="353" t="s">
        <v>183</v>
      </c>
      <c r="Z74" s="353" t="s">
        <v>1222</v>
      </c>
      <c r="AA74" s="355" t="str">
        <f>IF('Gen Info'!$E$4="Portugal","Monitorização","Monitoramento")</f>
        <v>Monitoramento</v>
      </c>
      <c r="AB74" s="353" t="s">
        <v>1223</v>
      </c>
      <c r="AC74" s="353"/>
      <c r="AF74" s="353" t="s">
        <v>1224</v>
      </c>
      <c r="AG74" s="353" t="s">
        <v>1225</v>
      </c>
      <c r="AH74" s="353">
        <v>2</v>
      </c>
      <c r="AI74" s="353"/>
      <c r="AJ74" s="353"/>
      <c r="AK74" s="353"/>
      <c r="AL74" s="353"/>
      <c r="AM74" s="353"/>
      <c r="AN74" s="353"/>
      <c r="AO74" s="353" t="str">
        <f ca="1">IFERROR(VLOOKUP(Independent_United_States[[#This Row],[iWatch '#]],INDIRECT('Defined Ranges'!$C$28&amp;"ROrder"&amp;'Defined Ranges'!$C$29),2,FALSE),"")</f>
        <v/>
      </c>
      <c r="AP74" s="353" t="str">
        <f ca="1">IFERROR(VLOOKUP(Independent_United_States[[#This Row],[iWatch '#]],INDIRECT('Defined Ranges'!$C$28&amp;"ROrder"&amp;'Defined Ranges'!$C$29),3,FALSE),"")</f>
        <v/>
      </c>
      <c r="AQ74" s="353">
        <f t="shared" ca="1" si="5"/>
        <v>61</v>
      </c>
      <c r="AR74" s="353" cm="1">
        <f t="array" ref="AR74">_xlfn.IFS(LSelected="English",Independent_United_States[[#This Row],[Verification Type English]],LSelected="Spanish",Independent_United_States[[#This Row],[Verification Type Spanish]],LSelected="French",Independent_United_States[[#This Row],[Verification Type French]],LSelected="Portuguese",Independent_United_States[[#This Row],[Verification Type Portuguese]])</f>
        <v>0</v>
      </c>
      <c r="AS74" s="353" t="str" cm="1">
        <f t="array" ref="AS74">_xlfn.IFS(SScript="English",Independent_United_States[[#This Row],[Suggested script English]],SScript="Spanish",Independent_United_States[[#This Row],[Suggested script Spanish]],SScript="French",Independent_United_States[[#This Row],[Suggested script French]],SScript="Portuguese",Independent_United_States[[#This Row],[Suggested script Portuguese]])</f>
        <v xml:space="preserve"> </v>
      </c>
      <c r="AT74" s="353"/>
      <c r="AU74" s="353"/>
      <c r="AV74" s="353"/>
      <c r="AW74" s="353"/>
      <c r="AX74" s="353" t="s">
        <v>42</v>
      </c>
      <c r="AY74" s="353"/>
      <c r="AZ74" s="353"/>
      <c r="BA74" s="353"/>
      <c r="BB74" s="353"/>
      <c r="BC74" s="353"/>
      <c r="BD74" s="353"/>
    </row>
    <row r="75" spans="4:56">
      <c r="D75" s="465" t="s">
        <v>1226</v>
      </c>
      <c r="E75" s="465" t="s">
        <v>1227</v>
      </c>
      <c r="F75" s="353">
        <v>2</v>
      </c>
      <c r="G75" s="353" t="s">
        <v>609</v>
      </c>
      <c r="H75" s="353" t="s">
        <v>1228</v>
      </c>
      <c r="I75" s="353" t="s">
        <v>1219</v>
      </c>
      <c r="J75" s="353"/>
      <c r="K75" s="353"/>
      <c r="L75" s="353"/>
      <c r="M75" s="353" t="str">
        <f ca="1">IFERROR(VLOOKUP(Independent[[#This Row],[iWatch '#]],INDIRECT('Defined Ranges'!$C$28&amp;"Order"&amp;'Defined Ranges'!$C$29),2,FALSE),"")</f>
        <v/>
      </c>
      <c r="N75" s="353" t="str">
        <f ca="1">IFERROR(VLOOKUP(Independent[[#This Row],[iWatch '#]],INDIRECT('Defined Ranges'!$C$28&amp;"Order"&amp;'Defined Ranges'!$C$29),3,FALSE),"")</f>
        <v/>
      </c>
      <c r="O75" s="353" t="e">
        <f t="shared" si="4"/>
        <v>#VALUE!</v>
      </c>
      <c r="P75" s="353" t="str" cm="1">
        <f t="array" ref="P75">_xlfn.IFS(LSelected="English",Independent[[#This Row],[Verification Type English]],LSelected="Spanish",Independent[[#This Row],[Verification Type Spanish]],LSelected="French",Independent[[#This Row],[Verification Type French]],LSelected="Portuguese",Independent[[#This Row],[Verification Type Portuguese]])</f>
        <v>Supervisión</v>
      </c>
      <c r="Q75" s="353" t="str" cm="1">
        <f t="array" ref="Q75">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DOCUMENT REQUIRED MCL: Answer by reviewing Agent's Monitoring  document prior or during the call. 
1) Walk me through your transaction monitoring process.</v>
      </c>
      <c r="R75" s="353"/>
      <c r="S75" s="353"/>
      <c r="T75" s="353" t="s">
        <v>644</v>
      </c>
      <c r="U75" s="353" t="s">
        <v>181</v>
      </c>
      <c r="V75" s="353" t="s">
        <v>1229</v>
      </c>
      <c r="W75" s="355" t="str">
        <f>IF('Gen Info'!$E$4="Spain","Seguimiento","Supervisión")</f>
        <v>Supervisión</v>
      </c>
      <c r="X75" s="353" t="s">
        <v>1230</v>
      </c>
      <c r="Y75" s="353" t="s">
        <v>183</v>
      </c>
      <c r="Z75" s="353" t="s">
        <v>1231</v>
      </c>
      <c r="AA75" s="355" t="str">
        <f>IF('Gen Info'!$E$4="Portugal","Monitorização","Monitoramento")</f>
        <v>Monitoramento</v>
      </c>
      <c r="AB75" s="353" t="s">
        <v>1232</v>
      </c>
      <c r="AC75" s="353"/>
      <c r="AF75" s="353" t="s">
        <v>1233</v>
      </c>
      <c r="AG75" s="353" t="s">
        <v>1234</v>
      </c>
      <c r="AH75" s="353">
        <v>2</v>
      </c>
      <c r="AI75" s="353"/>
      <c r="AJ75" s="353" t="s">
        <v>1235</v>
      </c>
      <c r="AK75" s="353" t="s">
        <v>1236</v>
      </c>
      <c r="AL75" s="353"/>
      <c r="AM75" s="353"/>
      <c r="AN75" s="353"/>
      <c r="AO75" s="353" t="str">
        <f ca="1">IFERROR(VLOOKUP(Independent_United_States[[#This Row],[iWatch '#]],INDIRECT('Defined Ranges'!$C$28&amp;"ROrder"&amp;'Defined Ranges'!$C$29),2,FALSE),"")</f>
        <v/>
      </c>
      <c r="AP75" s="353" t="str">
        <f ca="1">IFERROR(VLOOKUP(Independent_United_States[[#This Row],[iWatch '#]],INDIRECT('Defined Ranges'!$C$28&amp;"ROrder"&amp;'Defined Ranges'!$C$29),3,FALSE),"")</f>
        <v/>
      </c>
      <c r="AQ75" s="353">
        <f t="shared" ca="1" si="5"/>
        <v>62</v>
      </c>
      <c r="AR75" s="353" t="str" cm="1">
        <f t="array" ref="AR75">_xlfn.IFS(LSelected="English",Independent_United_States[[#This Row],[Verification Type English]],LSelected="Spanish",Independent_United_States[[#This Row],[Verification Type Spanish]],LSelected="French",Independent_United_States[[#This Row],[Verification Type French]],LSelected="Portuguese",Independent_United_States[[#This Row],[Verification Type Portuguese]])</f>
        <v>Conservación de Registros</v>
      </c>
      <c r="AS75" s="353" t="str" cm="1">
        <f t="array" ref="AS75">_xlfn.IFS(SScript="English",Independent_United_States[[#This Row],[Suggested script English]],SScript="Spanish",Independent_United_States[[#This Row],[Suggested script Spanish]],SScript="French",Independent_United_States[[#This Row],[Suggested script French]],SScript="Portuguese",Independent_United_States[[#This Row],[Suggested script Portuguese]])</f>
        <v xml:space="preserve"> </v>
      </c>
      <c r="AT75" s="353"/>
      <c r="AU75" s="353"/>
      <c r="AV75" s="353" t="s">
        <v>644</v>
      </c>
      <c r="AW75" s="353" t="s">
        <v>197</v>
      </c>
      <c r="AX75" s="353" t="s">
        <v>42</v>
      </c>
      <c r="AY75" s="355" t="str">
        <f>IF('Gen Info'!$E$4="Spain","Mantenimiento de Registros","Conservación de Registros")</f>
        <v>Conservación de Registros</v>
      </c>
      <c r="AZ75" s="353" t="s">
        <v>42</v>
      </c>
      <c r="BA75" s="355" t="str">
        <f>IF('Gen Info'!$E$4="Canada","Tenue de Documents","Archivage")</f>
        <v>Archivage</v>
      </c>
      <c r="BB75" s="353" t="s">
        <v>42</v>
      </c>
      <c r="BC75" s="355" t="str">
        <f>IF('Gen Info'!$E$4="Portugal","Manutenção de registos","Manutenção de registros")</f>
        <v>Manutenção de registros</v>
      </c>
      <c r="BD75" s="353" t="s">
        <v>42</v>
      </c>
    </row>
    <row r="76" spans="4:56">
      <c r="D76" s="465" t="s">
        <v>1237</v>
      </c>
      <c r="E76" s="465" t="s">
        <v>1238</v>
      </c>
      <c r="F76" s="353">
        <v>2</v>
      </c>
      <c r="G76" s="353" t="s">
        <v>609</v>
      </c>
      <c r="H76" s="353" t="s">
        <v>1239</v>
      </c>
      <c r="I76" s="353" t="s">
        <v>1240</v>
      </c>
      <c r="J76" s="353"/>
      <c r="K76" s="353"/>
      <c r="L76" s="353"/>
      <c r="M76" s="353" t="str">
        <f ca="1">IFERROR(VLOOKUP(Independent[[#This Row],[iWatch '#]],INDIRECT('Defined Ranges'!$C$28&amp;"Order"&amp;'Defined Ranges'!$C$29),2,FALSE),"")</f>
        <v/>
      </c>
      <c r="N76" s="353" t="str">
        <f ca="1">IFERROR(VLOOKUP(Independent[[#This Row],[iWatch '#]],INDIRECT('Defined Ranges'!$C$28&amp;"Order"&amp;'Defined Ranges'!$C$29),3,FALSE),"")</f>
        <v/>
      </c>
      <c r="O76" s="353" t="e">
        <f t="shared" si="4"/>
        <v>#VALUE!</v>
      </c>
      <c r="P76" s="353" t="str" cm="1">
        <f t="array" ref="P76">_xlfn.IFS(LSelected="English",Independent[[#This Row],[Verification Type English]],LSelected="Spanish",Independent[[#This Row],[Verification Type Spanish]],LSelected="French",Independent[[#This Row],[Verification Type French]],LSelected="Portuguese",Independent[[#This Row],[Verification Type Portuguese]])</f>
        <v>Supervisión</v>
      </c>
      <c r="Q76" s="353" t="str" cm="1">
        <f t="array" ref="Q76">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 xml:space="preserve"> DOCUMENT REQUIRED Monitoring Documentation: Answer by reviewing Agent's Monitoring document from the most recent full 30 days of available monitoring and confirms that it is complete and sufficiently documents either electronically, manually, or both, to create a comprehensive audit trail of the investigation prior or during the call. </v>
      </c>
      <c r="R76" s="353"/>
      <c r="S76" s="353"/>
      <c r="T76" s="353" t="s">
        <v>644</v>
      </c>
      <c r="U76" s="353" t="s">
        <v>181</v>
      </c>
      <c r="V76" s="353" t="s">
        <v>1241</v>
      </c>
      <c r="W76" s="355" t="str">
        <f>IF('Gen Info'!$E$4="Spain","Seguimiento","Supervisión")</f>
        <v>Supervisión</v>
      </c>
      <c r="X76" s="353" t="s">
        <v>1241</v>
      </c>
      <c r="Y76" s="353" t="s">
        <v>183</v>
      </c>
      <c r="Z76" s="353" t="s">
        <v>1241</v>
      </c>
      <c r="AA76" s="355" t="str">
        <f>IF('Gen Info'!$E$4="Portugal","Monitorização","Monitoramento")</f>
        <v>Monitoramento</v>
      </c>
      <c r="AB76" s="353" t="s">
        <v>1241</v>
      </c>
      <c r="AC76" s="353"/>
      <c r="AF76" s="353" t="s">
        <v>1242</v>
      </c>
      <c r="AG76" s="353" t="s">
        <v>1243</v>
      </c>
      <c r="AH76" s="353">
        <v>2</v>
      </c>
      <c r="AI76" s="353"/>
      <c r="AJ76" s="353"/>
      <c r="AK76" s="353"/>
      <c r="AL76" s="353"/>
      <c r="AM76" s="353"/>
      <c r="AN76" s="353"/>
      <c r="AO76" s="353" t="str">
        <f ca="1">IFERROR(VLOOKUP(Independent_United_States[[#This Row],[iWatch '#]],INDIRECT('Defined Ranges'!$C$28&amp;"ROrder"&amp;'Defined Ranges'!$C$29),2,FALSE),"")</f>
        <v/>
      </c>
      <c r="AP76" s="353" t="str">
        <f ca="1">IFERROR(VLOOKUP(Independent_United_States[[#This Row],[iWatch '#]],INDIRECT('Defined Ranges'!$C$28&amp;"ROrder"&amp;'Defined Ranges'!$C$29),3,FALSE),"")</f>
        <v/>
      </c>
      <c r="AQ76" s="353">
        <f t="shared" ca="1" si="5"/>
        <v>63</v>
      </c>
      <c r="AR76" s="353" cm="1">
        <f t="array" ref="AR76">_xlfn.IFS(LSelected="English",Independent_United_States[[#This Row],[Verification Type English]],LSelected="Spanish",Independent_United_States[[#This Row],[Verification Type Spanish]],LSelected="French",Independent_United_States[[#This Row],[Verification Type French]],LSelected="Portuguese",Independent_United_States[[#This Row],[Verification Type Portuguese]])</f>
        <v>0</v>
      </c>
      <c r="AS76" s="353" t="str" cm="1">
        <f t="array" ref="AS76">_xlfn.IFS(SScript="English",Independent_United_States[[#This Row],[Suggested script English]],SScript="Spanish",Independent_United_States[[#This Row],[Suggested script Spanish]],SScript="French",Independent_United_States[[#This Row],[Suggested script French]],SScript="Portuguese",Independent_United_States[[#This Row],[Suggested script Portuguese]])</f>
        <v xml:space="preserve"> </v>
      </c>
      <c r="AT76" s="353"/>
      <c r="AU76" s="353"/>
      <c r="AV76" s="353"/>
      <c r="AW76" s="353"/>
      <c r="AX76" s="353" t="s">
        <v>42</v>
      </c>
      <c r="AY76" s="353"/>
      <c r="AZ76" s="353" t="s">
        <v>42</v>
      </c>
      <c r="BA76" s="353"/>
      <c r="BB76" s="353" t="s">
        <v>42</v>
      </c>
      <c r="BC76" s="353"/>
      <c r="BD76" s="353" t="s">
        <v>42</v>
      </c>
    </row>
    <row r="77" spans="4:56">
      <c r="D77" s="465" t="s">
        <v>1244</v>
      </c>
      <c r="E77" s="465" t="s">
        <v>1245</v>
      </c>
      <c r="F77" s="353">
        <v>3</v>
      </c>
      <c r="G77" s="353" t="s">
        <v>581</v>
      </c>
      <c r="H77" s="353" t="s">
        <v>1246</v>
      </c>
      <c r="I77" s="353" t="s">
        <v>1247</v>
      </c>
      <c r="J77" s="353"/>
      <c r="K77" s="353" t="s">
        <v>1248</v>
      </c>
      <c r="L77" s="353"/>
      <c r="M77" s="353" t="str">
        <f ca="1">IFERROR(VLOOKUP(Independent[[#This Row],[iWatch '#]],INDIRECT('Defined Ranges'!$C$28&amp;"Order"&amp;'Defined Ranges'!$C$29),2,FALSE),"")</f>
        <v/>
      </c>
      <c r="N77" s="353" t="str">
        <f ca="1">IFERROR(VLOOKUP(Independent[[#This Row],[iWatch '#]],INDIRECT('Defined Ranges'!$C$28&amp;"Order"&amp;'Defined Ranges'!$C$29),3,FALSE),"")</f>
        <v/>
      </c>
      <c r="O77" s="353" t="e">
        <f t="shared" si="4"/>
        <v>#VALUE!</v>
      </c>
      <c r="P77" s="353" t="str" cm="1">
        <f t="array" ref="P77">_xlfn.IFS(LSelected="English",Independent[[#This Row],[Verification Type English]],LSelected="Spanish",Independent[[#This Row],[Verification Type Spanish]],LSelected="French",Independent[[#This Row],[Verification Type French]],LSelected="Portuguese",Independent[[#This Row],[Verification Type Portuguese]])</f>
        <v>Requisitos de KYC</v>
      </c>
      <c r="Q77" s="353" t="str" cm="1">
        <f t="array" ref="Q77">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As part of the review, we run a report of the transactions completed in the last couple of months at the location. This to determine how customers' details are being entered into the system.</v>
      </c>
      <c r="R77" s="353"/>
      <c r="S77" s="353"/>
      <c r="T77" s="353" t="s">
        <v>644</v>
      </c>
      <c r="U77" s="353" t="s">
        <v>175</v>
      </c>
      <c r="V77" s="353" t="s">
        <v>1249</v>
      </c>
      <c r="W77" s="404" t="str">
        <f>IF('Gen Info'!$E$4="Spain","Requerimientos de KYC","Requisitos de KYC")</f>
        <v>Requisitos de KYC</v>
      </c>
      <c r="X77" s="353" t="s">
        <v>1250</v>
      </c>
      <c r="Y77" s="355" t="str">
        <f>IF('Gen Info'!$E$4="Canada","Exigences en Matière de Connaissance des Clients","Exigences en Matière de Connaissance Client")</f>
        <v>Exigences en Matière de Connaissance Client</v>
      </c>
      <c r="Z77" s="353" t="s">
        <v>1251</v>
      </c>
      <c r="AA77" s="399" t="s">
        <v>178</v>
      </c>
      <c r="AB77" s="353" t="s">
        <v>1252</v>
      </c>
      <c r="AC77" s="353"/>
      <c r="AF77" s="353" t="s">
        <v>1253</v>
      </c>
      <c r="AG77" s="353" t="s">
        <v>1254</v>
      </c>
      <c r="AH77" s="353">
        <v>2</v>
      </c>
      <c r="AI77" s="353"/>
      <c r="AJ77" s="353" t="s">
        <v>1255</v>
      </c>
      <c r="AK77" s="353" t="s">
        <v>1256</v>
      </c>
      <c r="AL77" s="353"/>
      <c r="AM77" s="353"/>
      <c r="AN77" s="353"/>
      <c r="AO77" s="353" t="str">
        <f ca="1">IFERROR(VLOOKUP(Independent_United_States[[#This Row],[iWatch '#]],INDIRECT('Defined Ranges'!$C$28&amp;"ROrder"&amp;'Defined Ranges'!$C$29),2,FALSE),"")</f>
        <v/>
      </c>
      <c r="AP77" s="353" t="str">
        <f ca="1">IFERROR(VLOOKUP(Independent_United_States[[#This Row],[iWatch '#]],INDIRECT('Defined Ranges'!$C$28&amp;"ROrder"&amp;'Defined Ranges'!$C$29),3,FALSE),"")</f>
        <v/>
      </c>
      <c r="AQ77" s="353">
        <f t="shared" ca="1" si="5"/>
        <v>64</v>
      </c>
      <c r="AR77" s="353" t="str" cm="1">
        <f t="array" ref="AR77">_xlfn.IFS(LSelected="English",Independent_United_States[[#This Row],[Verification Type English]],LSelected="Spanish",Independent_United_States[[#This Row],[Verification Type Spanish]],LSelected="French",Independent_United_States[[#This Row],[Verification Type French]],LSelected="Portuguese",Independent_United_States[[#This Row],[Verification Type Portuguese]])</f>
        <v>Conservación de Registros</v>
      </c>
      <c r="AS77" s="353" t="str" cm="1">
        <f t="array" ref="AS77">_xlfn.IFS(SScript="English",Independent_United_States[[#This Row],[Suggested script English]],SScript="Spanish",Independent_United_States[[#This Row],[Suggested script Spanish]],SScript="French",Independent_United_States[[#This Row],[Suggested script French]],SScript="Portuguese",Independent_United_States[[#This Row],[Suggested script Portuguese]])</f>
        <v xml:space="preserve"> </v>
      </c>
      <c r="AT77" s="353"/>
      <c r="AU77" s="353"/>
      <c r="AV77" s="353" t="s">
        <v>644</v>
      </c>
      <c r="AW77" s="353" t="s">
        <v>197</v>
      </c>
      <c r="AX77" s="353" t="s">
        <v>42</v>
      </c>
      <c r="AY77" s="355" t="str">
        <f>IF('Gen Info'!$E$4="Spain","Mantenimiento de Registros","Conservación de Registros")</f>
        <v>Conservación de Registros</v>
      </c>
      <c r="AZ77" s="353" t="s">
        <v>42</v>
      </c>
      <c r="BA77" s="355" t="str">
        <f>IF('Gen Info'!$E$4="Canada","Tenue de Documents","Archivage")</f>
        <v>Archivage</v>
      </c>
      <c r="BB77" s="353" t="s">
        <v>42</v>
      </c>
      <c r="BC77" s="355" t="str">
        <f>IF('Gen Info'!$E$4="Portugal","Manutenção de registos","Manutenção de registros")</f>
        <v>Manutenção de registros</v>
      </c>
      <c r="BD77" s="353" t="s">
        <v>42</v>
      </c>
    </row>
    <row r="78" spans="4:56">
      <c r="D78" s="465" t="s">
        <v>1257</v>
      </c>
      <c r="E78" s="465" t="s">
        <v>816</v>
      </c>
      <c r="F78" s="353">
        <v>2</v>
      </c>
      <c r="G78" s="353" t="s">
        <v>609</v>
      </c>
      <c r="H78" s="353" t="s">
        <v>1258</v>
      </c>
      <c r="I78" s="353" t="s">
        <v>1259</v>
      </c>
      <c r="J78" s="353"/>
      <c r="K78" s="353"/>
      <c r="L78" s="353"/>
      <c r="M78" s="353" t="str">
        <f ca="1">IFERROR(VLOOKUP(Independent[[#This Row],[iWatch '#]],INDIRECT('Defined Ranges'!$C$28&amp;"Order"&amp;'Defined Ranges'!$C$29),2,FALSE),"")</f>
        <v/>
      </c>
      <c r="N78" s="353" t="str">
        <f ca="1">IFERROR(VLOOKUP(Independent[[#This Row],[iWatch '#]],INDIRECT('Defined Ranges'!$C$28&amp;"Order"&amp;'Defined Ranges'!$C$29),3,FALSE),"")</f>
        <v/>
      </c>
      <c r="O78" s="353" t="e">
        <f t="shared" si="4"/>
        <v>#VALUE!</v>
      </c>
      <c r="P78" s="353" t="str" cm="1">
        <f t="array" ref="P78">_xlfn.IFS(LSelected="English",Independent[[#This Row],[Verification Type English]],LSelected="Spanish",Independent[[#This Row],[Verification Type Spanish]],LSelected="French",Independent[[#This Row],[Verification Type French]],LSelected="Portuguese",Independent[[#This Row],[Verification Type Portuguese]])</f>
        <v>Requisitos de KYC</v>
      </c>
      <c r="Q78" s="353" t="str" cm="1">
        <f t="array" ref="Q78">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1) What IDs do you accept if I am sending a transaction for $$ to XXX?
2) What type of ID would you accept from a local customer sending 1500USD?
3) What type of ID would you accept from a foreign customer sending 1500USD?
Note: IDs are required after $1,000 in most jurisdictions, unless Agent has their own more stringent measures.
(Driver’s License - Passport - Temporary Business Visitor - Temporary Tourist Visitor - Military ID - State Issued ID card - Alien ID card - Mexican Consular ID Card)</v>
      </c>
      <c r="R78" s="353"/>
      <c r="S78" s="353"/>
      <c r="T78" s="353" t="s">
        <v>644</v>
      </c>
      <c r="U78" s="353" t="s">
        <v>175</v>
      </c>
      <c r="V78" s="353" t="s">
        <v>1260</v>
      </c>
      <c r="W78" s="404" t="str">
        <f>IF('Gen Info'!$E$4="Spain","Requerimientos de KYC","Requisitos de KYC")</f>
        <v>Requisitos de KYC</v>
      </c>
      <c r="X78" s="353" t="s">
        <v>1261</v>
      </c>
      <c r="Y78" s="355" t="str">
        <f>IF('Gen Info'!$E$4="Canada","Exigences en Matière de Connaissance des Clients","Exigences en Matière de Connaissance Client")</f>
        <v>Exigences en Matière de Connaissance Client</v>
      </c>
      <c r="Z78" s="353" t="s">
        <v>1262</v>
      </c>
      <c r="AA78" s="399" t="s">
        <v>178</v>
      </c>
      <c r="AB78" s="353" t="s">
        <v>1263</v>
      </c>
      <c r="AC78" s="353"/>
    </row>
    <row r="79" spans="4:56">
      <c r="D79" s="465" t="s">
        <v>1264</v>
      </c>
      <c r="E79" s="465" t="s">
        <v>1265</v>
      </c>
      <c r="F79" s="353">
        <v>2</v>
      </c>
      <c r="G79" s="353" t="s">
        <v>609</v>
      </c>
      <c r="H79" s="353" t="s">
        <v>1266</v>
      </c>
      <c r="I79" s="353" t="s">
        <v>1267</v>
      </c>
      <c r="J79" s="353"/>
      <c r="K79" s="353"/>
      <c r="L79" s="353"/>
      <c r="M79" s="353" t="str">
        <f ca="1">IFERROR(VLOOKUP(Independent[[#This Row],[iWatch '#]],INDIRECT('Defined Ranges'!$C$28&amp;"Order"&amp;'Defined Ranges'!$C$29),2,FALSE),"")</f>
        <v/>
      </c>
      <c r="N79" s="353" t="str">
        <f ca="1">IFERROR(VLOOKUP(Independent[[#This Row],[iWatch '#]],INDIRECT('Defined Ranges'!$C$28&amp;"Order"&amp;'Defined Ranges'!$C$29),3,FALSE),"")</f>
        <v/>
      </c>
      <c r="O79" s="353" t="e">
        <f t="shared" si="4"/>
        <v>#VALUE!</v>
      </c>
      <c r="P79" s="353" t="str" cm="1">
        <f t="array" ref="P79">_xlfn.IFS(LSelected="English",Independent[[#This Row],[Verification Type English]],LSelected="Spanish",Independent[[#This Row],[Verification Type Spanish]],LSelected="French",Independent[[#This Row],[Verification Type French]],LSelected="Portuguese",Independent[[#This Row],[Verification Type Portuguese]])</f>
        <v>Requisitos de KYC</v>
      </c>
      <c r="Q79" s="353" t="str" cm="1">
        <f t="array" ref="Q79">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1) What information do you check on the ID once you have it in your hands?
(photo that matches the customer, expiration date, government issued ID, not altered)</v>
      </c>
      <c r="R79" s="353"/>
      <c r="S79" s="353"/>
      <c r="T79" s="353" t="s">
        <v>644</v>
      </c>
      <c r="U79" s="353" t="s">
        <v>175</v>
      </c>
      <c r="V79" s="353" t="s">
        <v>1268</v>
      </c>
      <c r="W79" s="404" t="str">
        <f>IF('Gen Info'!$E$4="Spain","Requerimientos de KYC","Requisitos de KYC")</f>
        <v>Requisitos de KYC</v>
      </c>
      <c r="X79" s="353" t="s">
        <v>1269</v>
      </c>
      <c r="Y79" s="355" t="str">
        <f>IF('Gen Info'!$E$4="Canada","Exigences en Matière de Connaissance des Clients","Exigences en Matière de Connaissance Client")</f>
        <v>Exigences en Matière de Connaissance Client</v>
      </c>
      <c r="Z79" s="353" t="s">
        <v>1270</v>
      </c>
      <c r="AA79" s="399" t="s">
        <v>178</v>
      </c>
      <c r="AB79" s="353" t="s">
        <v>1271</v>
      </c>
      <c r="AC79" s="353"/>
    </row>
    <row r="80" spans="4:56">
      <c r="D80" s="465" t="s">
        <v>1272</v>
      </c>
      <c r="E80" s="465" t="s">
        <v>842</v>
      </c>
      <c r="F80" s="353">
        <v>2</v>
      </c>
      <c r="G80" s="353" t="s">
        <v>609</v>
      </c>
      <c r="H80" s="353" t="s">
        <v>1273</v>
      </c>
      <c r="I80" s="353" t="s">
        <v>1274</v>
      </c>
      <c r="J80" s="353"/>
      <c r="K80" s="353"/>
      <c r="L80" s="353"/>
      <c r="M80" s="353" t="str">
        <f ca="1">IFERROR(VLOOKUP(Independent[[#This Row],[iWatch '#]],INDIRECT('Defined Ranges'!$C$28&amp;"Order"&amp;'Defined Ranges'!$C$29),2,FALSE),"")</f>
        <v/>
      </c>
      <c r="N80" s="353" t="str">
        <f ca="1">IFERROR(VLOOKUP(Independent[[#This Row],[iWatch '#]],INDIRECT('Defined Ranges'!$C$28&amp;"Order"&amp;'Defined Ranges'!$C$29),3,FALSE),"")</f>
        <v/>
      </c>
      <c r="O80" s="353" t="e">
        <f t="shared" si="4"/>
        <v>#VALUE!</v>
      </c>
      <c r="P80" s="353" t="str" cm="1">
        <f t="array" ref="P80">_xlfn.IFS(LSelected="English",Independent[[#This Row],[Verification Type English]],LSelected="Spanish",Independent[[#This Row],[Verification Type Spanish]],LSelected="French",Independent[[#This Row],[Verification Type French]],LSelected="Portuguese",Independent[[#This Row],[Verification Type Portuguese]])</f>
        <v>Requisitos de KYC</v>
      </c>
      <c r="Q80" s="353" t="str" cm="1">
        <f t="array" ref="Q80">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What would you do if a client shows up at the store wanting to send/receive a transfer on behalf of someone else?</v>
      </c>
      <c r="R80" s="353"/>
      <c r="S80" s="353"/>
      <c r="T80" s="353" t="s">
        <v>644</v>
      </c>
      <c r="U80" s="353" t="s">
        <v>175</v>
      </c>
      <c r="V80" s="353" t="s">
        <v>1275</v>
      </c>
      <c r="W80" s="404" t="str">
        <f>IF('Gen Info'!$E$4="Spain","Requerimientos de KYC","Requisitos de KYC")</f>
        <v>Requisitos de KYC</v>
      </c>
      <c r="X80" s="353" t="s">
        <v>846</v>
      </c>
      <c r="Y80" s="355" t="str">
        <f>IF('Gen Info'!$E$4="Canada","Exigences en Matière de Connaissance des Clients","Exigences en Matière de Connaissance Client")</f>
        <v>Exigences en Matière de Connaissance Client</v>
      </c>
      <c r="Z80" s="353" t="s">
        <v>847</v>
      </c>
      <c r="AA80" s="399" t="s">
        <v>178</v>
      </c>
      <c r="AB80" s="353" t="s">
        <v>848</v>
      </c>
      <c r="AC80" s="353"/>
    </row>
    <row r="81" spans="4:56">
      <c r="D81" s="465" t="s">
        <v>1276</v>
      </c>
      <c r="E81" s="465" t="s">
        <v>850</v>
      </c>
      <c r="F81" s="353">
        <v>2</v>
      </c>
      <c r="G81" s="353" t="s">
        <v>609</v>
      </c>
      <c r="H81" s="353" t="s">
        <v>851</v>
      </c>
      <c r="I81" s="353" t="s">
        <v>1277</v>
      </c>
      <c r="J81" s="353"/>
      <c r="K81" s="353"/>
      <c r="L81" s="353"/>
      <c r="M81" s="353" t="str">
        <f ca="1">IFERROR(VLOOKUP(Independent[[#This Row],[iWatch '#]],INDIRECT('Defined Ranges'!$C$28&amp;"Order"&amp;'Defined Ranges'!$C$29),2,FALSE),"")</f>
        <v/>
      </c>
      <c r="N81" s="353" t="str">
        <f ca="1">IFERROR(VLOOKUP(Independent[[#This Row],[iWatch '#]],INDIRECT('Defined Ranges'!$C$28&amp;"Order"&amp;'Defined Ranges'!$C$29),3,FALSE),"")</f>
        <v/>
      </c>
      <c r="O81" s="353" t="e">
        <f t="shared" si="4"/>
        <v>#VALUE!</v>
      </c>
      <c r="P81" s="353" t="str" cm="1">
        <f t="array" ref="P81">_xlfn.IFS(LSelected="English",Independent[[#This Row],[Verification Type English]],LSelected="Spanish",Independent[[#This Row],[Verification Type Spanish]],LSelected="French",Independent[[#This Row],[Verification Type French]],LSelected="Portuguese",Independent[[#This Row],[Verification Type Portuguese]])</f>
        <v>Requisitos de KYC</v>
      </c>
      <c r="Q81" s="353" t="str" cm="1">
        <f t="array" ref="Q81">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Let’s say I am a regular customer who cannot come to the store right now and I call you to ask that you process a transaction for me, and I will pay for it later. What would you do in a case like this?</v>
      </c>
      <c r="R81" s="353"/>
      <c r="S81" s="353"/>
      <c r="T81" s="353" t="s">
        <v>853</v>
      </c>
      <c r="U81" s="353" t="s">
        <v>175</v>
      </c>
      <c r="V81" s="353" t="s">
        <v>854</v>
      </c>
      <c r="W81" s="404" t="str">
        <f>IF('Gen Info'!$E$4="Spain","Requerimientos de KYC","Requisitos de KYC")</f>
        <v>Requisitos de KYC</v>
      </c>
      <c r="X81" s="353" t="s">
        <v>1278</v>
      </c>
      <c r="Y81" s="355" t="str">
        <f>IF('Gen Info'!$E$4="Canada","Exigences en Matière de Connaissance des Clients","Exigences en Matière de Connaissance Client")</f>
        <v>Exigences en Matière de Connaissance Client</v>
      </c>
      <c r="Z81" s="353" t="s">
        <v>1279</v>
      </c>
      <c r="AA81" s="399" t="s">
        <v>178</v>
      </c>
      <c r="AB81" s="353" t="s">
        <v>1280</v>
      </c>
      <c r="AC81" s="353"/>
      <c r="AF81" s="405" t="s">
        <v>69</v>
      </c>
      <c r="AG81" s="406" t="s">
        <v>120</v>
      </c>
      <c r="AH81" s="406" t="s">
        <v>552</v>
      </c>
      <c r="AI81" s="406" t="s">
        <v>553</v>
      </c>
      <c r="AJ81" s="406" t="s">
        <v>573</v>
      </c>
      <c r="AK81" s="406" t="s">
        <v>574</v>
      </c>
      <c r="AL81" s="406" t="s">
        <v>575</v>
      </c>
      <c r="AM81" s="406" t="s">
        <v>557</v>
      </c>
      <c r="AN81" s="406" t="s">
        <v>558</v>
      </c>
      <c r="AO81" s="407" t="s">
        <v>559</v>
      </c>
      <c r="AP81" s="407" t="s">
        <v>115</v>
      </c>
      <c r="AQ81" s="407" t="s">
        <v>68</v>
      </c>
      <c r="AR81" s="407" t="s">
        <v>560</v>
      </c>
      <c r="AS81" s="407" t="s">
        <v>561</v>
      </c>
      <c r="AT81" s="406" t="s">
        <v>562</v>
      </c>
      <c r="AU81" s="406" t="s">
        <v>563</v>
      </c>
      <c r="AV81" s="406" t="s">
        <v>564</v>
      </c>
      <c r="AW81" s="406" t="s">
        <v>565</v>
      </c>
      <c r="AX81" s="406" t="s">
        <v>566</v>
      </c>
      <c r="AY81" s="406" t="s">
        <v>567</v>
      </c>
      <c r="AZ81" s="406" t="s">
        <v>568</v>
      </c>
      <c r="BA81" s="406" t="s">
        <v>569</v>
      </c>
      <c r="BB81" s="406" t="s">
        <v>570</v>
      </c>
      <c r="BC81" s="406" t="s">
        <v>571</v>
      </c>
      <c r="BD81" s="408" t="s">
        <v>572</v>
      </c>
    </row>
    <row r="82" spans="4:56">
      <c r="D82" s="465" t="s">
        <v>1281</v>
      </c>
      <c r="E82" s="465" t="s">
        <v>1282</v>
      </c>
      <c r="F82" s="353">
        <v>3</v>
      </c>
      <c r="G82" s="353" t="s">
        <v>581</v>
      </c>
      <c r="H82" s="353" t="s">
        <v>1283</v>
      </c>
      <c r="I82" s="353" t="s">
        <v>1284</v>
      </c>
      <c r="J82" s="353"/>
      <c r="K82" s="353" t="s">
        <v>1285</v>
      </c>
      <c r="L82" s="353"/>
      <c r="M82" s="353" t="str">
        <f ca="1">IFERROR(VLOOKUP(Independent[[#This Row],[iWatch '#]],INDIRECT('Defined Ranges'!$C$28&amp;"Order"&amp;'Defined Ranges'!$C$29),2,FALSE),"")</f>
        <v/>
      </c>
      <c r="N82" s="353" t="str">
        <f ca="1">IFERROR(VLOOKUP(Independent[[#This Row],[iWatch '#]],INDIRECT('Defined Ranges'!$C$28&amp;"Order"&amp;'Defined Ranges'!$C$29),3,FALSE),"")</f>
        <v/>
      </c>
      <c r="O82" s="353" t="e">
        <f t="shared" si="4"/>
        <v>#VALUE!</v>
      </c>
      <c r="P82" s="353" t="str" cm="1">
        <f t="array" ref="P82">_xlfn.IFS(LSelected="English",Independent[[#This Row],[Verification Type English]],LSelected="Spanish",Independent[[#This Row],[Verification Type Spanish]],LSelected="French",Independent[[#This Row],[Verification Type French]],LSelected="Portuguese",Independent[[#This Row],[Verification Type Portuguese]])</f>
        <v>Requisitos de KYC</v>
      </c>
      <c r="Q82" s="353" t="str" cm="1">
        <f t="array" ref="Q82">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DOCUMENT REQUIRED Receipts: Answer this question by examining of at least three of the most recent transaction forms/receipts and confirms that they are complete and signed.
1. Who signs the receipts at the end of a transaction?
(it has to be the consumer and the FLA)</v>
      </c>
      <c r="R82" s="353"/>
      <c r="S82" s="353"/>
      <c r="T82" s="353" t="s">
        <v>853</v>
      </c>
      <c r="U82" s="353" t="s">
        <v>175</v>
      </c>
      <c r="V82" s="353" t="s">
        <v>1286</v>
      </c>
      <c r="W82" s="404" t="str">
        <f>IF('Gen Info'!$E$4="Spain","Requerimientos de KYC","Requisitos de KYC")</f>
        <v>Requisitos de KYC</v>
      </c>
      <c r="X82" s="353" t="s">
        <v>1287</v>
      </c>
      <c r="Y82" s="355" t="str">
        <f>IF('Gen Info'!$E$4="Canada","Exigences en Matière de Connaissance des Clients","Exigences en Matière de Connaissance Client")</f>
        <v>Exigences en Matière de Connaissance Client</v>
      </c>
      <c r="Z82" s="353" t="s">
        <v>1288</v>
      </c>
      <c r="AA82" s="399" t="s">
        <v>178</v>
      </c>
      <c r="AB82" s="353" t="s">
        <v>1289</v>
      </c>
      <c r="AC82" s="353"/>
      <c r="AF82" s="353" t="s">
        <v>1290</v>
      </c>
      <c r="AG82" s="353" t="s">
        <v>824</v>
      </c>
      <c r="AH82" s="353">
        <v>3</v>
      </c>
      <c r="AI82" s="353"/>
      <c r="AJ82" s="353" t="s">
        <v>1291</v>
      </c>
      <c r="AK82" s="353" t="s">
        <v>1292</v>
      </c>
      <c r="AL82" s="353"/>
      <c r="AM82" s="353" t="s">
        <v>1293</v>
      </c>
      <c r="AN82" s="353"/>
      <c r="AO82" s="353" t="str">
        <f ca="1">IFERROR(VLOOKUP(Independent_Canada[[#This Row],[iWatch '#]],INDIRECT('Defined Ranges'!$C$28&amp;"ROrder"&amp;'Defined Ranges'!$C$29),2,FALSE),"")</f>
        <v/>
      </c>
      <c r="AP82" s="353" t="str">
        <f ca="1">IFERROR(VLOOKUP(Independent_Canada[[#This Row],[iWatch '#]],INDIRECT('Defined Ranges'!$C$28&amp;"ROrder"&amp;'Defined Ranges'!$C$29),3,FALSE),"")</f>
        <v/>
      </c>
      <c r="AQ82" s="353">
        <f ca="1">'Defined Ranges'!$D$23+1</f>
        <v>42</v>
      </c>
      <c r="AR82" s="353" t="str" cm="1">
        <f t="array" ref="AR82">_xlfn.IFS(LSelected="English",Independent_Canada[[#This Row],[Verification Type English]],LSelected="Spanish",Independent_Canada[[#This Row],[Verification Type Spanish]],LSelected="French",Independent_Canada[[#This Row],[Verification Type French]],LSelected="Portuguese",Independent_Canada[[#This Row],[Verification Type Portuguese]])</f>
        <v>Requisitos de KYC</v>
      </c>
      <c r="AS82" s="353" t="str" cm="1">
        <f t="array" ref="AS82">_xlfn.IFS(SScript="English",Independent_Canada[[#This Row],[Suggested script English]],SScript="Spanish",Independent_Canada[[#This Row],[Suggested script Spanish]],SScript="French",Independent_Canada[[#This Row],[Suggested script French]],SScript="Portuguese",Independent_Canada[[#This Row],[Suggested script Portuguese]])</f>
        <v>When processing a Money Order sale, once you have the customer's ID, what do you do with it? 
(Ensure the agent is collecting and scanning names against the sanctions lists).</v>
      </c>
      <c r="AT82" s="353"/>
      <c r="AU82" s="353"/>
      <c r="AV82" s="353" t="s">
        <v>828</v>
      </c>
      <c r="AW82" s="353" t="s">
        <v>175</v>
      </c>
      <c r="AX82" s="353" t="s">
        <v>1294</v>
      </c>
      <c r="AY82" s="353" t="s">
        <v>178</v>
      </c>
      <c r="AZ82" s="353" t="s">
        <v>1295</v>
      </c>
      <c r="BA82" s="353" t="s">
        <v>177</v>
      </c>
      <c r="BB82" s="353" t="s">
        <v>1296</v>
      </c>
      <c r="BC82" s="353" t="s">
        <v>178</v>
      </c>
      <c r="BD82" s="353" t="s">
        <v>1297</v>
      </c>
    </row>
    <row r="83" spans="4:56">
      <c r="D83" s="465" t="s">
        <v>1298</v>
      </c>
      <c r="E83" s="465" t="s">
        <v>1299</v>
      </c>
      <c r="F83" s="353">
        <v>3</v>
      </c>
      <c r="G83" s="353" t="s">
        <v>581</v>
      </c>
      <c r="H83" s="353" t="s">
        <v>1300</v>
      </c>
      <c r="I83" s="353" t="s">
        <v>1301</v>
      </c>
      <c r="J83" s="353"/>
      <c r="K83" s="353" t="s">
        <v>1302</v>
      </c>
      <c r="L83" s="353"/>
      <c r="M83" s="353" t="str">
        <f ca="1">IFERROR(VLOOKUP(Independent[[#This Row],[iWatch '#]],INDIRECT('Defined Ranges'!$C$28&amp;"Order"&amp;'Defined Ranges'!$C$29),2,FALSE),"")</f>
        <v/>
      </c>
      <c r="N83" s="353" t="str">
        <f ca="1">IFERROR(VLOOKUP(Independent[[#This Row],[iWatch '#]],INDIRECT('Defined Ranges'!$C$28&amp;"Order"&amp;'Defined Ranges'!$C$29),3,FALSE),"")</f>
        <v/>
      </c>
      <c r="O83" s="353" t="e">
        <f t="shared" si="4"/>
        <v>#VALUE!</v>
      </c>
      <c r="P83" s="353" t="str" cm="1">
        <f t="array" ref="P83">_xlfn.IFS(LSelected="English",Independent[[#This Row],[Verification Type English]],LSelected="Spanish",Independent[[#This Row],[Verification Type Spanish]],LSelected="French",Independent[[#This Row],[Verification Type French]],LSelected="Portuguese",Independent[[#This Row],[Verification Type Portuguese]])</f>
        <v>Requisitos de KYC</v>
      </c>
      <c r="Q83" s="353" t="str" cm="1">
        <f t="array" ref="Q83">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The agent has Own Limit
1. What is the transfer maximum amount allowed at your location?
2. What do you do if a customer wants to transfer money above the limit?
3. What is the process a customer will have to go through if they want to send the maximum amount?
The agent does not have a limit:
1. What do you know about CTRs?
2. At what amount would a CTR apply?
3. What is the process to file an LPMT?
Money transfers that exceed 9.999.99USD are high capital transfers. This means that if a customer wants to transfer equal to or greater than: $10,000, they must complete the LPMT form and provide a justification of the reason for their transaction. This documentation must be presented to WU for review and depending on the purpose and evidence provided, you will be notified within 24 hours of the transaction confirming approval or rejection of the transfer. An interview is normally required.</v>
      </c>
      <c r="R83" s="353"/>
      <c r="S83" s="353"/>
      <c r="T83" s="353" t="s">
        <v>853</v>
      </c>
      <c r="U83" s="353" t="s">
        <v>175</v>
      </c>
      <c r="V83" s="353" t="s">
        <v>1303</v>
      </c>
      <c r="W83" s="404" t="str">
        <f>IF('Gen Info'!$E$4="Spain","Requerimientos de KYC","Requisitos de KYC")</f>
        <v>Requisitos de KYC</v>
      </c>
      <c r="X83" s="353" t="s">
        <v>1304</v>
      </c>
      <c r="Y83" s="355" t="str">
        <f>IF('Gen Info'!$E$4="Canada","Exigences en Matière de Connaissance des Clients","Exigences en Matière de Connaissance Client")</f>
        <v>Exigences en Matière de Connaissance Client</v>
      </c>
      <c r="Z83" s="353" t="s">
        <v>1305</v>
      </c>
      <c r="AA83" s="399" t="s">
        <v>178</v>
      </c>
      <c r="AB83" s="353" t="s">
        <v>1306</v>
      </c>
      <c r="AC83" s="353"/>
      <c r="AF83" s="353" t="s">
        <v>1191</v>
      </c>
      <c r="AG83" s="353" t="s">
        <v>837</v>
      </c>
      <c r="AH83" s="353">
        <v>3</v>
      </c>
      <c r="AI83" s="353"/>
      <c r="AJ83" s="353" t="s">
        <v>1307</v>
      </c>
      <c r="AK83" s="353" t="s">
        <v>1308</v>
      </c>
      <c r="AL83" s="353"/>
      <c r="AM83" s="353" t="s">
        <v>1309</v>
      </c>
      <c r="AN83" s="353"/>
      <c r="AO83" s="353" t="str">
        <f ca="1">IFERROR(VLOOKUP(Independent_Canada[[#This Row],[iWatch '#]],INDIRECT('Defined Ranges'!$C$28&amp;"ROrder"&amp;'Defined Ranges'!$C$29),2,FALSE),"")</f>
        <v/>
      </c>
      <c r="AP83" s="353" t="str">
        <f ca="1">IFERROR(VLOOKUP(Independent_Canada[[#This Row],[iWatch '#]],INDIRECT('Defined Ranges'!$C$28&amp;"ROrder"&amp;'Defined Ranges'!$C$29),3,FALSE),"")</f>
        <v/>
      </c>
      <c r="AQ83" s="353">
        <f ca="1">AQ82+1</f>
        <v>43</v>
      </c>
      <c r="AR83" s="353" t="str" cm="1">
        <f t="array" ref="AR83">_xlfn.IFS(LSelected="English",Independent_Canada[[#This Row],[Verification Type English]],LSelected="Spanish",Independent_Canada[[#This Row],[Verification Type Spanish]],LSelected="French",Independent_Canada[[#This Row],[Verification Type French]],LSelected="Portuguese",Independent_Canada[[#This Row],[Verification Type Portuguese]])</f>
        <v>Conservación de Registros</v>
      </c>
      <c r="AS83" s="353" t="str" cm="1">
        <f t="array" ref="AS83">_xlfn.IFS(SScript="English",Independent_Canada[[#This Row],[Suggested script English]],SScript="Spanish",Independent_Canada[[#This Row],[Suggested script Spanish]],SScript="French",Independent_Canada[[#This Row],[Suggested script French]],SScript="Portuguese",Independent_Canada[[#This Row],[Suggested script Portuguese]])</f>
        <v>DOCUMENT REQUIRED MO Log, CMOR or No Results Template created by WUCO: Answer by reviewing the CMOR report prior o during the call. If the CMOR report shows sales for 3k or more and it is confirmed, ensure the respective MO Log is attached to the case. 
1. Do you sell Money Orders that add up to 3K or more to the same person?</v>
      </c>
      <c r="AT83" s="353"/>
      <c r="AU83" s="353"/>
      <c r="AV83" s="353" t="s">
        <v>585</v>
      </c>
      <c r="AW83" s="353" t="s">
        <v>197</v>
      </c>
      <c r="AX83" s="353" t="s">
        <v>1195</v>
      </c>
      <c r="AY83" s="355" t="str">
        <f>IF('Gen Info'!$E$4="Spain","Mantenimiento de Registros","Conservación de Registros")</f>
        <v>Conservación de Registros</v>
      </c>
      <c r="AZ83" s="353" t="s">
        <v>1196</v>
      </c>
      <c r="BA83" s="355" t="str">
        <f>IF('Gen Info'!$E$4="Canada","Tenue de Documents","Archivage")</f>
        <v>Archivage</v>
      </c>
      <c r="BB83" s="353" t="s">
        <v>1310</v>
      </c>
      <c r="BC83" s="355" t="str">
        <f>IF('Gen Info'!$E$4="Portugal","Manutenção de registos","Manutenção de registros")</f>
        <v>Manutenção de registros</v>
      </c>
      <c r="BD83" s="353" t="s">
        <v>1311</v>
      </c>
    </row>
    <row r="84" spans="4:56">
      <c r="D84" s="465" t="s">
        <v>1312</v>
      </c>
      <c r="E84" s="465" t="s">
        <v>1313</v>
      </c>
      <c r="F84" s="353">
        <v>3</v>
      </c>
      <c r="G84" s="353" t="s">
        <v>581</v>
      </c>
      <c r="H84" s="353" t="s">
        <v>1314</v>
      </c>
      <c r="I84" s="353" t="s">
        <v>1315</v>
      </c>
      <c r="J84" s="353"/>
      <c r="K84" s="353" t="s">
        <v>1316</v>
      </c>
      <c r="L84" s="353"/>
      <c r="M84" s="353" t="str">
        <f ca="1">IFERROR(VLOOKUP(Independent[[#This Row],[iWatch '#]],INDIRECT('Defined Ranges'!$C$28&amp;"Order"&amp;'Defined Ranges'!$C$29),2,FALSE),"")</f>
        <v/>
      </c>
      <c r="N84" s="353" t="str">
        <f ca="1">IFERROR(VLOOKUP(Independent[[#This Row],[iWatch '#]],INDIRECT('Defined Ranges'!$C$28&amp;"Order"&amp;'Defined Ranges'!$C$29),3,FALSE),"")</f>
        <v/>
      </c>
      <c r="O84" s="353" t="e">
        <f t="shared" si="4"/>
        <v>#VALUE!</v>
      </c>
      <c r="P84" s="353" t="str" cm="1">
        <f t="array" ref="P84">_xlfn.IFS(LSelected="English",Independent[[#This Row],[Verification Type English]],LSelected="Spanish",Independent[[#This Row],[Verification Type Spanish]],LSelected="French",Independent[[#This Row],[Verification Type French]],LSelected="Portuguese",Independent[[#This Row],[Verification Type Portuguese]])</f>
        <v>Revisión Independiente</v>
      </c>
      <c r="Q84" s="353" t="str" cm="1">
        <f t="array" ref="Q84">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Document Required AML/CFT and Anti-Fraud: (Independent Review Frequency): Answer by reviewing Agent's P&amp;Ps and confirm the IR frequency (Yearly, every 6 months, etc).</v>
      </c>
      <c r="R84" s="353"/>
      <c r="S84" s="353"/>
      <c r="T84" s="353" t="s">
        <v>644</v>
      </c>
      <c r="U84" s="353" t="s">
        <v>168</v>
      </c>
      <c r="V84" s="353" t="s">
        <v>1317</v>
      </c>
      <c r="W84" s="353" t="s">
        <v>169</v>
      </c>
      <c r="X84" s="353" t="s">
        <v>1317</v>
      </c>
      <c r="Y84" s="353" t="s">
        <v>172</v>
      </c>
      <c r="Z84" s="353" t="s">
        <v>1317</v>
      </c>
      <c r="AA84" s="403" t="str">
        <f>IF('Gen Info'!$E$4="Portugal","Análise Independente","Revisão Independente")</f>
        <v>Revisão Independente</v>
      </c>
      <c r="AB84" s="353" t="s">
        <v>1317</v>
      </c>
      <c r="AC84" s="353"/>
      <c r="AF84" s="353" t="s">
        <v>630</v>
      </c>
      <c r="AG84" s="353" t="s">
        <v>1318</v>
      </c>
      <c r="AH84" s="353">
        <v>3</v>
      </c>
      <c r="AI84" s="353"/>
      <c r="AJ84" s="353" t="s">
        <v>1319</v>
      </c>
      <c r="AK84" s="353" t="s">
        <v>1320</v>
      </c>
      <c r="AL84" s="353"/>
      <c r="AM84" s="353" t="s">
        <v>1321</v>
      </c>
      <c r="AN84" s="353"/>
      <c r="AO84" s="353" t="str">
        <f ca="1">IFERROR(VLOOKUP(Independent_Canada[[#This Row],[iWatch '#]],INDIRECT('Defined Ranges'!$C$28&amp;"ROrder"&amp;'Defined Ranges'!$C$29),2,FALSE),"")</f>
        <v/>
      </c>
      <c r="AP84" s="353" t="str">
        <f ca="1">IFERROR(VLOOKUP(Independent_Canada[[#This Row],[iWatch '#]],INDIRECT('Defined Ranges'!$C$28&amp;"ROrder"&amp;'Defined Ranges'!$C$29),3,FALSE),"")</f>
        <v/>
      </c>
      <c r="AQ84" s="353">
        <f t="shared" ref="AQ84:AQ86" ca="1" si="6">AQ83+1</f>
        <v>44</v>
      </c>
      <c r="AR84" s="353" t="str" cm="1">
        <f t="array" ref="AR84">_xlfn.IFS(LSelected="English",Independent_Canada[[#This Row],[Verification Type English]],LSelected="Spanish",Independent_Canada[[#This Row],[Verification Type Spanish]],LSelected="French",Independent_Canada[[#This Row],[Verification Type French]],LSelected="Portuguese",Independent_Canada[[#This Row],[Verification Type Portuguese]])</f>
        <v>Disponibilidad de la Localidad</v>
      </c>
      <c r="AS84" s="353" t="str" cm="1">
        <f t="array" ref="AS84">_xlfn.IFS(SScript="English",Independent_Canada[[#This Row],[Suggested script English]],SScript="Spanish",Independent_Canada[[#This Row],[Suggested script Spanish]],SScript="French",Independent_Canada[[#This Row],[Suggested script French]],SScript="Portuguese",Independent_Canada[[#This Row],[Suggested script Portuguese]])</f>
        <v>1. Have you had any changes to the following information about your business?
• Change in personal address of Officers, Directors and Compliance Officers (as indicated in Appendix D3)
• Change in identification information (as indicated in Appendix D1 or D3)
• Business name change (as indicated in Appendix D2)
• Additions, new officers or new directors that supervise Western Union contracts in Quebec.
2. Were these changes announced to WU by the Compliance Officer?</v>
      </c>
      <c r="AT84" s="353"/>
      <c r="AU84" s="353"/>
      <c r="AV84" s="353" t="s">
        <v>585</v>
      </c>
      <c r="AW84" s="353" t="s">
        <v>141</v>
      </c>
      <c r="AX84" s="353" t="s">
        <v>1322</v>
      </c>
      <c r="AY84" s="355" t="str">
        <f>IF('Gen Info'!$E$4="Spain","Preparación del Agente","Disponibilidad de la Localidad")</f>
        <v>Disponibilidad de la Localidad</v>
      </c>
      <c r="AZ84" s="353" t="s">
        <v>1323</v>
      </c>
      <c r="BA84" s="355" t="str">
        <f>IF('Gen Info'!$E$4="Canada","État de préparation des agents","État de préparation de l'Agent")</f>
        <v>État de préparation de l'Agent</v>
      </c>
      <c r="BB84" s="353" t="s">
        <v>1324</v>
      </c>
      <c r="BC84" s="353" t="s">
        <v>144</v>
      </c>
      <c r="BD84" s="353" t="s">
        <v>1325</v>
      </c>
    </row>
    <row r="85" spans="4:56">
      <c r="D85" s="465" t="s">
        <v>1326</v>
      </c>
      <c r="E85" s="465" t="s">
        <v>1327</v>
      </c>
      <c r="F85" s="353">
        <v>3</v>
      </c>
      <c r="G85" s="353" t="s">
        <v>581</v>
      </c>
      <c r="H85" s="353" t="s">
        <v>1328</v>
      </c>
      <c r="I85" s="353" t="s">
        <v>1329</v>
      </c>
      <c r="J85" s="353"/>
      <c r="K85" s="353" t="s">
        <v>1330</v>
      </c>
      <c r="L85" s="353"/>
      <c r="M85" s="353" t="str">
        <f ca="1">IFERROR(VLOOKUP(Independent[[#This Row],[iWatch '#]],INDIRECT('Defined Ranges'!$C$28&amp;"Order"&amp;'Defined Ranges'!$C$29),2,FALSE),"")</f>
        <v/>
      </c>
      <c r="N85" s="353" t="str">
        <f ca="1">IFERROR(VLOOKUP(Independent[[#This Row],[iWatch '#]],INDIRECT('Defined Ranges'!$C$28&amp;"Order"&amp;'Defined Ranges'!$C$29),3,FALSE),"")</f>
        <v/>
      </c>
      <c r="O85" s="353" t="e">
        <f t="shared" si="4"/>
        <v>#VALUE!</v>
      </c>
      <c r="P85" s="353" t="str" cm="1">
        <f t="array" ref="P85">_xlfn.IFS(LSelected="English",Independent[[#This Row],[Verification Type English]],LSelected="Spanish",Independent[[#This Row],[Verification Type Spanish]],LSelected="French",Independent[[#This Row],[Verification Type French]],LSelected="Portuguese",Independent[[#This Row],[Verification Type Portuguese]])</f>
        <v>Revisión Independiente</v>
      </c>
      <c r="Q85" s="353" t="str" cm="1">
        <f t="array" ref="Q85">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DOCUMENT REQUIRED Independent Review: Answer by reviewing Agent's Independent Review performed by someone different from the Compliance Office prior the call or during the review.
1) Do you know what an independent review is?
2) How often do you conduct them?
3) What is your relationship with the independent reviewer?</v>
      </c>
      <c r="R85" s="353"/>
      <c r="S85" s="353"/>
      <c r="T85" s="353" t="s">
        <v>644</v>
      </c>
      <c r="U85" s="353" t="s">
        <v>168</v>
      </c>
      <c r="V85" s="353" t="s">
        <v>1331</v>
      </c>
      <c r="W85" s="353" t="s">
        <v>169</v>
      </c>
      <c r="X85" s="353" t="s">
        <v>1332</v>
      </c>
      <c r="Y85" s="353" t="s">
        <v>172</v>
      </c>
      <c r="Z85" s="353" t="s">
        <v>1333</v>
      </c>
      <c r="AA85" s="403" t="str">
        <f>IF('Gen Info'!$E$4="Portugal","Análise Independente","Revisão Independente")</f>
        <v>Revisão Independente</v>
      </c>
      <c r="AB85" s="353" t="s">
        <v>1334</v>
      </c>
      <c r="AC85" s="353"/>
      <c r="AF85" s="353" t="s">
        <v>803</v>
      </c>
      <c r="AG85" s="353" t="s">
        <v>1335</v>
      </c>
      <c r="AH85" s="353">
        <v>3</v>
      </c>
      <c r="AI85" s="353"/>
      <c r="AJ85" s="353" t="s">
        <v>1336</v>
      </c>
      <c r="AK85" s="353" t="s">
        <v>1337</v>
      </c>
      <c r="AL85" s="353"/>
      <c r="AM85" s="353" t="s">
        <v>1338</v>
      </c>
      <c r="AN85" s="353"/>
      <c r="AO85" s="353" t="str">
        <f ca="1">IFERROR(VLOOKUP(Independent_Canada[[#This Row],[iWatch '#]],INDIRECT('Defined Ranges'!$C$28&amp;"ROrder"&amp;'Defined Ranges'!$C$29),2,FALSE),"")</f>
        <v/>
      </c>
      <c r="AP85" s="353" t="str">
        <f ca="1">IFERROR(VLOOKUP(Independent_Canada[[#This Row],[iWatch '#]],INDIRECT('Defined Ranges'!$C$28&amp;"ROrder"&amp;'Defined Ranges'!$C$29),3,FALSE),"")</f>
        <v/>
      </c>
      <c r="AQ85" s="353">
        <f t="shared" ca="1" si="6"/>
        <v>45</v>
      </c>
      <c r="AR85" s="353" t="str" cm="1">
        <f t="array" ref="AR85">_xlfn.IFS(LSelected="English",Independent_Canada[[#This Row],[Verification Type English]],LSelected="Spanish",Independent_Canada[[#This Row],[Verification Type Spanish]],LSelected="French",Independent_Canada[[#This Row],[Verification Type French]],LSelected="Portuguese",Independent_Canada[[#This Row],[Verification Type Portuguese]])</f>
        <v>Disponibilidad de la Localidad</v>
      </c>
      <c r="AS85" s="353" t="str" cm="1">
        <f t="array" ref="AS85">_xlfn.IFS(SScript="English",Independent_Canada[[#This Row],[Suggested script English]],SScript="Spanish",Independent_Canada[[#This Row],[Suggested script Spanish]],SScript="French",Independent_Canada[[#This Row],[Suggested script French]],SScript="Portuguese",Independent_Canada[[#This Row],[Suggested script Portuguese]])</f>
        <v>1. Do you have a Registration Certificate of the AMF (Autorité des marchés financiers) displayed and visible in your establishment? 
2. Would you be able to read what it says?</v>
      </c>
      <c r="AT85" s="353"/>
      <c r="AU85" s="353"/>
      <c r="AV85" s="353" t="s">
        <v>644</v>
      </c>
      <c r="AW85" s="353" t="s">
        <v>141</v>
      </c>
      <c r="AX85" s="353" t="s">
        <v>1339</v>
      </c>
      <c r="AY85" s="355" t="str">
        <f>IF('Gen Info'!$E$4="Spain","Preparación del Agente","Disponibilidad de la Localidad")</f>
        <v>Disponibilidad de la Localidad</v>
      </c>
      <c r="AZ85" s="353" t="s">
        <v>1340</v>
      </c>
      <c r="BA85" s="355" t="str">
        <f>IF('Gen Info'!$E$4="Canada","État de préparation des agents","État de préparation de l'Agent")</f>
        <v>État de préparation de l'Agent</v>
      </c>
      <c r="BB85" s="353" t="s">
        <v>1341</v>
      </c>
      <c r="BC85" s="353" t="s">
        <v>144</v>
      </c>
      <c r="BD85" s="353" t="s">
        <v>1342</v>
      </c>
    </row>
    <row r="86" spans="4:56">
      <c r="D86" s="465" t="s">
        <v>1343</v>
      </c>
      <c r="E86" s="465" t="s">
        <v>1344</v>
      </c>
      <c r="F86" s="353">
        <v>3</v>
      </c>
      <c r="G86" s="353" t="s">
        <v>581</v>
      </c>
      <c r="H86" s="353" t="s">
        <v>1345</v>
      </c>
      <c r="I86" s="353" t="s">
        <v>1346</v>
      </c>
      <c r="J86" s="353"/>
      <c r="K86" s="353" t="s">
        <v>1347</v>
      </c>
      <c r="L86" s="353"/>
      <c r="M86" s="353" t="str">
        <f ca="1">IFERROR(VLOOKUP(Independent[[#This Row],[iWatch '#]],INDIRECT('Defined Ranges'!$C$28&amp;"Order"&amp;'Defined Ranges'!$C$29),2,FALSE),"")</f>
        <v/>
      </c>
      <c r="N86" s="353" t="str">
        <f ca="1">IFERROR(VLOOKUP(Independent[[#This Row],[iWatch '#]],INDIRECT('Defined Ranges'!$C$28&amp;"Order"&amp;'Defined Ranges'!$C$29),3,FALSE),"")</f>
        <v/>
      </c>
      <c r="O86" s="353" t="e">
        <f t="shared" si="4"/>
        <v>#VALUE!</v>
      </c>
      <c r="P86" s="353" t="str" cm="1">
        <f t="array" ref="P86">_xlfn.IFS(LSelected="English",Independent[[#This Row],[Verification Type English]],LSelected="Spanish",Independent[[#This Row],[Verification Type Spanish]],LSelected="French",Independent[[#This Row],[Verification Type French]],LSelected="Portuguese",Independent[[#This Row],[Verification Type Portuguese]])</f>
        <v>Revisión Independiente</v>
      </c>
      <c r="Q86" s="353" t="str" cm="1">
        <f t="array" ref="Q86">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 xml:space="preserve"> DOCUMENT REQUIRED Independent Review: Answer by reviewing Agent's Independent Review prior the call or during the review.
1) Were there any deficiencies identified in the previous IR that you needed to correct?
2) How were those deficiencies corrected?</v>
      </c>
      <c r="R86" s="353"/>
      <c r="S86" s="353"/>
      <c r="T86" s="353" t="s">
        <v>644</v>
      </c>
      <c r="U86" s="353" t="s">
        <v>168</v>
      </c>
      <c r="V86" s="353" t="s">
        <v>1348</v>
      </c>
      <c r="W86" s="353" t="s">
        <v>169</v>
      </c>
      <c r="X86" s="353" t="s">
        <v>1349</v>
      </c>
      <c r="Y86" s="353" t="s">
        <v>172</v>
      </c>
      <c r="Z86" s="353" t="s">
        <v>1350</v>
      </c>
      <c r="AA86" s="403" t="str">
        <f>IF('Gen Info'!$E$4="Portugal","Análise Independente","Revisão Independente")</f>
        <v>Revisão Independente</v>
      </c>
      <c r="AB86" s="353" t="s">
        <v>1351</v>
      </c>
      <c r="AC86" s="353"/>
      <c r="AF86" s="353" t="s">
        <v>579</v>
      </c>
      <c r="AG86" s="353" t="s">
        <v>811</v>
      </c>
      <c r="AH86" s="353">
        <v>3</v>
      </c>
      <c r="AI86" s="353"/>
      <c r="AJ86" s="353" t="s">
        <v>1352</v>
      </c>
      <c r="AK86" s="353" t="s">
        <v>1353</v>
      </c>
      <c r="AL86" s="353"/>
      <c r="AM86" s="353" t="s">
        <v>1309</v>
      </c>
      <c r="AN86" s="353"/>
      <c r="AO86" s="353" t="str">
        <f ca="1">IFERROR(VLOOKUP(Independent_Canada[[#This Row],[iWatch '#]],INDIRECT('Defined Ranges'!$C$28&amp;"ROrder"&amp;'Defined Ranges'!$C$29),2,FALSE),"")</f>
        <v/>
      </c>
      <c r="AP86" s="353" t="str">
        <f ca="1">IFERROR(VLOOKUP(Independent_Canada[[#This Row],[iWatch '#]],INDIRECT('Defined Ranges'!$C$28&amp;"ROrder"&amp;'Defined Ranges'!$C$29),3,FALSE),"")</f>
        <v/>
      </c>
      <c r="AQ86" s="353">
        <f t="shared" ca="1" si="6"/>
        <v>46</v>
      </c>
      <c r="AR86" s="353" t="str" cm="1">
        <f t="array" ref="AR86">_xlfn.IFS(LSelected="English",Independent_Canada[[#This Row],[Verification Type English]],LSelected="Spanish",Independent_Canada[[#This Row],[Verification Type Spanish]],LSelected="French",Independent_Canada[[#This Row],[Verification Type French]],LSelected="Portuguese",Independent_Canada[[#This Row],[Verification Type Portuguese]])</f>
        <v>Elaboración de Informes</v>
      </c>
      <c r="AS86" s="353" t="str" cm="1">
        <f t="array" ref="AS86">_xlfn.IFS(SScript="English",Independent_Canada[[#This Row],[Suggested script English]],SScript="Spanish",Independent_Canada[[#This Row],[Suggested script Spanish]],SScript="French",Independent_Canada[[#This Row],[Suggested script French]],SScript="Portuguese",Independent_Canada[[#This Row],[Suggested script Portuguese]])</f>
        <v>1. Have you had customers wanting to transfer 7.500CAD or more?
2. What would you do in a case like this?
3. Is there a specific process to follow for this amount?
Note: See page 32 in the manual ENGLISH: https://westernunion.ent.box.com/file/673333911123</v>
      </c>
      <c r="AT86" s="353"/>
      <c r="AU86" s="353"/>
      <c r="AV86" s="353" t="s">
        <v>585</v>
      </c>
      <c r="AW86" s="353" t="s">
        <v>199</v>
      </c>
      <c r="AX86" s="353" t="s">
        <v>1354</v>
      </c>
      <c r="AY86" s="355" t="str">
        <f>IF('Gen Info'!$E$4="Spain","Informes","Elaboración de Informes")</f>
        <v>Elaboración de Informes</v>
      </c>
      <c r="AZ86" s="353" t="s">
        <v>1355</v>
      </c>
      <c r="BA86" s="355" t="str">
        <f>IF('Gen Info'!$E$4="Canada","Déclarations","Signalement d'activité douteuse/déclarations de doute interne")</f>
        <v>Signalement d'activité douteuse/déclarations de doute interne</v>
      </c>
      <c r="BB86" s="353" t="s">
        <v>1356</v>
      </c>
      <c r="BC86" s="355" t="str">
        <f>IF('Gen Info'!$E$4="Portugal","Denúncias","Geração de relatórios")</f>
        <v>Geração de relatórios</v>
      </c>
      <c r="BD86" s="353" t="s">
        <v>1357</v>
      </c>
    </row>
    <row r="87" spans="4:56">
      <c r="D87" s="465" t="s">
        <v>932</v>
      </c>
      <c r="E87" s="465" t="s">
        <v>712</v>
      </c>
      <c r="F87" s="353">
        <v>2</v>
      </c>
      <c r="G87" s="353" t="s">
        <v>609</v>
      </c>
      <c r="H87" s="353" t="s">
        <v>1358</v>
      </c>
      <c r="I87" s="353" t="s">
        <v>1359</v>
      </c>
      <c r="J87" s="353"/>
      <c r="K87" s="353"/>
      <c r="L87" s="353"/>
      <c r="M87" s="353">
        <f ca="1">IFERROR(VLOOKUP(Independent[[#This Row],[iWatch '#]],INDIRECT('Defined Ranges'!$C$28&amp;"Order"&amp;'Defined Ranges'!$C$29),2,FALSE),"")</f>
        <v>11</v>
      </c>
      <c r="N87" s="353">
        <f ca="1">IFERROR(VLOOKUP(Independent[[#This Row],[iWatch '#]],INDIRECT('Defined Ranges'!$C$28&amp;"Order"&amp;'Defined Ranges'!$C$29),3,FALSE),"")</f>
        <v>37</v>
      </c>
      <c r="O87" s="353" t="e">
        <f t="shared" si="4"/>
        <v>#VALUE!</v>
      </c>
      <c r="P87" s="353" t="str" cm="1">
        <f t="array" ref="P87">_xlfn.IFS(LSelected="English",Independent[[#This Row],[Verification Type English]],LSelected="Spanish",Independent[[#This Row],[Verification Type Spanish]],LSelected="French",Independent[[#This Row],[Verification Type French]],LSelected="Portuguese",Independent[[#This Row],[Verification Type Portuguese]])</f>
        <v>Conocimiento de Operador - Actividad Sospechosa y Fraude</v>
      </c>
      <c r="Q87" s="353" t="str" cm="1">
        <f t="array" ref="Q87">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1) Walk me through your AML &amp; Terrorism Financing Training (specific topics or scenarios covered).
2) When was the last time you went through training?</v>
      </c>
      <c r="R87" s="353"/>
      <c r="S87" s="353"/>
      <c r="T87" s="353" t="s">
        <v>644</v>
      </c>
      <c r="U87" s="353" t="s">
        <v>163</v>
      </c>
      <c r="V87" s="353" t="s">
        <v>1360</v>
      </c>
      <c r="W87" s="404" t="str">
        <f>IF('Gen Info'!$E$4="Spain","Conocimiento de Operador (FLA) - Actividad Sospechosa y Fraude","Conocimiento de Operador - Actividad Sospechosa y Fraude")</f>
        <v>Conocimiento de Operador - Actividad Sospechosa y Fraude</v>
      </c>
      <c r="X87" s="353" t="s">
        <v>716</v>
      </c>
      <c r="Y87" s="355" t="str">
        <f>IF('Gen Info'!$E$4="Canada","Connaissance des employés - Activités douteuses et la Fraude","Connaissance des opérateurs - Activités douteuses et Fraude")</f>
        <v>Connaissance des opérateurs - Activités douteuses et Fraude</v>
      </c>
      <c r="Z87" s="353" t="s">
        <v>1361</v>
      </c>
      <c r="AA87" s="353" t="s">
        <v>1129</v>
      </c>
      <c r="AB87" s="353" t="s">
        <v>1362</v>
      </c>
      <c r="AC87" s="353"/>
    </row>
    <row r="88" spans="4:56">
      <c r="D88" s="465" t="s">
        <v>941</v>
      </c>
      <c r="E88" s="465" t="s">
        <v>1363</v>
      </c>
      <c r="F88" s="353">
        <v>2</v>
      </c>
      <c r="G88" s="353" t="s">
        <v>609</v>
      </c>
      <c r="H88" s="353" t="s">
        <v>1364</v>
      </c>
      <c r="I88" s="353" t="s">
        <v>1365</v>
      </c>
      <c r="J88" s="353"/>
      <c r="K88" s="353"/>
      <c r="L88" s="353"/>
      <c r="M88" s="353">
        <f ca="1">IFERROR(VLOOKUP(Independent[[#This Row],[iWatch '#]],INDIRECT('Defined Ranges'!$C$28&amp;"Order"&amp;'Defined Ranges'!$C$29),2,FALSE),"")</f>
        <v>14</v>
      </c>
      <c r="N88" s="353">
        <f ca="1">IFERROR(VLOOKUP(Independent[[#This Row],[iWatch '#]],INDIRECT('Defined Ranges'!$C$28&amp;"Order"&amp;'Defined Ranges'!$C$29),3,FALSE),"")</f>
        <v>38</v>
      </c>
      <c r="O88" s="353" t="e">
        <f t="shared" ref="O88:O106" si="7">O87+1</f>
        <v>#VALUE!</v>
      </c>
      <c r="P88" s="353" t="str" cm="1">
        <f t="array" ref="P88">_xlfn.IFS(LSelected="English",Independent[[#This Row],[Verification Type English]],LSelected="Spanish",Independent[[#This Row],[Verification Type Spanish]],LSelected="French",Independent[[#This Row],[Verification Type French]],LSelected="Portuguese",Independent[[#This Row],[Verification Type Portuguese]])</f>
        <v>Conocimiento de Operador - Actividad Sospechosa y Fraude</v>
      </c>
      <c r="Q88" s="353" t="str" cm="1">
        <f t="array" ref="Q88">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Please mention at least 3 red flags that should make us suspect of a customer being involved in Suspicious Activity.</v>
      </c>
      <c r="R88" s="353"/>
      <c r="S88" s="353"/>
      <c r="T88" s="353" t="s">
        <v>644</v>
      </c>
      <c r="U88" s="353" t="s">
        <v>163</v>
      </c>
      <c r="V88" s="353" t="s">
        <v>1366</v>
      </c>
      <c r="W88" s="355" t="str">
        <f>IF('Gen Info'!$E$4="Spain","Conocimiento de Operador (FLA) - Actividad Sospechosa y Fraude","Conocimiento de Operador - Actividad Sospechosa y Fraude")</f>
        <v>Conocimiento de Operador - Actividad Sospechosa y Fraude</v>
      </c>
      <c r="X88" s="353" t="s">
        <v>1367</v>
      </c>
      <c r="Y88" s="355" t="str">
        <f>IF('Gen Info'!$E$4="Canada","Connaissance des employés - Activités douteuses et la Fraude","Connaissance des opérateurs - Activités douteuses et Fraude")</f>
        <v>Connaissance des opérateurs - Activités douteuses et Fraude</v>
      </c>
      <c r="Z88" s="353" t="s">
        <v>1368</v>
      </c>
      <c r="AA88" s="353" t="s">
        <v>1129</v>
      </c>
      <c r="AB88" s="353" t="s">
        <v>1369</v>
      </c>
      <c r="AC88" s="353"/>
    </row>
    <row r="89" spans="4:56">
      <c r="D89" s="465" t="s">
        <v>950</v>
      </c>
      <c r="E89" s="465" t="s">
        <v>1370</v>
      </c>
      <c r="F89" s="353">
        <v>2</v>
      </c>
      <c r="G89" s="353" t="s">
        <v>609</v>
      </c>
      <c r="H89" s="353" t="s">
        <v>1371</v>
      </c>
      <c r="I89" s="353" t="s">
        <v>1372</v>
      </c>
      <c r="J89" s="353"/>
      <c r="K89" s="353"/>
      <c r="L89" s="353"/>
      <c r="M89" s="353">
        <f ca="1">IFERROR(VLOOKUP(Independent[[#This Row],[iWatch '#]],INDIRECT('Defined Ranges'!$C$28&amp;"Order"&amp;'Defined Ranges'!$C$29),2,FALSE),"")</f>
        <v>13</v>
      </c>
      <c r="N89" s="353">
        <f ca="1">IFERROR(VLOOKUP(Independent[[#This Row],[iWatch '#]],INDIRECT('Defined Ranges'!$C$28&amp;"Order"&amp;'Defined Ranges'!$C$29),3,FALSE),"")</f>
        <v>39</v>
      </c>
      <c r="O89" s="353" t="e">
        <f t="shared" si="7"/>
        <v>#VALUE!</v>
      </c>
      <c r="P89" s="353" t="str" cm="1">
        <f t="array" ref="P89">_xlfn.IFS(LSelected="English",Independent[[#This Row],[Verification Type English]],LSelected="Spanish",Independent[[#This Row],[Verification Type Spanish]],LSelected="French",Independent[[#This Row],[Verification Type French]],LSelected="Portuguese",Independent[[#This Row],[Verification Type Portuguese]])</f>
        <v>Conocimiento de Operador - Actividad Sospechosa y Fraude</v>
      </c>
      <c r="Q89" s="353" t="str" cm="1">
        <f t="array" ref="Q89">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1) What do you do if you encounter suspicious activity? 2) How do you report Suspicious Activity?</v>
      </c>
      <c r="R89" s="353"/>
      <c r="S89" s="353"/>
      <c r="T89" s="353" t="s">
        <v>644</v>
      </c>
      <c r="U89" s="353" t="s">
        <v>163</v>
      </c>
      <c r="V89" s="353" t="s">
        <v>1373</v>
      </c>
      <c r="W89" s="355" t="str">
        <f>IF('Gen Info'!$E$4="Spain","Conocimiento de Operador (FLA) - Actividad Sospechosa y Fraude","Conocimiento de Operador - Actividad Sospechosa y Fraude")</f>
        <v>Conocimiento de Operador - Actividad Sospechosa y Fraude</v>
      </c>
      <c r="X89" s="353" t="s">
        <v>1374</v>
      </c>
      <c r="Y89" s="355" t="str">
        <f>IF('Gen Info'!$E$4="Canada","Connaissance des employés - Activités douteuses et la Fraude","Connaissance des opérateurs - Activités douteuses et Fraude")</f>
        <v>Connaissance des opérateurs - Activités douteuses et Fraude</v>
      </c>
      <c r="Z89" s="353" t="s">
        <v>1375</v>
      </c>
      <c r="AA89" s="353" t="s">
        <v>1129</v>
      </c>
      <c r="AB89" s="353" t="s">
        <v>1376</v>
      </c>
      <c r="AC89" s="353"/>
    </row>
    <row r="90" spans="4:56" ht="29">
      <c r="D90" s="465" t="s">
        <v>958</v>
      </c>
      <c r="E90" s="465" t="s">
        <v>1377</v>
      </c>
      <c r="F90" s="353">
        <v>2</v>
      </c>
      <c r="G90" s="353" t="s">
        <v>609</v>
      </c>
      <c r="H90" s="353" t="s">
        <v>1378</v>
      </c>
      <c r="I90" s="353" t="s">
        <v>1379</v>
      </c>
      <c r="J90" s="353"/>
      <c r="K90" s="353"/>
      <c r="L90" s="353"/>
      <c r="M90" s="353">
        <f ca="1">IFERROR(VLOOKUP(Independent[[#This Row],[iWatch '#]],INDIRECT('Defined Ranges'!$C$28&amp;"Order"&amp;'Defined Ranges'!$C$29),2,FALSE),"")</f>
        <v>12</v>
      </c>
      <c r="N90" s="353">
        <f ca="1">IFERROR(VLOOKUP(Independent[[#This Row],[iWatch '#]],INDIRECT('Defined Ranges'!$C$28&amp;"Order"&amp;'Defined Ranges'!$C$29),3,FALSE),"")</f>
        <v>40</v>
      </c>
      <c r="O90" s="353" t="e">
        <f t="shared" si="7"/>
        <v>#VALUE!</v>
      </c>
      <c r="P90" s="353" t="str" cm="1">
        <f t="array" ref="P90">_xlfn.IFS(LSelected="English",Independent[[#This Row],[Verification Type English]],LSelected="Spanish",Independent[[#This Row],[Verification Type Spanish]],LSelected="French",Independent[[#This Row],[Verification Type French]],LSelected="Portuguese",Independent[[#This Row],[Verification Type Portuguese]])</f>
        <v>Conocimiento de Operador - Actividad Sospechosa y Fraude</v>
      </c>
      <c r="Q90" s="353" t="str" cm="1">
        <f t="array" ref="Q90">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1) Do you know any examples where you as an Agent could be the victim of fraud?
2) As an agent, have you ever been a victim of fraud? Do you ever receive phone calls from people claiming to be WU representatives?</v>
      </c>
      <c r="R90" s="353"/>
      <c r="S90" s="353"/>
      <c r="T90" s="353" t="s">
        <v>644</v>
      </c>
      <c r="U90" s="353" t="s">
        <v>163</v>
      </c>
      <c r="V90" s="353" t="s">
        <v>1380</v>
      </c>
      <c r="W90" s="355" t="str">
        <f>IF('Gen Info'!$E$4="Spain","Conocimiento de Operador (FLA) - Actividad Sospechosa y Fraude","Conocimiento de Operador - Actividad Sospechosa y Fraude")</f>
        <v>Conocimiento de Operador - Actividad Sospechosa y Fraude</v>
      </c>
      <c r="X90" s="353" t="s">
        <v>1381</v>
      </c>
      <c r="Y90" s="355" t="str">
        <f>IF('Gen Info'!$E$4="Canada","Connaissance des employés - Activités douteuses et la Fraude","Connaissance des opérateurs - Activités douteuses et Fraude")</f>
        <v>Connaissance des opérateurs - Activités douteuses et Fraude</v>
      </c>
      <c r="Z90" s="353" t="s">
        <v>1382</v>
      </c>
      <c r="AA90" s="353" t="s">
        <v>1129</v>
      </c>
      <c r="AB90" s="353" t="s">
        <v>1383</v>
      </c>
      <c r="AC90" s="353"/>
      <c r="AF90" s="392" t="s">
        <v>69</v>
      </c>
      <c r="AG90" s="393" t="s">
        <v>120</v>
      </c>
      <c r="AH90" s="393" t="s">
        <v>552</v>
      </c>
      <c r="AI90" s="393" t="s">
        <v>553</v>
      </c>
      <c r="AJ90" s="393" t="s">
        <v>573</v>
      </c>
      <c r="AK90" s="393" t="s">
        <v>574</v>
      </c>
      <c r="AL90" s="393" t="s">
        <v>575</v>
      </c>
      <c r="AM90" s="393" t="s">
        <v>557</v>
      </c>
      <c r="AN90" s="393" t="s">
        <v>558</v>
      </c>
      <c r="AO90" s="394" t="s">
        <v>559</v>
      </c>
      <c r="AP90" s="394" t="s">
        <v>115</v>
      </c>
      <c r="AQ90" s="394" t="s">
        <v>68</v>
      </c>
      <c r="AR90" s="394" t="s">
        <v>560</v>
      </c>
      <c r="AS90" s="394" t="s">
        <v>561</v>
      </c>
      <c r="AT90" s="393" t="s">
        <v>562</v>
      </c>
      <c r="AU90" s="393" t="s">
        <v>563</v>
      </c>
      <c r="AV90" s="393" t="s">
        <v>564</v>
      </c>
      <c r="AW90" s="393" t="s">
        <v>565</v>
      </c>
      <c r="AX90" s="393" t="s">
        <v>566</v>
      </c>
      <c r="AY90" s="393" t="s">
        <v>567</v>
      </c>
      <c r="AZ90" s="393" t="s">
        <v>568</v>
      </c>
      <c r="BA90" s="393" t="s">
        <v>569</v>
      </c>
      <c r="BB90" s="393" t="s">
        <v>570</v>
      </c>
      <c r="BC90" s="393" t="s">
        <v>571</v>
      </c>
      <c r="BD90" s="395" t="s">
        <v>572</v>
      </c>
    </row>
    <row r="91" spans="4:56">
      <c r="D91" s="465" t="s">
        <v>967</v>
      </c>
      <c r="E91" s="465" t="s">
        <v>1384</v>
      </c>
      <c r="F91" s="353">
        <v>2</v>
      </c>
      <c r="G91" s="353" t="s">
        <v>609</v>
      </c>
      <c r="H91" s="353" t="s">
        <v>1385</v>
      </c>
      <c r="I91" s="353" t="s">
        <v>1386</v>
      </c>
      <c r="J91" s="353"/>
      <c r="K91" s="353"/>
      <c r="L91" s="353"/>
      <c r="M91" s="353">
        <f ca="1">IFERROR(VLOOKUP(Independent[[#This Row],[iWatch '#]],INDIRECT('Defined Ranges'!$C$28&amp;"Order"&amp;'Defined Ranges'!$C$29),2,FALSE),"")</f>
        <v>15</v>
      </c>
      <c r="N91" s="353">
        <f ca="1">IFERROR(VLOOKUP(Independent[[#This Row],[iWatch '#]],INDIRECT('Defined Ranges'!$C$28&amp;"Order"&amp;'Defined Ranges'!$C$29),3,FALSE),"")</f>
        <v>41</v>
      </c>
      <c r="O91" s="353" t="e">
        <f t="shared" si="7"/>
        <v>#VALUE!</v>
      </c>
      <c r="P91" s="353" t="str" cm="1">
        <f t="array" ref="P91">_xlfn.IFS(LSelected="English",Independent[[#This Row],[Verification Type English]],LSelected="Spanish",Independent[[#This Row],[Verification Type Spanish]],LSelected="French",Independent[[#This Row],[Verification Type French]],LSelected="Portuguese",Independent[[#This Row],[Verification Type Portuguese]])</f>
        <v>Conocimiento de Operador - Actividad Sospechosa y Fraude</v>
      </c>
      <c r="Q91" s="353" t="str" cm="1">
        <f t="array" ref="Q91">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1) What actions would you take if you faced a transaction related to Agent Fraud?
2) How would you report this type of incident?</v>
      </c>
      <c r="R91" s="353"/>
      <c r="S91" s="353"/>
      <c r="T91" s="353" t="s">
        <v>644</v>
      </c>
      <c r="U91" s="353" t="s">
        <v>163</v>
      </c>
      <c r="V91" s="353" t="s">
        <v>1387</v>
      </c>
      <c r="W91" s="355" t="str">
        <f>IF('Gen Info'!$E$4="Spain","Conocimiento de Operador (FLA) - Actividad Sospechosa y Fraude","Conocimiento de Operador - Actividad Sospechosa y Fraude")</f>
        <v>Conocimiento de Operador - Actividad Sospechosa y Fraude</v>
      </c>
      <c r="X91" s="353" t="s">
        <v>1388</v>
      </c>
      <c r="Y91" s="355" t="str">
        <f>IF('Gen Info'!$E$4="Canada","Connaissance des employés - Activités douteuses et la Fraude","Connaissance des opérateurs - Activités douteuses et Fraude")</f>
        <v>Connaissance des opérateurs - Activités douteuses et Fraude</v>
      </c>
      <c r="Z91" s="353" t="s">
        <v>1389</v>
      </c>
      <c r="AA91" s="353" t="s">
        <v>1129</v>
      </c>
      <c r="AB91" s="353" t="s">
        <v>1390</v>
      </c>
      <c r="AC91" s="353"/>
      <c r="AF91" s="101" t="s">
        <v>630</v>
      </c>
      <c r="AG91" s="101" t="s">
        <v>867</v>
      </c>
      <c r="AH91" s="103">
        <v>3</v>
      </c>
      <c r="AI91" s="101"/>
      <c r="AJ91" s="101" t="s">
        <v>1391</v>
      </c>
      <c r="AK91" s="101" t="s">
        <v>1392</v>
      </c>
      <c r="AL91" s="353"/>
      <c r="AM91" s="101" t="s">
        <v>1393</v>
      </c>
      <c r="AO91" s="103" t="str">
        <f ca="1">IFERROR(VLOOKUP(Independent_Australia[[#This Row],[iWatch '#]],INDIRECT('Defined Ranges'!$C$28&amp;"ROrder"&amp;'Defined Ranges'!$C$29),2,FALSE),"")</f>
        <v/>
      </c>
      <c r="AP91" s="103" t="str">
        <f ca="1">IFERROR(VLOOKUP(Independent_Australia[[#This Row],[iWatch '#]],INDIRECT('Defined Ranges'!$C$28&amp;"ROrder"&amp;'Defined Ranges'!$C$29),3,FALSE),"")</f>
        <v/>
      </c>
      <c r="AQ91" s="103">
        <f ca="1">'Defined Ranges'!$D$23+1</f>
        <v>42</v>
      </c>
      <c r="AR91" s="103" cm="1">
        <f t="array" ref="AR91">_xlfn.IFS(LSelected="English",Independent_Australia[[#This Row],[Verification Type English]],LSelected="Spanish",Independent_Australia[[#This Row],[Verification Type Spanish]],LSelected="French",Independent_Australia[[#This Row],[Verification Type French]],LSelected="Portuguese",Independent_Australia[[#This Row],[Verification Type Portuguese]])</f>
        <v>0</v>
      </c>
      <c r="AS91" s="103" cm="1">
        <f t="array" ref="AS91">_xlfn.IFS(SScript="English",Independent_Australia[[#This Row],[Suggested script English]],SScript="Spanish",Independent_Australia[[#This Row],[Suggested script Spanish]],SScript="French",Independent_Australia[[#This Row],[Suggested script French]],SScript="Portuguese",Independent_Australia[[#This Row],[Suggested script Portuguese]])</f>
        <v>0</v>
      </c>
      <c r="AV91" s="103" t="s">
        <v>698</v>
      </c>
      <c r="AW91" s="353" t="s">
        <v>141</v>
      </c>
      <c r="AY91" s="402"/>
      <c r="BA91" s="355"/>
      <c r="BC91" s="355"/>
    </row>
    <row r="92" spans="4:56">
      <c r="D92" s="465" t="s">
        <v>1394</v>
      </c>
      <c r="E92" s="465" t="s">
        <v>1395</v>
      </c>
      <c r="F92" s="353">
        <v>2</v>
      </c>
      <c r="G92" s="353" t="s">
        <v>609</v>
      </c>
      <c r="H92" s="353" t="s">
        <v>1396</v>
      </c>
      <c r="I92" s="353" t="s">
        <v>1397</v>
      </c>
      <c r="J92" s="353"/>
      <c r="K92" s="353"/>
      <c r="L92" s="353"/>
      <c r="M92" s="353" t="str">
        <f ca="1">IFERROR(VLOOKUP(Independent[[#This Row],[iWatch '#]],INDIRECT('Defined Ranges'!$C$28&amp;"Order"&amp;'Defined Ranges'!$C$29),2,FALSE),"")</f>
        <v/>
      </c>
      <c r="N92" s="353" t="str">
        <f ca="1">IFERROR(VLOOKUP(Independent[[#This Row],[iWatch '#]],INDIRECT('Defined Ranges'!$C$28&amp;"Order"&amp;'Defined Ranges'!$C$29),3,FALSE),"")</f>
        <v/>
      </c>
      <c r="O92" s="353" t="e">
        <f t="shared" si="7"/>
        <v>#VALUE!</v>
      </c>
      <c r="P92" s="353" t="str" cm="1">
        <f t="array" ref="P92">_xlfn.IFS(LSelected="English",Independent[[#This Row],[Verification Type English]],LSelected="Spanish",Independent[[#This Row],[Verification Type Spanish]],LSelected="French",Independent[[#This Row],[Verification Type French]],LSelected="Portuguese",Independent[[#This Row],[Verification Type Portuguese]])</f>
        <v>Conocimiento de Operador - Actividad Sospechosa y Fraude</v>
      </c>
      <c r="Q92" s="353" t="str" cm="1">
        <f t="array" ref="Q92">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1) What do think is a typical behavior of a client involved in a consumer fraud scheme?
2) Please share at least 2-3 of the Consumer Fraud indicators/Red flags covered in your Anti-Fraud program.</v>
      </c>
      <c r="R92" s="353"/>
      <c r="S92" s="353"/>
      <c r="T92" s="353" t="s">
        <v>644</v>
      </c>
      <c r="U92" s="353" t="s">
        <v>163</v>
      </c>
      <c r="V92" s="353" t="s">
        <v>1398</v>
      </c>
      <c r="W92" s="355" t="str">
        <f>IF('Gen Info'!$E$4="Spain","Conocimiento de Operador (FLA) - Actividad Sospechosa y Fraude","Conocimiento de Operador - Actividad Sospechosa y Fraude")</f>
        <v>Conocimiento de Operador - Actividad Sospechosa y Fraude</v>
      </c>
      <c r="X92" s="353" t="s">
        <v>1399</v>
      </c>
      <c r="Y92" s="355" t="str">
        <f>IF('Gen Info'!$E$4="Canada","Connaissance des employés - Activités douteuses et la Fraude","Connaissance des opérateurs - Activités douteuses et Fraude")</f>
        <v>Connaissance des opérateurs - Activités douteuses et Fraude</v>
      </c>
      <c r="Z92" s="353" t="s">
        <v>1400</v>
      </c>
      <c r="AA92" s="353" t="s">
        <v>1129</v>
      </c>
      <c r="AB92" s="353" t="s">
        <v>1401</v>
      </c>
      <c r="AC92" s="353"/>
      <c r="AF92" s="101" t="s">
        <v>803</v>
      </c>
      <c r="AG92" s="101" t="s">
        <v>1402</v>
      </c>
      <c r="AI92" s="101"/>
      <c r="AJ92" s="101" t="s">
        <v>1403</v>
      </c>
      <c r="AK92" s="101" t="s">
        <v>1403</v>
      </c>
      <c r="AL92" s="353"/>
      <c r="AM92" s="101" t="s">
        <v>1403</v>
      </c>
      <c r="AO92" s="103" t="str">
        <f ca="1">IFERROR(VLOOKUP(Independent_Australia[[#This Row],[iWatch '#]],INDIRECT('Defined Ranges'!$C$28&amp;"ROrder"&amp;'Defined Ranges'!$C$29),2,FALSE),"")</f>
        <v/>
      </c>
      <c r="AP92" s="103" t="str">
        <f ca="1">IFERROR(VLOOKUP(Independent_Australia[[#This Row],[iWatch '#]],INDIRECT('Defined Ranges'!$C$28&amp;"ROrder"&amp;'Defined Ranges'!$C$29),3,FALSE),"")</f>
        <v/>
      </c>
      <c r="AQ92" s="103">
        <f ca="1">AQ91+1</f>
        <v>43</v>
      </c>
      <c r="AR92" s="387" cm="1">
        <f t="array" ref="AR92">_xlfn.IFS(LSelected="English",Independent_Australia[[#This Row],[Verification Type English]],LSelected="Spanish",Independent_Australia[[#This Row],[Verification Type Spanish]],LSelected="French",Independent_Australia[[#This Row],[Verification Type French]],LSelected="Portuguese",Independent_Australia[[#This Row],[Verification Type Portuguese]])</f>
        <v>0</v>
      </c>
      <c r="AS92" s="103" cm="1">
        <f t="array" ref="AS92">_xlfn.IFS(SScript="English",Independent_Australia[[#This Row],[Suggested script English]],SScript="Spanish",Independent_Australia[[#This Row],[Suggested script Spanish]],SScript="French",Independent_Australia[[#This Row],[Suggested script French]],SScript="Portuguese",Independent_Australia[[#This Row],[Suggested script Portuguese]])</f>
        <v>0</v>
      </c>
      <c r="AW92" s="353"/>
    </row>
    <row r="93" spans="4:56">
      <c r="D93" s="465" t="s">
        <v>1404</v>
      </c>
      <c r="E93" s="465" t="s">
        <v>1405</v>
      </c>
      <c r="F93" s="353">
        <v>2</v>
      </c>
      <c r="G93" s="353" t="s">
        <v>609</v>
      </c>
      <c r="H93" s="353" t="s">
        <v>1406</v>
      </c>
      <c r="I93" s="353" t="s">
        <v>1407</v>
      </c>
      <c r="J93" s="353"/>
      <c r="K93" s="353"/>
      <c r="L93" s="353"/>
      <c r="M93" s="353" t="str">
        <f ca="1">IFERROR(VLOOKUP(Independent[[#This Row],[iWatch '#]],INDIRECT('Defined Ranges'!$C$28&amp;"Order"&amp;'Defined Ranges'!$C$29),2,FALSE),"")</f>
        <v/>
      </c>
      <c r="N93" s="353" t="str">
        <f ca="1">IFERROR(VLOOKUP(Independent[[#This Row],[iWatch '#]],INDIRECT('Defined Ranges'!$C$28&amp;"Order"&amp;'Defined Ranges'!$C$29),3,FALSE),"")</f>
        <v/>
      </c>
      <c r="O93" s="353" t="e">
        <f t="shared" si="7"/>
        <v>#VALUE!</v>
      </c>
      <c r="P93" s="353" t="str" cm="1">
        <f t="array" ref="P93">_xlfn.IFS(LSelected="English",Independent[[#This Row],[Verification Type English]],LSelected="Spanish",Independent[[#This Row],[Verification Type Spanish]],LSelected="French",Independent[[#This Row],[Verification Type French]],LSelected="Portuguese",Independent[[#This Row],[Verification Type Portuguese]])</f>
        <v>Conocimiento de Operador - Actividad Sospechosa y Fraude</v>
      </c>
      <c r="Q93" s="353" t="str" cm="1">
        <f t="array" ref="Q93">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1) What actions would you take in regards to a transaction related to consumer fraud?</v>
      </c>
      <c r="R93" s="353"/>
      <c r="S93" s="353"/>
      <c r="T93" s="353" t="s">
        <v>644</v>
      </c>
      <c r="U93" s="353" t="s">
        <v>163</v>
      </c>
      <c r="V93" s="353" t="s">
        <v>781</v>
      </c>
      <c r="W93" s="355" t="str">
        <f>IF('Gen Info'!$E$4="Spain","Conocimiento de Operador (FLA) - Actividad Sospechosa y Fraude","Conocimiento de Operador - Actividad Sospechosa y Fraude")</f>
        <v>Conocimiento de Operador - Actividad Sospechosa y Fraude</v>
      </c>
      <c r="X93" s="353" t="s">
        <v>1408</v>
      </c>
      <c r="Y93" s="355" t="str">
        <f>IF('Gen Info'!$E$4="Canada","Connaissance des employés - Activités douteuses et la Fraude","Connaissance des opérateurs - Activités douteuses et Fraude")</f>
        <v>Connaissance des opérateurs - Activités douteuses et Fraude</v>
      </c>
      <c r="Z93" s="353" t="s">
        <v>1409</v>
      </c>
      <c r="AA93" s="353" t="s">
        <v>1129</v>
      </c>
      <c r="AB93" s="353" t="s">
        <v>1410</v>
      </c>
      <c r="AC93" s="353"/>
      <c r="AF93" s="101" t="s">
        <v>810</v>
      </c>
      <c r="AG93" s="101" t="s">
        <v>1411</v>
      </c>
      <c r="AH93" s="103">
        <v>2</v>
      </c>
      <c r="AI93" s="101"/>
      <c r="AJ93" s="101" t="s">
        <v>1412</v>
      </c>
      <c r="AK93" s="101" t="s">
        <v>1413</v>
      </c>
      <c r="AL93" s="353"/>
      <c r="AM93" s="101" t="s">
        <v>1403</v>
      </c>
      <c r="AO93" s="103" t="str">
        <f ca="1">IFERROR(VLOOKUP(Independent_Australia[[#This Row],[iWatch '#]],INDIRECT('Defined Ranges'!$C$28&amp;"ROrder"&amp;'Defined Ranges'!$C$29),2,FALSE),"")</f>
        <v/>
      </c>
      <c r="AP93" s="103" t="str">
        <f ca="1">IFERROR(VLOOKUP(Independent_Australia[[#This Row],[iWatch '#]],INDIRECT('Defined Ranges'!$C$28&amp;"ROrder"&amp;'Defined Ranges'!$C$29),3,FALSE),"")</f>
        <v/>
      </c>
      <c r="AQ93" s="103">
        <f t="shared" ref="AQ93:AQ103" ca="1" si="8">AQ92+1</f>
        <v>44</v>
      </c>
      <c r="AR93" s="103" cm="1">
        <f t="array" ref="AR93">_xlfn.IFS(LSelected="English",Independent_Australia[[#This Row],[Verification Type English]],LSelected="Spanish",Independent_Australia[[#This Row],[Verification Type Spanish]],LSelected="French",Independent_Australia[[#This Row],[Verification Type French]],LSelected="Portuguese",Independent_Australia[[#This Row],[Verification Type Portuguese]])</f>
        <v>0</v>
      </c>
      <c r="AS93" s="103" cm="1">
        <f t="array" ref="AS93">_xlfn.IFS(SScript="English",Independent_Australia[[#This Row],[Suggested script English]],SScript="Spanish",Independent_Australia[[#This Row],[Suggested script Spanish]],SScript="French",Independent_Australia[[#This Row],[Suggested script French]],SScript="Portuguese",Independent_Australia[[#This Row],[Suggested script Portuguese]])</f>
        <v>0</v>
      </c>
      <c r="AV93" s="103" t="s">
        <v>644</v>
      </c>
      <c r="AW93" s="353" t="s">
        <v>141</v>
      </c>
      <c r="AY93" s="355"/>
      <c r="BA93" s="355"/>
    </row>
    <row r="94" spans="4:56">
      <c r="D94" s="465" t="s">
        <v>1414</v>
      </c>
      <c r="E94" s="465" t="s">
        <v>1415</v>
      </c>
      <c r="F94" s="353">
        <v>2</v>
      </c>
      <c r="G94" s="353" t="s">
        <v>609</v>
      </c>
      <c r="H94" s="353" t="s">
        <v>1416</v>
      </c>
      <c r="I94" s="353" t="s">
        <v>1417</v>
      </c>
      <c r="J94" s="353"/>
      <c r="K94" s="353"/>
      <c r="L94" s="353"/>
      <c r="M94" s="353" t="str">
        <f ca="1">IFERROR(VLOOKUP(Independent[[#This Row],[iWatch '#]],INDIRECT('Defined Ranges'!$C$28&amp;"Order"&amp;'Defined Ranges'!$C$29),2,FALSE),"")</f>
        <v/>
      </c>
      <c r="N94" s="353" t="str">
        <f ca="1">IFERROR(VLOOKUP(Independent[[#This Row],[iWatch '#]],INDIRECT('Defined Ranges'!$C$28&amp;"Order"&amp;'Defined Ranges'!$C$29),3,FALSE),"")</f>
        <v/>
      </c>
      <c r="O94" s="353" t="e">
        <f t="shared" si="7"/>
        <v>#VALUE!</v>
      </c>
      <c r="P94" s="353" t="str" cm="1">
        <f t="array" ref="P94">_xlfn.IFS(LSelected="English",Independent[[#This Row],[Verification Type English]],LSelected="Spanish",Independent[[#This Row],[Verification Type Spanish]],LSelected="French",Independent[[#This Row],[Verification Type French]],LSelected="Portuguese",Independent[[#This Row],[Verification Type Portuguese]])</f>
        <v>Conocimiento de Operador - Actividad Sospechosa y Fraude</v>
      </c>
      <c r="Q94" s="353" t="str" cm="1">
        <f t="array" ref="Q94">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Let’s say you refuse my transaction due to potential Consumer Fraud; would you recommend me going to another location or company to complete this transaction?</v>
      </c>
      <c r="R94" s="353"/>
      <c r="S94" s="353"/>
      <c r="T94" s="353" t="s">
        <v>644</v>
      </c>
      <c r="U94" s="353" t="s">
        <v>163</v>
      </c>
      <c r="V94" s="353" t="s">
        <v>789</v>
      </c>
      <c r="W94" s="404" t="str">
        <f>IF('Gen Info'!$E$4="Spain","Conocimiento de Operador (FLA) - Actividad Sospechosa y Fraude","Conocimiento de Operador - Actividad Sospechosa y Fraude")</f>
        <v>Conocimiento de Operador - Actividad Sospechosa y Fraude</v>
      </c>
      <c r="X94" s="353" t="s">
        <v>1418</v>
      </c>
      <c r="Y94" s="355" t="str">
        <f>IF('Gen Info'!$E$4="Canada","Connaissance des employés - Activités douteuses et la Fraude","Connaissance des opérateurs - Activités douteuses et Fraude")</f>
        <v>Connaissance des opérateurs - Activités douteuses et Fraude</v>
      </c>
      <c r="Z94" s="353" t="s">
        <v>1419</v>
      </c>
      <c r="AA94" s="353" t="s">
        <v>1129</v>
      </c>
      <c r="AB94" s="353" t="s">
        <v>1420</v>
      </c>
      <c r="AC94" s="353"/>
      <c r="AF94" s="101" t="s">
        <v>902</v>
      </c>
      <c r="AG94" s="101" t="s">
        <v>1421</v>
      </c>
      <c r="AH94" s="103">
        <v>3</v>
      </c>
      <c r="AI94" s="101"/>
      <c r="AJ94" s="101" t="s">
        <v>1422</v>
      </c>
      <c r="AK94" s="101" t="s">
        <v>1423</v>
      </c>
      <c r="AL94" s="353"/>
      <c r="AM94" s="101" t="s">
        <v>1424</v>
      </c>
      <c r="AO94" s="103" t="str">
        <f ca="1">IFERROR(VLOOKUP(Independent_Australia[[#This Row],[iWatch '#]],INDIRECT('Defined Ranges'!$C$28&amp;"ROrder"&amp;'Defined Ranges'!$C$29),2,FALSE),"")</f>
        <v/>
      </c>
      <c r="AP94" s="103" t="str">
        <f ca="1">IFERROR(VLOOKUP(Independent_Australia[[#This Row],[iWatch '#]],INDIRECT('Defined Ranges'!$C$28&amp;"ROrder"&amp;'Defined Ranges'!$C$29),3,FALSE),"")</f>
        <v/>
      </c>
      <c r="AQ94" s="103">
        <f t="shared" ca="1" si="8"/>
        <v>45</v>
      </c>
      <c r="AR94" s="103" cm="1">
        <f t="array" ref="AR94">_xlfn.IFS(LSelected="English",Independent_Australia[[#This Row],[Verification Type English]],LSelected="Spanish",Independent_Australia[[#This Row],[Verification Type Spanish]],LSelected="French",Independent_Australia[[#This Row],[Verification Type French]],LSelected="Portuguese",Independent_Australia[[#This Row],[Verification Type Portuguese]])</f>
        <v>0</v>
      </c>
      <c r="AS94" s="103" cm="1">
        <f t="array" ref="AS94">_xlfn.IFS(SScript="English",Independent_Australia[[#This Row],[Suggested script English]],SScript="Spanish",Independent_Australia[[#This Row],[Suggested script Spanish]],SScript="French",Independent_Australia[[#This Row],[Suggested script French]],SScript="Portuguese",Independent_Australia[[#This Row],[Suggested script Portuguese]])</f>
        <v>0</v>
      </c>
      <c r="AV94" s="103" t="s">
        <v>644</v>
      </c>
      <c r="AW94" s="353" t="s">
        <v>141</v>
      </c>
      <c r="BC94" s="355"/>
    </row>
    <row r="95" spans="4:56">
      <c r="D95" s="465" t="s">
        <v>1425</v>
      </c>
      <c r="E95" s="465" t="s">
        <v>882</v>
      </c>
      <c r="F95" s="353">
        <v>3</v>
      </c>
      <c r="G95" s="353" t="s">
        <v>581</v>
      </c>
      <c r="H95" s="353" t="s">
        <v>1426</v>
      </c>
      <c r="I95" s="353" t="s">
        <v>1427</v>
      </c>
      <c r="J95" s="353"/>
      <c r="K95" s="353" t="s">
        <v>1428</v>
      </c>
      <c r="L95" s="353"/>
      <c r="M95" s="353" t="str">
        <f ca="1">IFERROR(VLOOKUP(Independent[[#This Row],[iWatch '#]],INDIRECT('Defined Ranges'!$C$28&amp;"Order"&amp;'Defined Ranges'!$C$29),2,FALSE),"")</f>
        <v/>
      </c>
      <c r="N95" s="353" t="str">
        <f ca="1">IFERROR(VLOOKUP(Independent[[#This Row],[iWatch '#]],INDIRECT('Defined Ranges'!$C$28&amp;"Order"&amp;'Defined Ranges'!$C$29),3,FALSE),"")</f>
        <v/>
      </c>
      <c r="O95" s="353" t="e">
        <f t="shared" si="7"/>
        <v>#VALUE!</v>
      </c>
      <c r="P95" s="353" t="str" cm="1">
        <f t="array" ref="P95">_xlfn.IFS(LSelected="English",Independent[[#This Row],[Verification Type English]],LSelected="Spanish",Independent[[#This Row],[Verification Type Spanish]],LSelected="French",Independent[[#This Row],[Verification Type French]],LSelected="Portuguese",Independent[[#This Row],[Verification Type Portuguese]])</f>
        <v>Protección del Consumidor</v>
      </c>
      <c r="Q95" s="353" t="str" cm="1">
        <f t="array" ref="Q95">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1. How do you know or where do you see how much to charge a customer for a send transaction? 
2. Are there any additional fees?</v>
      </c>
      <c r="R95" s="353"/>
      <c r="S95" s="353"/>
      <c r="T95" s="353" t="s">
        <v>585</v>
      </c>
      <c r="U95" s="353" t="s">
        <v>159</v>
      </c>
      <c r="V95" s="353" t="s">
        <v>1429</v>
      </c>
      <c r="W95" s="353" t="s">
        <v>160</v>
      </c>
      <c r="X95" s="353" t="s">
        <v>1430</v>
      </c>
      <c r="Y95" s="353" t="s">
        <v>161</v>
      </c>
      <c r="Z95" s="353" t="s">
        <v>1431</v>
      </c>
      <c r="AA95" s="403" t="str">
        <f>IF('Gen Info'!$E$4="Portugal","Proteção dos consumidores","Proteção ao consumidor")</f>
        <v>Proteção ao consumidor</v>
      </c>
      <c r="AB95" s="353" t="s">
        <v>1432</v>
      </c>
      <c r="AC95" s="353"/>
      <c r="AF95" s="101" t="s">
        <v>669</v>
      </c>
      <c r="AG95" s="101" t="s">
        <v>1433</v>
      </c>
      <c r="AH95" s="103">
        <v>2</v>
      </c>
      <c r="AI95" s="101"/>
      <c r="AJ95" s="101" t="s">
        <v>1434</v>
      </c>
      <c r="AK95" s="101" t="s">
        <v>1435</v>
      </c>
      <c r="AL95" s="353"/>
      <c r="AM95" s="101" t="s">
        <v>1403</v>
      </c>
      <c r="AO95" s="103" t="str">
        <f ca="1">IFERROR(VLOOKUP(Independent_Australia[[#This Row],[iWatch '#]],INDIRECT('Defined Ranges'!$C$28&amp;"ROrder"&amp;'Defined Ranges'!$C$29),2,FALSE),"")</f>
        <v/>
      </c>
      <c r="AP95" s="103" t="str">
        <f ca="1">IFERROR(VLOOKUP(Independent_Australia[[#This Row],[iWatch '#]],INDIRECT('Defined Ranges'!$C$28&amp;"ROrder"&amp;'Defined Ranges'!$C$29),3,FALSE),"")</f>
        <v/>
      </c>
      <c r="AQ95" s="103">
        <f t="shared" ca="1" si="8"/>
        <v>46</v>
      </c>
      <c r="AR95" s="103" cm="1">
        <f t="array" ref="AR95">_xlfn.IFS(LSelected="English",Independent_Australia[[#This Row],[Verification Type English]],LSelected="Spanish",Independent_Australia[[#This Row],[Verification Type Spanish]],LSelected="French",Independent_Australia[[#This Row],[Verification Type French]],LSelected="Portuguese",Independent_Australia[[#This Row],[Verification Type Portuguese]])</f>
        <v>0</v>
      </c>
      <c r="AS95" s="103" cm="1">
        <f t="array" ref="AS95">_xlfn.IFS(SScript="English",Independent_Australia[[#This Row],[Suggested script English]],SScript="Spanish",Independent_Australia[[#This Row],[Suggested script Spanish]],SScript="French",Independent_Australia[[#This Row],[Suggested script French]],SScript="Portuguese",Independent_Australia[[#This Row],[Suggested script Portuguese]])</f>
        <v>0</v>
      </c>
      <c r="AV95" s="103" t="s">
        <v>698</v>
      </c>
      <c r="AW95" s="353" t="s">
        <v>151</v>
      </c>
      <c r="BC95" s="355"/>
    </row>
    <row r="96" spans="4:56">
      <c r="D96" s="465" t="s">
        <v>1436</v>
      </c>
      <c r="E96" s="465" t="s">
        <v>894</v>
      </c>
      <c r="F96" s="353">
        <v>3</v>
      </c>
      <c r="G96" s="353" t="s">
        <v>581</v>
      </c>
      <c r="H96" s="353" t="s">
        <v>1437</v>
      </c>
      <c r="I96" s="353" t="s">
        <v>1438</v>
      </c>
      <c r="J96" s="353"/>
      <c r="K96" s="353" t="s">
        <v>1439</v>
      </c>
      <c r="L96" s="353"/>
      <c r="M96" s="353" t="str">
        <f ca="1">IFERROR(VLOOKUP(Independent[[#This Row],[iWatch '#]],INDIRECT('Defined Ranges'!$C$28&amp;"Order"&amp;'Defined Ranges'!$C$29),2,FALSE),"")</f>
        <v/>
      </c>
      <c r="N96" s="353" t="str">
        <f ca="1">IFERROR(VLOOKUP(Independent[[#This Row],[iWatch '#]],INDIRECT('Defined Ranges'!$C$28&amp;"Order"&amp;'Defined Ranges'!$C$29),3,FALSE),"")</f>
        <v/>
      </c>
      <c r="O96" s="353" t="e">
        <f t="shared" si="7"/>
        <v>#VALUE!</v>
      </c>
      <c r="P96" s="353" t="str" cm="1">
        <f t="array" ref="P96">_xlfn.IFS(LSelected="English",Independent[[#This Row],[Verification Type English]],LSelected="Spanish",Independent[[#This Row],[Verification Type Spanish]],LSelected="French",Independent[[#This Row],[Verification Type French]],LSelected="Portuguese",Independent[[#This Row],[Verification Type Portuguese]])</f>
        <v>Protección del Consumidor</v>
      </c>
      <c r="Q96" s="353" t="str" cm="1">
        <f t="array" ref="Q96">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1. How do you know how much to pay a customer when paying out a money transfer? 
2. Are there any additional fees to charge?</v>
      </c>
      <c r="R96" s="353"/>
      <c r="S96" s="353"/>
      <c r="T96" s="353" t="s">
        <v>585</v>
      </c>
      <c r="U96" s="353" t="s">
        <v>159</v>
      </c>
      <c r="V96" s="353" t="s">
        <v>1440</v>
      </c>
      <c r="W96" s="353" t="s">
        <v>160</v>
      </c>
      <c r="X96" s="353" t="s">
        <v>1441</v>
      </c>
      <c r="Y96" s="353" t="s">
        <v>161</v>
      </c>
      <c r="Z96" s="353" t="s">
        <v>1442</v>
      </c>
      <c r="AA96" s="403" t="str">
        <f>IF('Gen Info'!$E$4="Portugal","Proteção dos consumidores","Proteção ao consumidor")</f>
        <v>Proteção ao consumidor</v>
      </c>
      <c r="AB96" s="353" t="s">
        <v>1443</v>
      </c>
      <c r="AC96" s="353"/>
      <c r="AF96" s="101" t="s">
        <v>1444</v>
      </c>
      <c r="AG96" s="101" t="s">
        <v>1445</v>
      </c>
      <c r="AH96" s="103">
        <v>2</v>
      </c>
      <c r="AI96" s="101"/>
      <c r="AJ96" s="101" t="s">
        <v>1446</v>
      </c>
      <c r="AK96" s="101" t="s">
        <v>1447</v>
      </c>
      <c r="AL96" s="353"/>
      <c r="AM96" s="101" t="s">
        <v>1403</v>
      </c>
      <c r="AO96" s="103" t="str">
        <f ca="1">IFERROR(VLOOKUP(Independent_Australia[[#This Row],[iWatch '#]],INDIRECT('Defined Ranges'!$C$28&amp;"ROrder"&amp;'Defined Ranges'!$C$29),2,FALSE),"")</f>
        <v/>
      </c>
      <c r="AP96" s="103" t="str">
        <f ca="1">IFERROR(VLOOKUP(Independent_Australia[[#This Row],[iWatch '#]],INDIRECT('Defined Ranges'!$C$28&amp;"ROrder"&amp;'Defined Ranges'!$C$29),3,FALSE),"")</f>
        <v/>
      </c>
      <c r="AQ96" s="103">
        <f t="shared" ca="1" si="8"/>
        <v>47</v>
      </c>
      <c r="AR96" s="103" cm="1">
        <f t="array" ref="AR96">_xlfn.IFS(LSelected="English",Independent_Australia[[#This Row],[Verification Type English]],LSelected="Spanish",Independent_Australia[[#This Row],[Verification Type Spanish]],LSelected="French",Independent_Australia[[#This Row],[Verification Type French]],LSelected="Portuguese",Independent_Australia[[#This Row],[Verification Type Portuguese]])</f>
        <v>0</v>
      </c>
      <c r="AS96" s="103" cm="1">
        <f t="array" ref="AS96">_xlfn.IFS(SScript="English",Independent_Australia[[#This Row],[Suggested script English]],SScript="Spanish",Independent_Australia[[#This Row],[Suggested script Spanish]],SScript="French",Independent_Australia[[#This Row],[Suggested script French]],SScript="Portuguese",Independent_Australia[[#This Row],[Suggested script Portuguese]])</f>
        <v>0</v>
      </c>
      <c r="AW96" s="353"/>
      <c r="AY96" s="355"/>
      <c r="BC96" s="355"/>
    </row>
    <row r="97" spans="4:56">
      <c r="D97" s="465" t="s">
        <v>1448</v>
      </c>
      <c r="E97" s="465" t="s">
        <v>1449</v>
      </c>
      <c r="F97" s="353">
        <v>3</v>
      </c>
      <c r="G97" s="353" t="s">
        <v>581</v>
      </c>
      <c r="H97" s="353" t="s">
        <v>1450</v>
      </c>
      <c r="I97" s="353" t="s">
        <v>1451</v>
      </c>
      <c r="J97" s="353"/>
      <c r="K97" s="353" t="s">
        <v>1452</v>
      </c>
      <c r="L97" s="353"/>
      <c r="M97" s="353" t="str">
        <f ca="1">IFERROR(VLOOKUP(Independent[[#This Row],[iWatch '#]],INDIRECT('Defined Ranges'!$C$28&amp;"Order"&amp;'Defined Ranges'!$C$29),2,FALSE),"")</f>
        <v/>
      </c>
      <c r="N97" s="353" t="str">
        <f ca="1">IFERROR(VLOOKUP(Independent[[#This Row],[iWatch '#]],INDIRECT('Defined Ranges'!$C$28&amp;"Order"&amp;'Defined Ranges'!$C$29),3,FALSE),"")</f>
        <v/>
      </c>
      <c r="O97" s="353" t="e">
        <f t="shared" si="7"/>
        <v>#VALUE!</v>
      </c>
      <c r="P97" s="353" t="str" cm="1">
        <f t="array" ref="P97">_xlfn.IFS(LSelected="English",Independent[[#This Row],[Verification Type English]],LSelected="Spanish",Independent[[#This Row],[Verification Type Spanish]],LSelected="French",Independent[[#This Row],[Verification Type French]],LSelected="Portuguese",Independent[[#This Row],[Verification Type Portuguese]])</f>
        <v>Protección del Consumidor</v>
      </c>
      <c r="Q97" s="353" t="str" cm="1">
        <f t="array" ref="Q97">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DOCUMENTS REQUIRED Anti-Fraud P&amp;Ps: Answer by reviewing Agent's Policies and Procedures document received prior or during the call.</v>
      </c>
      <c r="R97" s="353"/>
      <c r="S97" s="353"/>
      <c r="T97" s="353" t="s">
        <v>644</v>
      </c>
      <c r="U97" s="353" t="s">
        <v>159</v>
      </c>
      <c r="V97" s="353" t="s">
        <v>1453</v>
      </c>
      <c r="W97" s="353" t="s">
        <v>160</v>
      </c>
      <c r="X97" s="353" t="s">
        <v>1453</v>
      </c>
      <c r="Y97" s="353" t="s">
        <v>161</v>
      </c>
      <c r="Z97" s="353" t="s">
        <v>1453</v>
      </c>
      <c r="AA97" s="403" t="str">
        <f>IF('Gen Info'!$E$4="Portugal","Proteção dos consumidores","Proteção ao consumidor")</f>
        <v>Proteção ao consumidor</v>
      </c>
      <c r="AB97" s="353" t="s">
        <v>1453</v>
      </c>
      <c r="AC97" s="353"/>
      <c r="AF97" s="101" t="s">
        <v>1454</v>
      </c>
      <c r="AG97" s="101" t="s">
        <v>1455</v>
      </c>
      <c r="AH97" s="103">
        <v>2</v>
      </c>
      <c r="AI97" s="101"/>
      <c r="AJ97" s="101" t="s">
        <v>1456</v>
      </c>
      <c r="AK97" s="101" t="s">
        <v>1457</v>
      </c>
      <c r="AL97" s="353"/>
      <c r="AM97" s="101" t="s">
        <v>1403</v>
      </c>
      <c r="AO97" s="103" t="str">
        <f ca="1">IFERROR(VLOOKUP(Independent_Australia[[#This Row],[iWatch '#]],INDIRECT('Defined Ranges'!$C$28&amp;"ROrder"&amp;'Defined Ranges'!$C$29),2,FALSE),"")</f>
        <v/>
      </c>
      <c r="AP97" s="103" t="str">
        <f ca="1">IFERROR(VLOOKUP(Independent_Australia[[#This Row],[iWatch '#]],INDIRECT('Defined Ranges'!$C$28&amp;"ROrder"&amp;'Defined Ranges'!$C$29),3,FALSE),"")</f>
        <v/>
      </c>
      <c r="AQ97" s="103">
        <f t="shared" ca="1" si="8"/>
        <v>48</v>
      </c>
      <c r="AR97" s="103" cm="1">
        <f t="array" ref="AR97">_xlfn.IFS(LSelected="English",Independent_Australia[[#This Row],[Verification Type English]],LSelected="Spanish",Independent_Australia[[#This Row],[Verification Type Spanish]],LSelected="French",Independent_Australia[[#This Row],[Verification Type French]],LSelected="Portuguese",Independent_Australia[[#This Row],[Verification Type Portuguese]])</f>
        <v>0</v>
      </c>
      <c r="AS97" s="103" cm="1">
        <f t="array" ref="AS97">_xlfn.IFS(SScript="English",Independent_Australia[[#This Row],[Suggested script English]],SScript="Spanish",Independent_Australia[[#This Row],[Suggested script Spanish]],SScript="French",Independent_Australia[[#This Row],[Suggested script French]],SScript="Portuguese",Independent_Australia[[#This Row],[Suggested script Portuguese]])</f>
        <v>0</v>
      </c>
      <c r="AV97" s="103" t="s">
        <v>698</v>
      </c>
      <c r="AW97" s="353" t="s">
        <v>168</v>
      </c>
    </row>
    <row r="98" spans="4:56">
      <c r="D98" s="465" t="s">
        <v>711</v>
      </c>
      <c r="E98" s="465" t="s">
        <v>1458</v>
      </c>
      <c r="F98" s="353">
        <v>2</v>
      </c>
      <c r="G98" s="353" t="s">
        <v>609</v>
      </c>
      <c r="H98" s="353" t="s">
        <v>1459</v>
      </c>
      <c r="I98" s="353" t="s">
        <v>1460</v>
      </c>
      <c r="J98" s="353"/>
      <c r="K98" s="353"/>
      <c r="L98" s="353"/>
      <c r="M98" s="353">
        <f ca="1">IFERROR(VLOOKUP(Independent[[#This Row],[iWatch '#]],INDIRECT('Defined Ranges'!$C$28&amp;"Order"&amp;'Defined Ranges'!$C$29),2,FALSE),"")</f>
        <v>27</v>
      </c>
      <c r="N98" s="353">
        <f ca="1">IFERROR(VLOOKUP(Independent[[#This Row],[iWatch '#]],INDIRECT('Defined Ranges'!$C$28&amp;"Order"&amp;'Defined Ranges'!$C$29),3,FALSE),"")</f>
        <v>12</v>
      </c>
      <c r="O98" s="353" t="e">
        <f t="shared" si="7"/>
        <v>#VALUE!</v>
      </c>
      <c r="P98" s="353" t="str" cm="1">
        <f t="array" ref="P98">_xlfn.IFS(LSelected="English",Independent[[#This Row],[Verification Type English]],LSelected="Spanish",Independent[[#This Row],[Verification Type Spanish]],LSelected="French",Independent[[#This Row],[Verification Type French]],LSelected="Portuguese",Independent[[#This Row],[Verification Type Portuguese]])</f>
        <v>Oficial/Delegado de Cumplimiento</v>
      </c>
      <c r="Q98" s="353" t="str" cm="1">
        <f t="array" ref="Q98">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DOCUMENT REQUIRED AML &amp; Anti-Fraud P&amp;Ps (CO Designation Pages):
1) Are you the designated Compliance Officer of the location?
2) Are you the compliance officer for any other location(s)?
Would you please mention some of your main duties and responsibilities as the Compliance Officer of the store?
VERIFY CO DESIGNATION IN P&amp;P/S.</v>
      </c>
      <c r="R98" s="353"/>
      <c r="S98" s="353"/>
      <c r="T98" s="353" t="s">
        <v>698</v>
      </c>
      <c r="U98" s="353" t="s">
        <v>151</v>
      </c>
      <c r="V98" s="353" t="s">
        <v>1461</v>
      </c>
      <c r="W98" s="355" t="str">
        <f>IF('Gen Info'!$E$4="Spain","Delegado/Representante de Cumplimiento","Oficial/Delegado de Cumplimiento")</f>
        <v>Oficial/Delegado de Cumplimiento</v>
      </c>
      <c r="X98" s="353" t="s">
        <v>1462</v>
      </c>
      <c r="Y98" s="353" t="s">
        <v>156</v>
      </c>
      <c r="Z98" s="353" t="s">
        <v>1463</v>
      </c>
      <c r="AA98" s="403" t="str">
        <f>IF('Gen Info'!$E$4="Portugal","Responsável de Compliance","Diretor de Compliance")</f>
        <v>Diretor de Compliance</v>
      </c>
      <c r="AB98" s="353" t="s">
        <v>1464</v>
      </c>
      <c r="AC98" s="353"/>
      <c r="AF98" s="101" t="s">
        <v>1290</v>
      </c>
      <c r="AG98" s="101" t="s">
        <v>911</v>
      </c>
      <c r="AH98" s="103">
        <v>2</v>
      </c>
      <c r="AI98" s="101"/>
      <c r="AJ98" s="101" t="s">
        <v>912</v>
      </c>
      <c r="AK98" s="101" t="s">
        <v>1465</v>
      </c>
      <c r="AL98" s="353"/>
      <c r="AM98" s="101" t="s">
        <v>1403</v>
      </c>
      <c r="AO98" s="103" t="str">
        <f ca="1">IFERROR(VLOOKUP(Independent_Australia[[#This Row],[iWatch '#]],INDIRECT('Defined Ranges'!$C$28&amp;"ROrder"&amp;'Defined Ranges'!$C$29),2,FALSE),"")</f>
        <v/>
      </c>
      <c r="AP98" s="103" t="str">
        <f ca="1">IFERROR(VLOOKUP(Independent_Australia[[#This Row],[iWatch '#]],INDIRECT('Defined Ranges'!$C$28&amp;"ROrder"&amp;'Defined Ranges'!$C$29),3,FALSE),"")</f>
        <v/>
      </c>
      <c r="AQ98" s="103">
        <f t="shared" ca="1" si="8"/>
        <v>49</v>
      </c>
      <c r="AR98" s="103" cm="1">
        <f t="array" ref="AR98">_xlfn.IFS(LSelected="English",Independent_Australia[[#This Row],[Verification Type English]],LSelected="Spanish",Independent_Australia[[#This Row],[Verification Type Spanish]],LSelected="French",Independent_Australia[[#This Row],[Verification Type French]],LSelected="Portuguese",Independent_Australia[[#This Row],[Verification Type Portuguese]])</f>
        <v>0</v>
      </c>
      <c r="AS98" s="103" cm="1">
        <f t="array" ref="AS98">_xlfn.IFS(SScript="English",Independent_Australia[[#This Row],[Suggested script English]],SScript="Spanish",Independent_Australia[[#This Row],[Suggested script Spanish]],SScript="French",Independent_Australia[[#This Row],[Suggested script French]],SScript="Portuguese",Independent_Australia[[#This Row],[Suggested script Portuguese]])</f>
        <v>0</v>
      </c>
      <c r="AV98" s="103" t="s">
        <v>644</v>
      </c>
      <c r="AW98" s="353" t="s">
        <v>175</v>
      </c>
    </row>
    <row r="99" spans="4:56">
      <c r="D99" s="465" t="s">
        <v>723</v>
      </c>
      <c r="E99" s="465" t="s">
        <v>1466</v>
      </c>
      <c r="F99" s="353">
        <v>3</v>
      </c>
      <c r="G99" s="353" t="s">
        <v>581</v>
      </c>
      <c r="H99" s="353" t="s">
        <v>1467</v>
      </c>
      <c r="I99" s="353" t="s">
        <v>1468</v>
      </c>
      <c r="J99" s="353"/>
      <c r="K99" s="353" t="s">
        <v>1469</v>
      </c>
      <c r="L99" s="353"/>
      <c r="M99" s="353">
        <f ca="1">IFERROR(VLOOKUP(Independent[[#This Row],[iWatch '#]],INDIRECT('Defined Ranges'!$C$28&amp;"Order"&amp;'Defined Ranges'!$C$29),2,FALSE),"")</f>
        <v>28</v>
      </c>
      <c r="N99" s="353">
        <f ca="1">IFERROR(VLOOKUP(Independent[[#This Row],[iWatch '#]],INDIRECT('Defined Ranges'!$C$28&amp;"Order"&amp;'Defined Ranges'!$C$29),3,FALSE),"")</f>
        <v>13</v>
      </c>
      <c r="O99" s="353" t="e">
        <f t="shared" si="7"/>
        <v>#VALUE!</v>
      </c>
      <c r="P99" s="353" t="str" cm="1">
        <f t="array" ref="P99">_xlfn.IFS(LSelected="English",Independent[[#This Row],[Verification Type English]],LSelected="Spanish",Independent[[#This Row],[Verification Type Spanish]],LSelected="French",Independent[[#This Row],[Verification Type French]],LSelected="Portuguese",Independent[[#This Row],[Verification Type Portuguese]])</f>
        <v>Oficial/Delegado de Cumplimiento</v>
      </c>
      <c r="Q99" s="353" t="str" cm="1">
        <f t="array" ref="Q99">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Verify if the name of the AML/CFT and/or Anti-Fraud Compliance Officer/Compliance Delegate has changed since the last Program Review and if it was notified to WU.</v>
      </c>
      <c r="R99" s="353"/>
      <c r="S99" s="353"/>
      <c r="T99" s="353" t="s">
        <v>644</v>
      </c>
      <c r="U99" s="353" t="s">
        <v>151</v>
      </c>
      <c r="V99" s="353" t="s">
        <v>1470</v>
      </c>
      <c r="W99" s="355" t="str">
        <f>IF('Gen Info'!$E$4="Spain","Delegado/Representante de Cumplimiento","Oficial/Delegado de Cumplimiento")</f>
        <v>Oficial/Delegado de Cumplimiento</v>
      </c>
      <c r="X99" s="353" t="s">
        <v>1470</v>
      </c>
      <c r="Y99" s="353" t="s">
        <v>156</v>
      </c>
      <c r="Z99" s="353" t="s">
        <v>1470</v>
      </c>
      <c r="AA99" s="403" t="str">
        <f>IF('Gen Info'!$E$4="Portugal","Responsável de Compliance","Diretor de Compliance")</f>
        <v>Diretor de Compliance</v>
      </c>
      <c r="AB99" s="353" t="s">
        <v>1470</v>
      </c>
      <c r="AC99" s="353"/>
      <c r="AF99" s="101" t="s">
        <v>991</v>
      </c>
      <c r="AG99" s="101" t="s">
        <v>1471</v>
      </c>
      <c r="AH99" s="103">
        <v>2</v>
      </c>
      <c r="AI99" s="101"/>
      <c r="AJ99" s="101" t="s">
        <v>1472</v>
      </c>
      <c r="AK99" s="101" t="s">
        <v>1473</v>
      </c>
      <c r="AL99" s="353"/>
      <c r="AM99" s="101" t="s">
        <v>1403</v>
      </c>
      <c r="AO99" s="103" t="str">
        <f ca="1">IFERROR(VLOOKUP(Independent_Australia[[#This Row],[iWatch '#]],INDIRECT('Defined Ranges'!$C$28&amp;"ROrder"&amp;'Defined Ranges'!$C$29),2,FALSE),"")</f>
        <v/>
      </c>
      <c r="AP99" s="103" t="str">
        <f ca="1">IFERROR(VLOOKUP(Independent_Australia[[#This Row],[iWatch '#]],INDIRECT('Defined Ranges'!$C$28&amp;"ROrder"&amp;'Defined Ranges'!$C$29),3,FALSE),"")</f>
        <v/>
      </c>
      <c r="AQ99" s="103">
        <f t="shared" ca="1" si="8"/>
        <v>50</v>
      </c>
      <c r="AR99" s="103" cm="1">
        <f t="array" ref="AR99">_xlfn.IFS(LSelected="English",Independent_Australia[[#This Row],[Verification Type English]],LSelected="Spanish",Independent_Australia[[#This Row],[Verification Type Spanish]],LSelected="French",Independent_Australia[[#This Row],[Verification Type French]],LSelected="Portuguese",Independent_Australia[[#This Row],[Verification Type Portuguese]])</f>
        <v>0</v>
      </c>
      <c r="AS99" s="103" cm="1">
        <f t="array" ref="AS99">_xlfn.IFS(SScript="English",Independent_Australia[[#This Row],[Suggested script English]],SScript="Spanish",Independent_Australia[[#This Row],[Suggested script Spanish]],SScript="French",Independent_Australia[[#This Row],[Suggested script French]],SScript="Portuguese",Independent_Australia[[#This Row],[Suggested script Portuguese]])</f>
        <v>0</v>
      </c>
      <c r="AV99" s="103" t="s">
        <v>644</v>
      </c>
      <c r="AW99" s="353" t="s">
        <v>159</v>
      </c>
    </row>
    <row r="100" spans="4:56">
      <c r="D100" s="465" t="s">
        <v>753</v>
      </c>
      <c r="E100" s="465" t="s">
        <v>1474</v>
      </c>
      <c r="F100" s="353">
        <v>2</v>
      </c>
      <c r="G100" s="353" t="s">
        <v>609</v>
      </c>
      <c r="H100" s="353" t="s">
        <v>1475</v>
      </c>
      <c r="I100" s="353" t="s">
        <v>1476</v>
      </c>
      <c r="J100" s="353"/>
      <c r="K100" s="353"/>
      <c r="L100" s="353"/>
      <c r="M100" s="353">
        <f ca="1">IFERROR(VLOOKUP(Independent[[#This Row],[iWatch '#]],INDIRECT('Defined Ranges'!$C$28&amp;"Order"&amp;'Defined Ranges'!$C$29),2,FALSE),"")</f>
        <v>25</v>
      </c>
      <c r="N100" s="353">
        <f ca="1">IFERROR(VLOOKUP(Independent[[#This Row],[iWatch '#]],INDIRECT('Defined Ranges'!$C$28&amp;"Order"&amp;'Defined Ranges'!$C$29),3,FALSE),"")</f>
        <v>15</v>
      </c>
      <c r="O100" s="353" t="e">
        <f t="shared" si="7"/>
        <v>#VALUE!</v>
      </c>
      <c r="P100" s="353" t="str" cm="1">
        <f t="array" ref="P100">_xlfn.IFS(LSelected="English",Independent[[#This Row],[Verification Type English]],LSelected="Spanish",Independent[[#This Row],[Verification Type Spanish]],LSelected="French",Independent[[#This Row],[Verification Type French]],LSelected="Portuguese",Independent[[#This Row],[Verification Type Portuguese]])</f>
        <v>Oficial/Delegado de Cumplimiento</v>
      </c>
      <c r="Q100" s="353" t="str" cm="1">
        <f t="array" ref="Q100">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1. How can you identify possible terrorist financing? 2. Why is it important to have an AML/CFT and Anti-fraud program in place? 3 What are some of the most relevant AML/CFT and Anti-Fraud risks in your business/geography?</v>
      </c>
      <c r="R100" s="353"/>
      <c r="S100" s="353"/>
      <c r="T100" s="353" t="s">
        <v>585</v>
      </c>
      <c r="U100" s="353" t="s">
        <v>151</v>
      </c>
      <c r="V100" s="353" t="s">
        <v>1477</v>
      </c>
      <c r="W100" s="355" t="str">
        <f>IF('Gen Info'!$E$4="Spain","Delegado/Representante de Cumplimiento","Oficial/Delegado de Cumplimiento")</f>
        <v>Oficial/Delegado de Cumplimiento</v>
      </c>
      <c r="X100" s="353" t="s">
        <v>1478</v>
      </c>
      <c r="Y100" s="353" t="s">
        <v>156</v>
      </c>
      <c r="Z100" s="353" t="s">
        <v>1479</v>
      </c>
      <c r="AA100" s="403" t="str">
        <f>IF('Gen Info'!$E$4="Portugal","Responsável de Compliance","Diretor de Compliance")</f>
        <v>Diretor de Compliance</v>
      </c>
      <c r="AB100" s="353" t="s">
        <v>1480</v>
      </c>
      <c r="AC100" s="353"/>
      <c r="AF100" s="101" t="s">
        <v>1191</v>
      </c>
      <c r="AG100" s="101" t="s">
        <v>1481</v>
      </c>
      <c r="AH100" s="103">
        <v>3</v>
      </c>
      <c r="AI100" s="101"/>
      <c r="AJ100" s="101" t="s">
        <v>1482</v>
      </c>
      <c r="AK100" s="101" t="s">
        <v>1483</v>
      </c>
      <c r="AL100" s="353"/>
      <c r="AM100" s="101" t="s">
        <v>1484</v>
      </c>
      <c r="AO100" s="103" t="str">
        <f ca="1">IFERROR(VLOOKUP(Independent_Australia[[#This Row],[iWatch '#]],INDIRECT('Defined Ranges'!$C$28&amp;"ROrder"&amp;'Defined Ranges'!$C$29),2,FALSE),"")</f>
        <v/>
      </c>
      <c r="AP100" s="103" t="str">
        <f ca="1">IFERROR(VLOOKUP(Independent_Australia[[#This Row],[iWatch '#]],INDIRECT('Defined Ranges'!$C$28&amp;"ROrder"&amp;'Defined Ranges'!$C$29),3,FALSE),"")</f>
        <v/>
      </c>
      <c r="AQ100" s="103">
        <f t="shared" ca="1" si="8"/>
        <v>51</v>
      </c>
      <c r="AR100" s="103" cm="1">
        <f t="array" ref="AR100">_xlfn.IFS(LSelected="English",Independent_Australia[[#This Row],[Verification Type English]],LSelected="Spanish",Independent_Australia[[#This Row],[Verification Type Spanish]],LSelected="French",Independent_Australia[[#This Row],[Verification Type French]],LSelected="Portuguese",Independent_Australia[[#This Row],[Verification Type Portuguese]])</f>
        <v>0</v>
      </c>
      <c r="AS100" s="103" cm="1">
        <f t="array" ref="AS100">_xlfn.IFS(SScript="English",Independent_Australia[[#This Row],[Suggested script English]],SScript="Spanish",Independent_Australia[[#This Row],[Suggested script Spanish]],SScript="French",Independent_Australia[[#This Row],[Suggested script French]],SScript="Portuguese",Independent_Australia[[#This Row],[Suggested script Portuguese]])</f>
        <v>0</v>
      </c>
      <c r="AV100" s="103" t="s">
        <v>644</v>
      </c>
      <c r="AW100" s="353" t="s">
        <v>197</v>
      </c>
    </row>
    <row r="101" spans="4:56">
      <c r="D101" s="465" t="s">
        <v>761</v>
      </c>
      <c r="E101" s="465" t="s">
        <v>1485</v>
      </c>
      <c r="F101" s="353">
        <v>2</v>
      </c>
      <c r="G101" s="353" t="s">
        <v>609</v>
      </c>
      <c r="H101" s="353" t="s">
        <v>1486</v>
      </c>
      <c r="I101" s="353" t="s">
        <v>1487</v>
      </c>
      <c r="J101" s="353"/>
      <c r="K101" s="353"/>
      <c r="L101" s="353"/>
      <c r="M101" s="353">
        <f ca="1">IFERROR(VLOOKUP(Independent[[#This Row],[iWatch '#]],INDIRECT('Defined Ranges'!$C$28&amp;"Order"&amp;'Defined Ranges'!$C$29),2,FALSE),"")</f>
        <v>26</v>
      </c>
      <c r="N101" s="353">
        <f ca="1">IFERROR(VLOOKUP(Independent[[#This Row],[iWatch '#]],INDIRECT('Defined Ranges'!$C$28&amp;"Order"&amp;'Defined Ranges'!$C$29),3,FALSE),"")</f>
        <v>16</v>
      </c>
      <c r="O101" s="353" t="e">
        <f t="shared" si="7"/>
        <v>#VALUE!</v>
      </c>
      <c r="P101" s="353" t="str" cm="1">
        <f t="array" ref="P101">_xlfn.IFS(LSelected="English",Independent[[#This Row],[Verification Type English]],LSelected="Spanish",Independent[[#This Row],[Verification Type Spanish]],LSelected="French",Independent[[#This Row],[Verification Type French]],LSelected="Portuguese",Independent[[#This Row],[Verification Type Portuguese]])</f>
        <v>Oficial/Delegado de Cumplimiento</v>
      </c>
      <c r="Q101" s="353" t="str" cm="1">
        <f t="array" ref="Q101">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DOCUMENTS REQUIRED AML P&amp;Ps with CO Responsibilities: Answered by reviewing Agent's Policies and Procedures document received prior or during the call.</v>
      </c>
      <c r="R101" s="353"/>
      <c r="S101" s="353"/>
      <c r="T101" s="353" t="s">
        <v>644</v>
      </c>
      <c r="U101" s="353" t="s">
        <v>151</v>
      </c>
      <c r="V101" s="353" t="s">
        <v>1488</v>
      </c>
      <c r="W101" s="355" t="str">
        <f>IF('Gen Info'!$E$4="Spain","Delegado/Representante de Cumplimiento","Oficial/Delegado de Cumplimiento")</f>
        <v>Oficial/Delegado de Cumplimiento</v>
      </c>
      <c r="X101" s="353" t="s">
        <v>1488</v>
      </c>
      <c r="Y101" s="353" t="s">
        <v>156</v>
      </c>
      <c r="Z101" s="353" t="s">
        <v>1488</v>
      </c>
      <c r="AA101" s="403" t="str">
        <f>IF('Gen Info'!$E$4="Portugal","Responsável de Compliance","Diretor de Compliance")</f>
        <v>Diretor de Compliance</v>
      </c>
      <c r="AB101" s="353" t="s">
        <v>1488</v>
      </c>
      <c r="AC101" s="353"/>
      <c r="AF101" s="101" t="s">
        <v>1207</v>
      </c>
      <c r="AG101" s="101" t="s">
        <v>1489</v>
      </c>
      <c r="AI101" s="101"/>
      <c r="AJ101" s="101" t="s">
        <v>1403</v>
      </c>
      <c r="AK101" s="101" t="s">
        <v>1403</v>
      </c>
      <c r="AL101" s="353"/>
      <c r="AM101" s="101" t="s">
        <v>1403</v>
      </c>
      <c r="AO101" s="103" t="str">
        <f ca="1">IFERROR(VLOOKUP(Independent_Australia[[#This Row],[iWatch '#]],INDIRECT('Defined Ranges'!$C$28&amp;"ROrder"&amp;'Defined Ranges'!$C$29),2,FALSE),"")</f>
        <v/>
      </c>
      <c r="AP101" s="103" t="str">
        <f ca="1">IFERROR(VLOOKUP(Independent_Australia[[#This Row],[iWatch '#]],INDIRECT('Defined Ranges'!$C$28&amp;"ROrder"&amp;'Defined Ranges'!$C$29),3,FALSE),"")</f>
        <v/>
      </c>
      <c r="AQ101" s="103">
        <f t="shared" ca="1" si="8"/>
        <v>52</v>
      </c>
      <c r="AR101" s="103" cm="1">
        <f t="array" ref="AR101">_xlfn.IFS(LSelected="English",Independent_Australia[[#This Row],[Verification Type English]],LSelected="Spanish",Independent_Australia[[#This Row],[Verification Type Spanish]],LSelected="French",Independent_Australia[[#This Row],[Verification Type French]],LSelected="Portuguese",Independent_Australia[[#This Row],[Verification Type Portuguese]])</f>
        <v>0</v>
      </c>
      <c r="AS101" s="103" cm="1">
        <f t="array" ref="AS101">_xlfn.IFS(SScript="English",Independent_Australia[[#This Row],[Suggested script English]],SScript="Spanish",Independent_Australia[[#This Row],[Suggested script Spanish]],SScript="French",Independent_Australia[[#This Row],[Suggested script French]],SScript="Portuguese",Independent_Australia[[#This Row],[Suggested script Portuguese]])</f>
        <v>0</v>
      </c>
      <c r="AW101" s="353"/>
    </row>
    <row r="102" spans="4:56">
      <c r="D102" s="465" t="s">
        <v>638</v>
      </c>
      <c r="E102" s="465" t="s">
        <v>1490</v>
      </c>
      <c r="F102" s="353">
        <v>3</v>
      </c>
      <c r="G102" s="353" t="s">
        <v>581</v>
      </c>
      <c r="H102" s="353" t="s">
        <v>1491</v>
      </c>
      <c r="I102" s="353" t="s">
        <v>1492</v>
      </c>
      <c r="J102" s="353"/>
      <c r="K102" s="353" t="s">
        <v>1493</v>
      </c>
      <c r="L102" s="353"/>
      <c r="M102" s="353">
        <f ca="1">IFERROR(VLOOKUP(Independent[[#This Row],[iWatch '#]],INDIRECT('Defined Ranges'!$C$28&amp;"Order"&amp;'Defined Ranges'!$C$29),2,FALSE),"")</f>
        <v>4</v>
      </c>
      <c r="N102" s="353">
        <f ca="1">IFERROR(VLOOKUP(Independent[[#This Row],[iWatch '#]],INDIRECT('Defined Ranges'!$C$28&amp;"Order"&amp;'Defined Ranges'!$C$29),3,FALSE),"")</f>
        <v>7</v>
      </c>
      <c r="O102" s="353" t="e">
        <f t="shared" si="7"/>
        <v>#VALUE!</v>
      </c>
      <c r="P102" s="353" t="str" cm="1">
        <f t="array" ref="P102">_xlfn.IFS(LSelected="English",Independent[[#This Row],[Verification Type English]],LSelected="Spanish",Independent[[#This Row],[Verification Type Spanish]],LSelected="French",Independent[[#This Row],[Verification Type French]],LSelected="Portuguese",Independent[[#This Row],[Verification Type Portuguese]])</f>
        <v>Historial de Cumplimiento</v>
      </c>
      <c r="Q102" s="353" t="str" cm="1">
        <f t="array" ref="Q102">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 xml:space="preserve"> INSTRUCTION to WUCO: In case a finding has not been remediated current PR would still apply, but we are required to collect remediation evidence for both Resolved Onsite or Response Required scenarios. The difference would be the Agent’s response whether they have taken the appropriate actions and are able to provide the evidence during the review or not. In case we are not able to collect the evidence for finding being remediated, we are required to move the case to BO and attach the document in previous case (if it is still open) or in current one (if it is closed). We consider this a rare scenario as it is not frequent to find open previous PRs, but it is important to notice that in case WUCO considers the information submitted to remediate findings is insufficient or it was not provided at all finding is to be assigned.</v>
      </c>
      <c r="R102" s="353"/>
      <c r="S102" s="353"/>
      <c r="T102" s="353" t="s">
        <v>644</v>
      </c>
      <c r="U102" s="353" t="s">
        <v>146</v>
      </c>
      <c r="V102" s="353" t="s">
        <v>1494</v>
      </c>
      <c r="W102" s="353" t="s">
        <v>147</v>
      </c>
      <c r="X102" s="353" t="s">
        <v>1494</v>
      </c>
      <c r="Y102" s="353" t="s">
        <v>148</v>
      </c>
      <c r="Z102" s="353" t="s">
        <v>1494</v>
      </c>
      <c r="AA102" s="399" t="s">
        <v>149</v>
      </c>
      <c r="AB102" s="353" t="s">
        <v>1494</v>
      </c>
      <c r="AC102" s="353"/>
      <c r="AF102" s="101" t="s">
        <v>1087</v>
      </c>
      <c r="AG102" s="101" t="s">
        <v>1495</v>
      </c>
      <c r="AH102" s="103">
        <v>3</v>
      </c>
      <c r="AI102" s="101"/>
      <c r="AJ102" s="101" t="s">
        <v>1496</v>
      </c>
      <c r="AK102" s="101" t="s">
        <v>1497</v>
      </c>
      <c r="AL102" s="353"/>
      <c r="AM102" s="101" t="s">
        <v>1498</v>
      </c>
      <c r="AO102" s="103" t="str">
        <f ca="1">IFERROR(VLOOKUP(Independent_Australia[[#This Row],[iWatch '#]],INDIRECT('Defined Ranges'!$C$28&amp;"ROrder"&amp;'Defined Ranges'!$C$29),2,FALSE),"")</f>
        <v/>
      </c>
      <c r="AP102" s="103" t="str">
        <f ca="1">IFERROR(VLOOKUP(Independent_Australia[[#This Row],[iWatch '#]],INDIRECT('Defined Ranges'!$C$28&amp;"ROrder"&amp;'Defined Ranges'!$C$29),3,FALSE),"")</f>
        <v/>
      </c>
      <c r="AQ102" s="103">
        <f t="shared" ca="1" si="8"/>
        <v>53</v>
      </c>
      <c r="AR102" s="103" cm="1">
        <f t="array" ref="AR102">_xlfn.IFS(LSelected="English",Independent_Australia[[#This Row],[Verification Type English]],LSelected="Spanish",Independent_Australia[[#This Row],[Verification Type Spanish]],LSelected="French",Independent_Australia[[#This Row],[Verification Type French]],LSelected="Portuguese",Independent_Australia[[#This Row],[Verification Type Portuguese]])</f>
        <v>0</v>
      </c>
      <c r="AS102" s="103" cm="1">
        <f t="array" ref="AS102">_xlfn.IFS(SScript="English",Independent_Australia[[#This Row],[Suggested script English]],SScript="Spanish",Independent_Australia[[#This Row],[Suggested script Spanish]],SScript="French",Independent_Australia[[#This Row],[Suggested script French]],SScript="Portuguese",Independent_Australia[[#This Row],[Suggested script Portuguese]])</f>
        <v>0</v>
      </c>
      <c r="AV102" s="103" t="s">
        <v>644</v>
      </c>
      <c r="AW102" s="353" t="s">
        <v>197</v>
      </c>
    </row>
    <row r="103" spans="4:56">
      <c r="D103" s="465" t="s">
        <v>661</v>
      </c>
      <c r="E103" s="465" t="s">
        <v>662</v>
      </c>
      <c r="F103" s="353">
        <v>2</v>
      </c>
      <c r="G103" s="353" t="s">
        <v>609</v>
      </c>
      <c r="H103" s="353" t="s">
        <v>1499</v>
      </c>
      <c r="I103" s="353" t="s">
        <v>1500</v>
      </c>
      <c r="J103" s="353"/>
      <c r="K103" s="353"/>
      <c r="L103" s="353"/>
      <c r="M103" s="353">
        <f ca="1">IFERROR(VLOOKUP(Independent[[#This Row],[iWatch '#]],INDIRECT('Defined Ranges'!$C$28&amp;"Order"&amp;'Defined Ranges'!$C$29),2,FALSE),"")</f>
        <v>6</v>
      </c>
      <c r="N103" s="353">
        <f ca="1">IFERROR(VLOOKUP(Independent[[#This Row],[iWatch '#]],INDIRECT('Defined Ranges'!$C$28&amp;"Order"&amp;'Defined Ranges'!$C$29),3,FALSE),"")</f>
        <v>9</v>
      </c>
      <c r="O103" s="353" t="e">
        <f t="shared" si="7"/>
        <v>#VALUE!</v>
      </c>
      <c r="P103" s="353" t="str" cm="1">
        <f t="array" ref="P103">_xlfn.IFS(LSelected="English",Independent[[#This Row],[Verification Type English]],LSelected="Spanish",Independent[[#This Row],[Verification Type Spanish]],LSelected="French",Independent[[#This Row],[Verification Type French]],LSelected="Portuguese",Independent[[#This Row],[Verification Type Portuguese]])</f>
        <v>Disponibilidad de la Localidad</v>
      </c>
      <c r="Q103" s="353" t="str" cm="1">
        <f t="array" ref="Q103">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Before getting started, let's go ahead and verify the name of the location, address and phone number.</v>
      </c>
      <c r="R103" s="353"/>
      <c r="S103" s="353"/>
      <c r="T103" s="353" t="s">
        <v>585</v>
      </c>
      <c r="U103" s="353" t="s">
        <v>141</v>
      </c>
      <c r="V103" s="353" t="s">
        <v>665</v>
      </c>
      <c r="W103" s="355" t="str">
        <f>IF('Gen Info'!$E$4="Spain","Preparación del Agente","Disponibilidad de la Localidad")</f>
        <v>Disponibilidad de la Localidad</v>
      </c>
      <c r="X103" s="353" t="s">
        <v>666</v>
      </c>
      <c r="Y103" s="355" t="str">
        <f>IF('Gen Info'!$E$4="Canada","État de préparation des agents","État de préparation de l'Agent")</f>
        <v>État de préparation de l'Agent</v>
      </c>
      <c r="Z103" s="353" t="s">
        <v>1501</v>
      </c>
      <c r="AA103" s="399" t="s">
        <v>144</v>
      </c>
      <c r="AB103" s="353" t="s">
        <v>668</v>
      </c>
      <c r="AC103" s="353"/>
      <c r="AF103" s="101" t="s">
        <v>1101</v>
      </c>
      <c r="AG103" s="101" t="s">
        <v>1489</v>
      </c>
      <c r="AI103" s="101"/>
      <c r="AJ103" s="101" t="s">
        <v>1403</v>
      </c>
      <c r="AK103" s="101" t="s">
        <v>1403</v>
      </c>
      <c r="AL103" s="353"/>
      <c r="AM103" s="101" t="s">
        <v>1403</v>
      </c>
      <c r="AO103" s="103" t="str">
        <f ca="1">IFERROR(VLOOKUP(Independent_Australia[[#This Row],[iWatch '#]],INDIRECT('Defined Ranges'!$C$28&amp;"ROrder"&amp;'Defined Ranges'!$C$29),2,FALSE),"")</f>
        <v/>
      </c>
      <c r="AP103" s="103" t="str">
        <f ca="1">IFERROR(VLOOKUP(Independent_Australia[[#This Row],[iWatch '#]],INDIRECT('Defined Ranges'!$C$28&amp;"ROrder"&amp;'Defined Ranges'!$C$29),3,FALSE),"")</f>
        <v/>
      </c>
      <c r="AQ103" s="103">
        <f t="shared" ca="1" si="8"/>
        <v>54</v>
      </c>
      <c r="AR103" s="103" cm="1">
        <f t="array" ref="AR103">_xlfn.IFS(LSelected="English",Independent_Australia[[#This Row],[Verification Type English]],LSelected="Spanish",Independent_Australia[[#This Row],[Verification Type Spanish]],LSelected="French",Independent_Australia[[#This Row],[Verification Type French]],LSelected="Portuguese",Independent_Australia[[#This Row],[Verification Type Portuguese]])</f>
        <v>0</v>
      </c>
      <c r="AS103" s="103" cm="1">
        <f t="array" ref="AS103">_xlfn.IFS(SScript="English",Independent_Australia[[#This Row],[Suggested script English]],SScript="Spanish",Independent_Australia[[#This Row],[Suggested script Spanish]],SScript="French",Independent_Australia[[#This Row],[Suggested script French]],SScript="Portuguese",Independent_Australia[[#This Row],[Suggested script Portuguese]])</f>
        <v>0</v>
      </c>
      <c r="AW103" s="353"/>
    </row>
    <row r="104" spans="4:56">
      <c r="D104" s="465" t="s">
        <v>677</v>
      </c>
      <c r="E104" s="465" t="s">
        <v>1502</v>
      </c>
      <c r="F104" s="353">
        <v>2</v>
      </c>
      <c r="G104" s="353" t="s">
        <v>609</v>
      </c>
      <c r="H104" s="353" t="s">
        <v>1503</v>
      </c>
      <c r="I104" s="353" t="s">
        <v>1504</v>
      </c>
      <c r="J104" s="353"/>
      <c r="K104" s="353"/>
      <c r="L104" s="353"/>
      <c r="M104" s="353">
        <f ca="1">IFERROR(VLOOKUP(Independent[[#This Row],[iWatch '#]],INDIRECT('Defined Ranges'!$C$28&amp;"Order"&amp;'Defined Ranges'!$C$29),2,FALSE),"")</f>
        <v>7</v>
      </c>
      <c r="N104" s="353">
        <f ca="1">IFERROR(VLOOKUP(Independent[[#This Row],[iWatch '#]],INDIRECT('Defined Ranges'!$C$28&amp;"Order"&amp;'Defined Ranges'!$C$29),3,FALSE),"")</f>
        <v>10</v>
      </c>
      <c r="O104" s="353" t="e">
        <f t="shared" si="7"/>
        <v>#VALUE!</v>
      </c>
      <c r="P104" s="353" t="str" cm="1">
        <f t="array" ref="P104">_xlfn.IFS(LSelected="English",Independent[[#This Row],[Verification Type English]],LSelected="Spanish",Independent[[#This Row],[Verification Type Spanish]],LSelected="French",Independent[[#This Row],[Verification Type French]],LSelected="Portuguese",Independent[[#This Row],[Verification Type Portuguese]])</f>
        <v>Disponibilidad de la Localidad</v>
      </c>
      <c r="Q104" s="353" t="str" cm="1">
        <f t="array" ref="Q104">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Can you please confirm what type of business is this?</v>
      </c>
      <c r="R104" s="353"/>
      <c r="S104" s="353"/>
      <c r="T104" s="353" t="s">
        <v>1505</v>
      </c>
      <c r="U104" s="353" t="s">
        <v>141</v>
      </c>
      <c r="V104" s="353" t="s">
        <v>1506</v>
      </c>
      <c r="W104" s="402" t="str">
        <f>IF('Gen Info'!$E$4="Spain","Preparación del Agente","Disponibilidad de la Localidad")</f>
        <v>Disponibilidad de la Localidad</v>
      </c>
      <c r="X104" s="353" t="s">
        <v>1507</v>
      </c>
      <c r="Y104" s="355" t="str">
        <f>IF('Gen Info'!$E$4="Canada","État de préparation des agents","État de préparation de l'Agent")</f>
        <v>État de préparation de l'Agent</v>
      </c>
      <c r="Z104" s="353" t="s">
        <v>1508</v>
      </c>
      <c r="AA104" s="399" t="s">
        <v>144</v>
      </c>
      <c r="AB104" s="353" t="s">
        <v>1509</v>
      </c>
      <c r="AC104" s="353"/>
    </row>
    <row r="105" spans="4:56">
      <c r="D105" s="465" t="s">
        <v>693</v>
      </c>
      <c r="E105" s="465" t="s">
        <v>1510</v>
      </c>
      <c r="F105" s="353">
        <v>2</v>
      </c>
      <c r="G105" s="353" t="s">
        <v>609</v>
      </c>
      <c r="H105" s="353" t="s">
        <v>1511</v>
      </c>
      <c r="I105" s="353" t="s">
        <v>1512</v>
      </c>
      <c r="J105" s="353"/>
      <c r="K105" s="353"/>
      <c r="L105" s="353"/>
      <c r="M105" s="353">
        <f ca="1">IFERROR(VLOOKUP(Independent[[#This Row],[iWatch '#]],INDIRECT('Defined Ranges'!$C$28&amp;"Order"&amp;'Defined Ranges'!$C$29),2,FALSE),"")</f>
        <v>19</v>
      </c>
      <c r="N105" s="353">
        <f ca="1">IFERROR(VLOOKUP(Independent[[#This Row],[iWatch '#]],INDIRECT('Defined Ranges'!$C$28&amp;"Order"&amp;'Defined Ranges'!$C$29),3,FALSE),"")</f>
        <v>11</v>
      </c>
      <c r="O105" s="353" t="e">
        <f t="shared" si="7"/>
        <v>#VALUE!</v>
      </c>
      <c r="P105" s="353" t="str" cm="1">
        <f t="array" ref="P105">_xlfn.IFS(LSelected="English",Independent[[#This Row],[Verification Type English]],LSelected="Spanish",Independent[[#This Row],[Verification Type Spanish]],LSelected="French",Independent[[#This Row],[Verification Type French]],LSelected="Portuguese",Independent[[#This Row],[Verification Type Portuguese]])</f>
        <v>Disponibilidad de la Localidad</v>
      </c>
      <c r="Q105" s="353" t="str" cm="1">
        <f t="array" ref="Q105">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Can you please confirm the ownership details of the location?</v>
      </c>
      <c r="R105" s="353"/>
      <c r="S105" s="353"/>
      <c r="T105" s="353" t="s">
        <v>853</v>
      </c>
      <c r="U105" s="353" t="s">
        <v>141</v>
      </c>
      <c r="V105" s="353" t="s">
        <v>1513</v>
      </c>
      <c r="W105" s="355" t="str">
        <f>IF('Gen Info'!$E$4="Spain","Preparación del Agente","Disponibilidad de la Localidad")</f>
        <v>Disponibilidad de la Localidad</v>
      </c>
      <c r="X105" s="353" t="s">
        <v>1514</v>
      </c>
      <c r="Y105" s="355" t="str">
        <f>IF('Gen Info'!$E$4="Canada","État de préparation des agents","État de préparation de l'Agent")</f>
        <v>État de préparation de l'Agent</v>
      </c>
      <c r="Z105" s="353" t="s">
        <v>1515</v>
      </c>
      <c r="AA105" s="399" t="s">
        <v>144</v>
      </c>
      <c r="AB105" s="353" t="s">
        <v>1516</v>
      </c>
      <c r="AC105" s="353"/>
    </row>
    <row r="106" spans="4:56">
      <c r="D106" s="465" t="s">
        <v>1517</v>
      </c>
      <c r="E106" s="465" t="s">
        <v>1518</v>
      </c>
      <c r="F106" s="353">
        <v>3</v>
      </c>
      <c r="G106" s="353" t="s">
        <v>581</v>
      </c>
      <c r="H106" s="353" t="s">
        <v>1519</v>
      </c>
      <c r="I106" s="353" t="s">
        <v>1520</v>
      </c>
      <c r="J106" s="353"/>
      <c r="K106" s="353" t="s">
        <v>1521</v>
      </c>
      <c r="L106" s="353"/>
      <c r="M106" s="353" t="str">
        <f ca="1">IFERROR(VLOOKUP(Independent[[#This Row],[iWatch '#]],INDIRECT('Defined Ranges'!$C$28&amp;"Order"&amp;'Defined Ranges'!$C$29),2,FALSE),"")</f>
        <v/>
      </c>
      <c r="N106" s="353" t="str">
        <f ca="1">IFERROR(VLOOKUP(Independent[[#This Row],[iWatch '#]],INDIRECT('Defined Ranges'!$C$28&amp;"Order"&amp;'Defined Ranges'!$C$29),3,FALSE),"")</f>
        <v/>
      </c>
      <c r="O106" s="353" t="e">
        <f t="shared" si="7"/>
        <v>#VALUE!</v>
      </c>
      <c r="P106" s="353" t="str" cm="1">
        <f t="array" ref="P106">_xlfn.IFS(LSelected="English",Independent[[#This Row],[Verification Type English]],LSelected="Spanish",Independent[[#This Row],[Verification Type Spanish]],LSelected="French",Independent[[#This Row],[Verification Type French]],LSelected="Portuguese",Independent[[#This Row],[Verification Type Portuguese]])</f>
        <v>Disponibilidad de la Localidad</v>
      </c>
      <c r="Q106" s="353" t="str" cm="1">
        <f t="array" ref="Q106">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1) How many operators are authorized to process transactions and Money Orders?
2) Does each operator use a unique user ID and password to process MTs/MOs?
MAKE SURE YOU VERIFY THE INFO GIVEN BY THE AGENT AGAINST WU SYSTEMS.
Note: IF NOT USING UNIQUE IDs: May I have the full names of the other authorized people?</v>
      </c>
      <c r="R106" s="353"/>
      <c r="S106" s="353"/>
      <c r="T106" s="353" t="s">
        <v>683</v>
      </c>
      <c r="U106" s="353" t="s">
        <v>141</v>
      </c>
      <c r="V106" s="353" t="s">
        <v>1522</v>
      </c>
      <c r="W106" s="402" t="str">
        <f>IF('Gen Info'!$E$4="Spain","Preparación del Agente","Disponibilidad de la Localidad")</f>
        <v>Disponibilidad de la Localidad</v>
      </c>
      <c r="X106" s="353" t="s">
        <v>1523</v>
      </c>
      <c r="Y106" s="355" t="str">
        <f>IF('Gen Info'!$E$4="Canada","État de préparation des agents","État de préparation de l'Agent")</f>
        <v>État de préparation de l'Agent</v>
      </c>
      <c r="Z106" s="353" t="s">
        <v>1524</v>
      </c>
      <c r="AA106" s="399" t="s">
        <v>144</v>
      </c>
      <c r="AB106" s="353" t="s">
        <v>1525</v>
      </c>
      <c r="AC106" s="353"/>
    </row>
    <row r="107" spans="4:56">
      <c r="D107" s="413" t="s">
        <v>576</v>
      </c>
      <c r="E107" s="353" t="s">
        <v>1526</v>
      </c>
      <c r="F107" s="353"/>
      <c r="G107" s="353"/>
      <c r="H107" s="353" t="s">
        <v>1527</v>
      </c>
      <c r="I107" s="353"/>
      <c r="J107" s="353"/>
      <c r="K107" s="353"/>
      <c r="L107" s="355" t="str" cm="1">
        <f t="array" ref="L107">LocationInfo[WUCO
Name]</f>
        <v>enter manually</v>
      </c>
      <c r="M107" s="353">
        <f ca="1">IFERROR(VLOOKUP(Independent[[#This Row],[iWatch '#]],INDIRECT('Defined Ranges'!$C$28&amp;"Order"&amp;'Defined Ranges'!$C$29),2,FALSE),"")</f>
        <v>1</v>
      </c>
      <c r="N107" s="353">
        <f ca="1">IFERROR(VLOOKUP(Independent[[#This Row],[iWatch '#]],INDIRECT('Defined Ranges'!$C$28&amp;"Order"&amp;'Defined Ranges'!$C$29),3,FALSE),"")</f>
        <v>1</v>
      </c>
      <c r="O107" s="353">
        <v>1</v>
      </c>
      <c r="P107" s="353" cm="1">
        <f t="array" ref="P107">_xlfn.IFS(LSelected="English",Independent[[#This Row],[Verification Type English]],LSelected="Spanish",Independent[[#This Row],[Verification Type Spanish]],LSelected="French",Independent[[#This Row],[Verification Type French]],LSelected="Portuguese",Independent[[#This Row],[Verification Type Portuguese]])</f>
        <v>0</v>
      </c>
      <c r="Q107" s="353" t="str" cm="1">
        <f t="array" ref="Q107">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 xml:space="preserve"> </v>
      </c>
      <c r="R107" s="353"/>
      <c r="S107" s="353" t="s">
        <v>654</v>
      </c>
      <c r="T107" s="353"/>
      <c r="U107" s="353"/>
      <c r="V107" s="353" t="s">
        <v>42</v>
      </c>
      <c r="W107" s="464"/>
      <c r="X107" s="353" t="s">
        <v>42</v>
      </c>
      <c r="Y107" s="353"/>
      <c r="Z107" s="353" t="s">
        <v>42</v>
      </c>
      <c r="AA107" s="399"/>
      <c r="AB107" s="353" t="s">
        <v>42</v>
      </c>
      <c r="AC107" s="353"/>
    </row>
    <row r="108" spans="4:56">
      <c r="D108" s="413" t="s">
        <v>589</v>
      </c>
      <c r="E108" s="353" t="s">
        <v>1528</v>
      </c>
      <c r="F108" s="353"/>
      <c r="G108" s="353"/>
      <c r="H108" s="353" t="s">
        <v>591</v>
      </c>
      <c r="I108" s="353"/>
      <c r="J108" s="353"/>
      <c r="K108" s="353"/>
      <c r="L108" s="400">
        <f>IF('Gen Info'!$B$7=0,"",'Gen Info'!$B$7)</f>
        <v>45902</v>
      </c>
      <c r="M108" s="353">
        <f ca="1">IFERROR(VLOOKUP(Independent[[#This Row],[iWatch '#]],INDIRECT('Defined Ranges'!$C$28&amp;"Order"&amp;'Defined Ranges'!$C$29),2,FALSE),"")</f>
        <v>2</v>
      </c>
      <c r="N108" s="353">
        <f ca="1">IFERROR(VLOOKUP(Independent[[#This Row],[iWatch '#]],INDIRECT('Defined Ranges'!$C$28&amp;"Order"&amp;'Defined Ranges'!$C$29),3,FALSE),"")</f>
        <v>2</v>
      </c>
      <c r="O108" s="353">
        <f t="shared" ref="O108:O125" si="9">O107+1</f>
        <v>2</v>
      </c>
      <c r="P108" s="353" cm="1">
        <f t="array" ref="P108">_xlfn.IFS(LSelected="English",Independent[[#This Row],[Verification Type English]],LSelected="Spanish",Independent[[#This Row],[Verification Type Spanish]],LSelected="French",Independent[[#This Row],[Verification Type French]],LSelected="Portuguese",Independent[[#This Row],[Verification Type Portuguese]])</f>
        <v>0</v>
      </c>
      <c r="Q108" s="353" t="str" cm="1">
        <f t="array" ref="Q108">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 xml:space="preserve"> </v>
      </c>
      <c r="R108" s="353"/>
      <c r="S108" s="353"/>
      <c r="T108" s="353"/>
      <c r="U108" s="353"/>
      <c r="V108" s="353" t="s">
        <v>42</v>
      </c>
      <c r="W108" s="464"/>
      <c r="X108" s="353" t="s">
        <v>42</v>
      </c>
      <c r="Y108" s="353"/>
      <c r="Z108" s="353" t="s">
        <v>42</v>
      </c>
      <c r="AA108" s="399"/>
      <c r="AB108" s="353" t="s">
        <v>42</v>
      </c>
      <c r="AC108" s="353"/>
      <c r="AF108" s="103" t="s">
        <v>69</v>
      </c>
      <c r="AG108" s="103" t="s">
        <v>120</v>
      </c>
      <c r="AH108" s="103" t="s">
        <v>552</v>
      </c>
      <c r="AI108" s="103" t="s">
        <v>553</v>
      </c>
      <c r="AJ108" s="103" t="s">
        <v>573</v>
      </c>
      <c r="AK108" s="103" t="s">
        <v>574</v>
      </c>
      <c r="AL108" s="103" t="s">
        <v>575</v>
      </c>
      <c r="AM108" s="103" t="s">
        <v>557</v>
      </c>
      <c r="AN108" s="103" t="s">
        <v>558</v>
      </c>
      <c r="AO108" s="103" t="s">
        <v>559</v>
      </c>
      <c r="AP108" s="103" t="s">
        <v>115</v>
      </c>
      <c r="AQ108" s="103" t="s">
        <v>68</v>
      </c>
      <c r="AR108" s="103" t="s">
        <v>560</v>
      </c>
      <c r="AS108" s="103" t="s">
        <v>561</v>
      </c>
      <c r="AT108" s="103" t="s">
        <v>562</v>
      </c>
      <c r="AU108" s="103" t="s">
        <v>563</v>
      </c>
      <c r="AV108" s="103" t="s">
        <v>564</v>
      </c>
      <c r="AW108" s="103" t="s">
        <v>565</v>
      </c>
      <c r="AX108" s="103" t="s">
        <v>566</v>
      </c>
      <c r="AY108" s="103" t="s">
        <v>567</v>
      </c>
      <c r="AZ108" s="103" t="s">
        <v>568</v>
      </c>
      <c r="BA108" s="103" t="s">
        <v>569</v>
      </c>
      <c r="BB108" s="103" t="s">
        <v>570</v>
      </c>
      <c r="BC108" s="103" t="s">
        <v>571</v>
      </c>
      <c r="BD108" s="103" t="s">
        <v>572</v>
      </c>
    </row>
    <row r="109" spans="4:56">
      <c r="D109" s="413" t="s">
        <v>598</v>
      </c>
      <c r="E109" s="413" t="s">
        <v>599</v>
      </c>
      <c r="F109" s="353"/>
      <c r="G109" s="353"/>
      <c r="H109" s="353" t="s">
        <v>600</v>
      </c>
      <c r="I109" s="353"/>
      <c r="J109" s="353"/>
      <c r="K109" s="353"/>
      <c r="L109" s="404" t="str">
        <f>'Call Flow'!$L$5</f>
        <v>Carlos Eduardo
carlos.cedillo@progressa.mx</v>
      </c>
      <c r="M109" s="353">
        <f ca="1">IFERROR(VLOOKUP(Independent[[#This Row],[iWatch '#]],INDIRECT('Defined Ranges'!$C$28&amp;"Order"&amp;'Defined Ranges'!$C$29),2,FALSE),"")</f>
        <v>3</v>
      </c>
      <c r="N109" s="353">
        <f ca="1">IFERROR(VLOOKUP(Independent[[#This Row],[iWatch '#]],INDIRECT('Defined Ranges'!$C$28&amp;"Order"&amp;'Defined Ranges'!$C$29),3,FALSE),"")</f>
        <v>3</v>
      </c>
      <c r="O109" s="353">
        <f t="shared" si="9"/>
        <v>3</v>
      </c>
      <c r="P109" s="353" cm="1">
        <f t="array" ref="P109">_xlfn.IFS(LSelected="English",Independent[[#This Row],[Verification Type English]],LSelected="Spanish",Independent[[#This Row],[Verification Type Spanish]],LSelected="French",Independent[[#This Row],[Verification Type French]],LSelected="Portuguese",Independent[[#This Row],[Verification Type Portuguese]])</f>
        <v>0</v>
      </c>
      <c r="Q109" s="353" t="str" cm="1">
        <f t="array" ref="Q109">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 xml:space="preserve"> </v>
      </c>
      <c r="R109" s="353"/>
      <c r="S109" s="353"/>
      <c r="T109" s="353"/>
      <c r="U109" s="353"/>
      <c r="V109" s="353" t="s">
        <v>42</v>
      </c>
      <c r="W109" s="464"/>
      <c r="X109" s="353" t="s">
        <v>42</v>
      </c>
      <c r="Y109" s="353"/>
      <c r="Z109" s="353" t="s">
        <v>42</v>
      </c>
      <c r="AA109" s="399"/>
      <c r="AB109" s="353" t="s">
        <v>42</v>
      </c>
      <c r="AC109" s="353"/>
      <c r="AF109" s="103" t="s">
        <v>630</v>
      </c>
      <c r="AG109" s="103" t="s">
        <v>1529</v>
      </c>
      <c r="AH109" s="103">
        <v>2</v>
      </c>
      <c r="AJ109" s="103" t="s">
        <v>1530</v>
      </c>
      <c r="AK109" s="103" t="s">
        <v>1531</v>
      </c>
      <c r="AM109" s="103" t="s">
        <v>1532</v>
      </c>
      <c r="AO109" s="103" t="str">
        <f ca="1">IFERROR(VLOOKUP(Independent_NewZeland[[#This Row],[iWatch '#]],INDIRECT('Defined Ranges'!$C$28&amp;"ROrder"&amp;'Defined Ranges'!$C$29),2,FALSE),"")</f>
        <v/>
      </c>
      <c r="AP109" s="103" t="str">
        <f ca="1">IFERROR(VLOOKUP(Independent_NewZeland[[#This Row],[iWatch '#]],INDIRECT('Defined Ranges'!$C$28&amp;"ROrder"&amp;'Defined Ranges'!$C$29),3,FALSE),"")</f>
        <v/>
      </c>
      <c r="AQ109" s="103">
        <f ca="1">'Defined Ranges'!$D$23+1</f>
        <v>42</v>
      </c>
      <c r="AR109" s="103" cm="1">
        <f t="array" ref="AR109">_xlfn.IFS(LSelected="English",Independent_NewZeland[[#This Row],[Verification Type English]],LSelected="Spanish",Independent_NewZeland[[#This Row],[Verification Type Spanish]],LSelected="French",Independent_NewZeland[[#This Row],[Verification Type French]],LSelected="Portuguese",Independent_NewZeland[[#This Row],[Verification Type Portuguese]])</f>
        <v>0</v>
      </c>
      <c r="AS109" s="103" cm="1">
        <f t="array" ref="AS109">_xlfn.IFS(SScript="English",Independent_NewZeland[[#This Row],[Suggested script English]],SScript="Spanish",Independent_NewZeland[[#This Row],[Suggested script Spanish]],SScript="French",Independent_NewZeland[[#This Row],[Suggested script French]],SScript="Portuguese",Independent_NewZeland[[#This Row],[Suggested script Portuguese]])</f>
        <v>0</v>
      </c>
      <c r="AV109" s="103" t="s">
        <v>644</v>
      </c>
      <c r="AW109" s="353" t="s">
        <v>141</v>
      </c>
    </row>
    <row r="110" spans="4:56">
      <c r="D110" s="413" t="s">
        <v>607</v>
      </c>
      <c r="E110" s="413" t="s">
        <v>1533</v>
      </c>
      <c r="F110" s="353"/>
      <c r="G110" s="353"/>
      <c r="H110" s="353" t="s">
        <v>1534</v>
      </c>
      <c r="I110" s="353"/>
      <c r="J110" s="353"/>
      <c r="K110" s="353"/>
      <c r="L110" s="353"/>
      <c r="M110" s="353">
        <f ca="1">IFERROR(VLOOKUP(Independent[[#This Row],[iWatch '#]],INDIRECT('Defined Ranges'!$C$28&amp;"Order"&amp;'Defined Ranges'!$C$29),2,FALSE),"")</f>
        <v>39</v>
      </c>
      <c r="N110" s="353">
        <f ca="1">IFERROR(VLOOKUP(Independent[[#This Row],[iWatch '#]],INDIRECT('Defined Ranges'!$C$28&amp;"Order"&amp;'Defined Ranges'!$C$29),3,FALSE),"")</f>
        <v>4</v>
      </c>
      <c r="O110" s="353">
        <f t="shared" si="9"/>
        <v>4</v>
      </c>
      <c r="P110" s="353" cm="1">
        <f t="array" ref="P110">_xlfn.IFS(LSelected="English",Independent[[#This Row],[Verification Type English]],LSelected="Spanish",Independent[[#This Row],[Verification Type Spanish]],LSelected="French",Independent[[#This Row],[Verification Type French]],LSelected="Portuguese",Independent[[#This Row],[Verification Type Portuguese]])</f>
        <v>0</v>
      </c>
      <c r="Q110" s="353" t="str" cm="1">
        <f t="array" ref="Q110">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 xml:space="preserve"> </v>
      </c>
      <c r="R110" s="353"/>
      <c r="S110" s="353"/>
      <c r="T110" s="353"/>
      <c r="U110" s="353"/>
      <c r="V110" s="353" t="s">
        <v>42</v>
      </c>
      <c r="W110" s="464"/>
      <c r="X110" s="353" t="s">
        <v>42</v>
      </c>
      <c r="Y110" s="353"/>
      <c r="Z110" s="353" t="s">
        <v>42</v>
      </c>
      <c r="AA110" s="399"/>
      <c r="AB110" s="353" t="s">
        <v>42</v>
      </c>
      <c r="AC110" s="353"/>
      <c r="AF110" s="103" t="s">
        <v>803</v>
      </c>
      <c r="AG110" s="103" t="s">
        <v>1535</v>
      </c>
      <c r="AH110" s="103">
        <v>2</v>
      </c>
      <c r="AO110" s="103" t="str">
        <f ca="1">IFERROR(VLOOKUP(Independent_NewZeland[[#This Row],[iWatch '#]],INDIRECT('Defined Ranges'!$C$28&amp;"ROrder"&amp;'Defined Ranges'!$C$29),2,FALSE),"")</f>
        <v/>
      </c>
      <c r="AP110" s="103" t="str">
        <f ca="1">IFERROR(VLOOKUP(Independent_NewZeland[[#This Row],[iWatch '#]],INDIRECT('Defined Ranges'!$C$28&amp;"ROrder"&amp;'Defined Ranges'!$C$29),3,FALSE),"")</f>
        <v/>
      </c>
      <c r="AQ110" s="103">
        <f ca="1">AQ109+1</f>
        <v>43</v>
      </c>
      <c r="AR110" s="103" cm="1">
        <f t="array" ref="AR110">_xlfn.IFS(LSelected="English",Independent_NewZeland[[#This Row],[Verification Type English]],LSelected="Spanish",Independent_NewZeland[[#This Row],[Verification Type Spanish]],LSelected="French",Independent_NewZeland[[#This Row],[Verification Type French]],LSelected="Portuguese",Independent_NewZeland[[#This Row],[Verification Type Portuguese]])</f>
        <v>0</v>
      </c>
      <c r="AS110" s="103" cm="1">
        <f t="array" ref="AS110">_xlfn.IFS(SScript="English",Independent_NewZeland[[#This Row],[Suggested script English]],SScript="Spanish",Independent_NewZeland[[#This Row],[Suggested script Spanish]],SScript="French",Independent_NewZeland[[#This Row],[Suggested script French]],SScript="Portuguese",Independent_NewZeland[[#This Row],[Suggested script Portuguese]])</f>
        <v>0</v>
      </c>
      <c r="AV110" s="103" t="s">
        <v>644</v>
      </c>
      <c r="AW110" s="353" t="s">
        <v>141</v>
      </c>
    </row>
    <row r="111" spans="4:56">
      <c r="D111" s="413" t="s">
        <v>618</v>
      </c>
      <c r="E111" s="413" t="s">
        <v>1536</v>
      </c>
      <c r="F111" s="353"/>
      <c r="G111" s="353"/>
      <c r="H111" s="353" t="s">
        <v>1537</v>
      </c>
      <c r="I111" s="353"/>
      <c r="J111" s="353"/>
      <c r="K111" s="353"/>
      <c r="L111" s="353"/>
      <c r="M111" s="353">
        <f ca="1">IFERROR(VLOOKUP(Independent[[#This Row],[iWatch '#]],INDIRECT('Defined Ranges'!$C$28&amp;"Order"&amp;'Defined Ranges'!$C$29),2,FALSE),"")</f>
        <v>40</v>
      </c>
      <c r="N111" s="353">
        <f ca="1">IFERROR(VLOOKUP(Independent[[#This Row],[iWatch '#]],INDIRECT('Defined Ranges'!$C$28&amp;"Order"&amp;'Defined Ranges'!$C$29),3,FALSE),"")</f>
        <v>5</v>
      </c>
      <c r="O111" s="353">
        <f t="shared" si="9"/>
        <v>5</v>
      </c>
      <c r="P111" s="353" cm="1">
        <f t="array" ref="P111">_xlfn.IFS(LSelected="English",Independent[[#This Row],[Verification Type English]],LSelected="Spanish",Independent[[#This Row],[Verification Type Spanish]],LSelected="French",Independent[[#This Row],[Verification Type French]],LSelected="Portuguese",Independent[[#This Row],[Verification Type Portuguese]])</f>
        <v>0</v>
      </c>
      <c r="Q111" s="353" t="str" cm="1">
        <f t="array" ref="Q111">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 xml:space="preserve"> </v>
      </c>
      <c r="R111" s="353"/>
      <c r="S111" s="353"/>
      <c r="T111" s="353"/>
      <c r="U111" s="353"/>
      <c r="V111" s="353" t="s">
        <v>42</v>
      </c>
      <c r="W111" s="464"/>
      <c r="X111" s="353" t="s">
        <v>42</v>
      </c>
      <c r="Y111" s="353"/>
      <c r="Z111" s="353" t="s">
        <v>42</v>
      </c>
      <c r="AA111" s="399"/>
      <c r="AB111" s="353" t="s">
        <v>42</v>
      </c>
      <c r="AC111" s="353"/>
      <c r="AF111" s="103" t="s">
        <v>810</v>
      </c>
      <c r="AG111" s="103" t="s">
        <v>1538</v>
      </c>
      <c r="AO111" s="103" t="str">
        <f ca="1">IFERROR(VLOOKUP(Independent_NewZeland[[#This Row],[iWatch '#]],INDIRECT('Defined Ranges'!$C$28&amp;"ROrder"&amp;'Defined Ranges'!$C$29),2,FALSE),"")</f>
        <v/>
      </c>
      <c r="AP111" s="103" t="str">
        <f ca="1">IFERROR(VLOOKUP(Independent_NewZeland[[#This Row],[iWatch '#]],INDIRECT('Defined Ranges'!$C$28&amp;"ROrder"&amp;'Defined Ranges'!$C$29),3,FALSE),"")</f>
        <v/>
      </c>
      <c r="AQ111" s="103">
        <f t="shared" ref="AQ111:AQ116" ca="1" si="10">AQ110+1</f>
        <v>44</v>
      </c>
      <c r="AR111" s="103" cm="1">
        <f t="array" ref="AR111">_xlfn.IFS(LSelected="English",Independent_NewZeland[[#This Row],[Verification Type English]],LSelected="Spanish",Independent_NewZeland[[#This Row],[Verification Type Spanish]],LSelected="French",Independent_NewZeland[[#This Row],[Verification Type French]],LSelected="Portuguese",Independent_NewZeland[[#This Row],[Verification Type Portuguese]])</f>
        <v>0</v>
      </c>
      <c r="AS111" s="103" cm="1">
        <f t="array" ref="AS111">_xlfn.IFS(SScript="English",Independent_NewZeland[[#This Row],[Suggested script English]],SScript="Spanish",Independent_NewZeland[[#This Row],[Suggested script Spanish]],SScript="French",Independent_NewZeland[[#This Row],[Suggested script French]],SScript="Portuguese",Independent_NewZeland[[#This Row],[Suggested script Portuguese]])</f>
        <v>0</v>
      </c>
    </row>
    <row r="112" spans="4:56">
      <c r="D112" s="413" t="s">
        <v>628</v>
      </c>
      <c r="E112" s="413" t="s">
        <v>629</v>
      </c>
      <c r="F112" s="353"/>
      <c r="G112" s="353"/>
      <c r="H112" s="353"/>
      <c r="I112" s="353"/>
      <c r="J112" s="353"/>
      <c r="K112" s="353"/>
      <c r="L112" s="353" t="s">
        <v>1539</v>
      </c>
      <c r="M112" s="353">
        <f ca="1">IFERROR(VLOOKUP(Independent[[#This Row],[iWatch '#]],INDIRECT('Defined Ranges'!$C$28&amp;"Order"&amp;'Defined Ranges'!$C$29),2,FALSE),"")</f>
        <v>41</v>
      </c>
      <c r="N112" s="353">
        <f ca="1">IFERROR(VLOOKUP(Independent[[#This Row],[iWatch '#]],INDIRECT('Defined Ranges'!$C$28&amp;"Order"&amp;'Defined Ranges'!$C$29),3,FALSE),"")</f>
        <v>6</v>
      </c>
      <c r="O112" s="353">
        <f t="shared" si="9"/>
        <v>6</v>
      </c>
      <c r="P112" s="353" cm="1">
        <f t="array" ref="P112">_xlfn.IFS(LSelected="English",Independent[[#This Row],[Verification Type English]],LSelected="Spanish",Independent[[#This Row],[Verification Type Spanish]],LSelected="French",Independent[[#This Row],[Verification Type French]],LSelected="Portuguese",Independent[[#This Row],[Verification Type Portuguese]])</f>
        <v>0</v>
      </c>
      <c r="Q112" s="353" cm="1">
        <f t="array" ref="Q112">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0</v>
      </c>
      <c r="R112" s="353"/>
      <c r="S112" s="353"/>
      <c r="T112" s="353"/>
      <c r="U112" s="353"/>
      <c r="V112" s="353"/>
      <c r="W112" s="353"/>
      <c r="X112" s="353"/>
      <c r="Y112" s="353"/>
      <c r="Z112" s="353"/>
      <c r="AA112" s="399"/>
      <c r="AB112" s="353"/>
      <c r="AC112" s="353"/>
      <c r="AF112" s="103" t="s">
        <v>991</v>
      </c>
      <c r="AG112" s="103" t="s">
        <v>1540</v>
      </c>
      <c r="AH112" s="103">
        <v>2</v>
      </c>
      <c r="AO112" s="103" t="str">
        <f ca="1">IFERROR(VLOOKUP(Independent_NewZeland[[#This Row],[iWatch '#]],INDIRECT('Defined Ranges'!$C$28&amp;"ROrder"&amp;'Defined Ranges'!$C$29),2,FALSE),"")</f>
        <v/>
      </c>
      <c r="AP112" s="103" t="str">
        <f ca="1">IFERROR(VLOOKUP(Independent_NewZeland[[#This Row],[iWatch '#]],INDIRECT('Defined Ranges'!$C$28&amp;"ROrder"&amp;'Defined Ranges'!$C$29),3,FALSE),"")</f>
        <v/>
      </c>
      <c r="AQ112" s="103">
        <f t="shared" ca="1" si="10"/>
        <v>45</v>
      </c>
      <c r="AR112" s="103" cm="1">
        <f t="array" ref="AR112">_xlfn.IFS(LSelected="English",Independent_NewZeland[[#This Row],[Verification Type English]],LSelected="Spanish",Independent_NewZeland[[#This Row],[Verification Type Spanish]],LSelected="French",Independent_NewZeland[[#This Row],[Verification Type French]],LSelected="Portuguese",Independent_NewZeland[[#This Row],[Verification Type Portuguese]])</f>
        <v>0</v>
      </c>
      <c r="AS112" s="103" cm="1">
        <f t="array" ref="AS112">_xlfn.IFS(SScript="English",Independent_NewZeland[[#This Row],[Suggested script English]],SScript="Spanish",Independent_NewZeland[[#This Row],[Suggested script Spanish]],SScript="French",Independent_NewZeland[[#This Row],[Suggested script French]],SScript="Portuguese",Independent_NewZeland[[#This Row],[Suggested script Portuguese]])</f>
        <v>0</v>
      </c>
      <c r="AV112" s="103" t="s">
        <v>644</v>
      </c>
      <c r="AW112" s="353" t="s">
        <v>159</v>
      </c>
    </row>
    <row r="113" spans="4:56">
      <c r="D113" s="413" t="s">
        <v>1541</v>
      </c>
      <c r="E113" s="413" t="s">
        <v>1542</v>
      </c>
      <c r="F113" s="353"/>
      <c r="G113" s="353"/>
      <c r="H113" s="353"/>
      <c r="I113" s="353"/>
      <c r="J113" s="353"/>
      <c r="K113" s="353"/>
      <c r="L113" s="353" t="s">
        <v>100</v>
      </c>
      <c r="M113" s="353" t="str">
        <f ca="1">IFERROR(VLOOKUP(Independent[[#This Row],[iWatch '#]],INDIRECT('Defined Ranges'!$C$28&amp;"Order"&amp;'Defined Ranges'!$C$29),2,FALSE),"")</f>
        <v/>
      </c>
      <c r="N113" s="353" t="str">
        <f ca="1">IFERROR(VLOOKUP(Independent[[#This Row],[iWatch '#]],INDIRECT('Defined Ranges'!$C$28&amp;"Order"&amp;'Defined Ranges'!$C$29),3,FALSE),"")</f>
        <v/>
      </c>
      <c r="O113" s="353">
        <f t="shared" si="9"/>
        <v>7</v>
      </c>
      <c r="P113" s="353" cm="1">
        <f t="array" ref="P113">_xlfn.IFS(LSelected="English",Independent[[#This Row],[Verification Type English]],LSelected="Spanish",Independent[[#This Row],[Verification Type Spanish]],LSelected="French",Independent[[#This Row],[Verification Type French]],LSelected="Portuguese",Independent[[#This Row],[Verification Type Portuguese]])</f>
        <v>0</v>
      </c>
      <c r="Q113" s="353" t="str" cm="1">
        <f t="array" ref="Q113">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 xml:space="preserve"> </v>
      </c>
      <c r="R113" s="353"/>
      <c r="S113" s="353"/>
      <c r="T113" s="353"/>
      <c r="U113" s="353"/>
      <c r="V113" s="353" t="s">
        <v>42</v>
      </c>
      <c r="W113" s="353"/>
      <c r="X113" s="353" t="s">
        <v>42</v>
      </c>
      <c r="Y113" s="353"/>
      <c r="Z113" s="353" t="s">
        <v>42</v>
      </c>
      <c r="AA113" s="399"/>
      <c r="AB113" s="353" t="s">
        <v>42</v>
      </c>
      <c r="AC113" s="353"/>
      <c r="AF113" s="103" t="s">
        <v>1191</v>
      </c>
      <c r="AG113" s="103" t="s">
        <v>1543</v>
      </c>
      <c r="AH113" s="103">
        <v>2</v>
      </c>
      <c r="AO113" s="103" t="str">
        <f ca="1">IFERROR(VLOOKUP(Independent_NewZeland[[#This Row],[iWatch '#]],INDIRECT('Defined Ranges'!$C$28&amp;"ROrder"&amp;'Defined Ranges'!$C$29),2,FALSE),"")</f>
        <v/>
      </c>
      <c r="AP113" s="103" t="str">
        <f ca="1">IFERROR(VLOOKUP(Independent_NewZeland[[#This Row],[iWatch '#]],INDIRECT('Defined Ranges'!$C$28&amp;"ROrder"&amp;'Defined Ranges'!$C$29),3,FALSE),"")</f>
        <v/>
      </c>
      <c r="AQ113" s="103">
        <f t="shared" ca="1" si="10"/>
        <v>46</v>
      </c>
      <c r="AR113" s="103" cm="1">
        <f t="array" ref="AR113">_xlfn.IFS(LSelected="English",Independent_NewZeland[[#This Row],[Verification Type English]],LSelected="Spanish",Independent_NewZeland[[#This Row],[Verification Type Spanish]],LSelected="French",Independent_NewZeland[[#This Row],[Verification Type French]],LSelected="Portuguese",Independent_NewZeland[[#This Row],[Verification Type Portuguese]])</f>
        <v>0</v>
      </c>
      <c r="AS113" s="103" cm="1">
        <f t="array" ref="AS113">_xlfn.IFS(SScript="English",Independent_NewZeland[[#This Row],[Suggested script English]],SScript="Spanish",Independent_NewZeland[[#This Row],[Suggested script Spanish]],SScript="French",Independent_NewZeland[[#This Row],[Suggested script French]],SScript="Portuguese",Independent_NewZeland[[#This Row],[Suggested script Portuguese]])</f>
        <v>0</v>
      </c>
      <c r="AV113" s="103" t="s">
        <v>644</v>
      </c>
      <c r="AW113" s="353" t="s">
        <v>197</v>
      </c>
    </row>
    <row r="114" spans="4:56">
      <c r="D114" s="413" t="s">
        <v>1544</v>
      </c>
      <c r="E114" s="413" t="s">
        <v>1545</v>
      </c>
      <c r="F114" s="353">
        <v>2</v>
      </c>
      <c r="G114" s="353" t="s">
        <v>609</v>
      </c>
      <c r="H114" s="353" t="s">
        <v>1546</v>
      </c>
      <c r="I114" s="353" t="s">
        <v>1547</v>
      </c>
      <c r="J114" s="353"/>
      <c r="K114" s="353"/>
      <c r="L114" s="353"/>
      <c r="M114" s="353" t="str">
        <f ca="1">IFERROR(VLOOKUP(Independent[[#This Row],[iWatch '#]],INDIRECT('Defined Ranges'!$C$28&amp;"Order"&amp;'Defined Ranges'!$C$29),2,FALSE),"")</f>
        <v/>
      </c>
      <c r="N114" s="353" t="str">
        <f ca="1">IFERROR(VLOOKUP(Independent[[#This Row],[iWatch '#]],INDIRECT('Defined Ranges'!$C$28&amp;"Order"&amp;'Defined Ranges'!$C$29),3,FALSE),"")</f>
        <v/>
      </c>
      <c r="O114" s="353">
        <f t="shared" si="9"/>
        <v>8</v>
      </c>
      <c r="P114" s="353" cm="1">
        <f t="array" ref="P114">_xlfn.IFS(LSelected="English",Independent[[#This Row],[Verification Type English]],LSelected="Spanish",Independent[[#This Row],[Verification Type Spanish]],LSelected="French",Independent[[#This Row],[Verification Type French]],LSelected="Portuguese",Independent[[#This Row],[Verification Type Portuguese]])</f>
        <v>0</v>
      </c>
      <c r="Q114" s="353" t="str" cm="1">
        <f t="array" ref="Q114">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This is an EFRAL question.</v>
      </c>
      <c r="R114" s="353"/>
      <c r="S114" s="353"/>
      <c r="T114" s="353"/>
      <c r="U114" s="353"/>
      <c r="V114" s="353" t="s">
        <v>910</v>
      </c>
      <c r="W114" s="353"/>
      <c r="X114" s="353" t="s">
        <v>910</v>
      </c>
      <c r="Y114" s="353"/>
      <c r="Z114" s="353" t="s">
        <v>910</v>
      </c>
      <c r="AA114" s="399"/>
      <c r="AB114" s="353" t="s">
        <v>910</v>
      </c>
      <c r="AC114" s="353"/>
      <c r="AF114" s="103" t="s">
        <v>1207</v>
      </c>
      <c r="AG114" s="103" t="s">
        <v>880</v>
      </c>
      <c r="AO114" s="103" t="str">
        <f ca="1">IFERROR(VLOOKUP(Independent_NewZeland[[#This Row],[iWatch '#]],INDIRECT('Defined Ranges'!$C$28&amp;"ROrder"&amp;'Defined Ranges'!$C$29),2,FALSE),"")</f>
        <v/>
      </c>
      <c r="AP114" s="103" t="str">
        <f ca="1">IFERROR(VLOOKUP(Independent_NewZeland[[#This Row],[iWatch '#]],INDIRECT('Defined Ranges'!$C$28&amp;"ROrder"&amp;'Defined Ranges'!$C$29),3,FALSE),"")</f>
        <v/>
      </c>
      <c r="AQ114" s="103">
        <f t="shared" ca="1" si="10"/>
        <v>47</v>
      </c>
      <c r="AR114" s="103" cm="1">
        <f t="array" ref="AR114">_xlfn.IFS(LSelected="English",Independent_NewZeland[[#This Row],[Verification Type English]],LSelected="Spanish",Independent_NewZeland[[#This Row],[Verification Type Spanish]],LSelected="French",Independent_NewZeland[[#This Row],[Verification Type French]],LSelected="Portuguese",Independent_NewZeland[[#This Row],[Verification Type Portuguese]])</f>
        <v>0</v>
      </c>
      <c r="AS114" s="103" cm="1">
        <f t="array" ref="AS114">_xlfn.IFS(SScript="English",Independent_NewZeland[[#This Row],[Suggested script English]],SScript="Spanish",Independent_NewZeland[[#This Row],[Suggested script Spanish]],SScript="French",Independent_NewZeland[[#This Row],[Suggested script French]],SScript="Portuguese",Independent_NewZeland[[#This Row],[Suggested script Portuguese]])</f>
        <v>0</v>
      </c>
    </row>
    <row r="115" spans="4:56">
      <c r="D115" s="353" t="s">
        <v>1548</v>
      </c>
      <c r="E115" s="353" t="s">
        <v>1549</v>
      </c>
      <c r="F115" s="353">
        <v>2</v>
      </c>
      <c r="G115" s="353" t="s">
        <v>609</v>
      </c>
      <c r="H115" s="353" t="s">
        <v>1550</v>
      </c>
      <c r="I115" s="353" t="s">
        <v>1551</v>
      </c>
      <c r="J115" s="353"/>
      <c r="K115" s="353"/>
      <c r="L115" s="353"/>
      <c r="M115" s="353" t="str">
        <f ca="1">IFERROR(VLOOKUP(Independent[[#This Row],[iWatch '#]],INDIRECT('Defined Ranges'!$C$28&amp;"Order"&amp;'Defined Ranges'!$C$29),2,FALSE),"")</f>
        <v/>
      </c>
      <c r="N115" s="353" t="str">
        <f ca="1">IFERROR(VLOOKUP(Independent[[#This Row],[iWatch '#]],INDIRECT('Defined Ranges'!$C$28&amp;"Order"&amp;'Defined Ranges'!$C$29),3,FALSE),"")</f>
        <v/>
      </c>
      <c r="O115" s="353">
        <f t="shared" si="9"/>
        <v>9</v>
      </c>
      <c r="P115" s="353" cm="1">
        <f t="array" ref="P115">_xlfn.IFS(LSelected="English",Independent[[#This Row],[Verification Type English]],LSelected="Spanish",Independent[[#This Row],[Verification Type Spanish]],LSelected="French",Independent[[#This Row],[Verification Type French]],LSelected="Portuguese",Independent[[#This Row],[Verification Type Portuguese]])</f>
        <v>0</v>
      </c>
      <c r="Q115" s="353" t="str" cm="1">
        <f t="array" ref="Q115">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This is an EFRAL question.</v>
      </c>
      <c r="R115" s="353"/>
      <c r="S115" s="353"/>
      <c r="T115" s="353"/>
      <c r="U115" s="353"/>
      <c r="V115" s="353" t="s">
        <v>910</v>
      </c>
      <c r="W115" s="353"/>
      <c r="X115" s="353" t="s">
        <v>910</v>
      </c>
      <c r="Y115" s="353"/>
      <c r="Z115" s="353" t="s">
        <v>910</v>
      </c>
      <c r="AA115" s="399"/>
      <c r="AB115" s="353" t="s">
        <v>910</v>
      </c>
      <c r="AC115" s="353"/>
      <c r="AF115" s="103" t="s">
        <v>1087</v>
      </c>
      <c r="AG115" s="103" t="s">
        <v>1552</v>
      </c>
      <c r="AH115" s="103">
        <v>2</v>
      </c>
      <c r="AO115" s="103" t="str">
        <f ca="1">IFERROR(VLOOKUP(Independent_NewZeland[[#This Row],[iWatch '#]],INDIRECT('Defined Ranges'!$C$28&amp;"ROrder"&amp;'Defined Ranges'!$C$29),2,FALSE),"")</f>
        <v/>
      </c>
      <c r="AP115" s="103" t="str">
        <f ca="1">IFERROR(VLOOKUP(Independent_NewZeland[[#This Row],[iWatch '#]],INDIRECT('Defined Ranges'!$C$28&amp;"ROrder"&amp;'Defined Ranges'!$C$29),3,FALSE),"")</f>
        <v/>
      </c>
      <c r="AQ115" s="103">
        <f t="shared" ca="1" si="10"/>
        <v>48</v>
      </c>
      <c r="AR115" s="103" cm="1">
        <f t="array" ref="AR115">_xlfn.IFS(LSelected="English",Independent_NewZeland[[#This Row],[Verification Type English]],LSelected="Spanish",Independent_NewZeland[[#This Row],[Verification Type Spanish]],LSelected="French",Independent_NewZeland[[#This Row],[Verification Type French]],LSelected="Portuguese",Independent_NewZeland[[#This Row],[Verification Type Portuguese]])</f>
        <v>0</v>
      </c>
      <c r="AS115" s="103" cm="1">
        <f t="array" ref="AS115">_xlfn.IFS(SScript="English",Independent_NewZeland[[#This Row],[Suggested script English]],SScript="Spanish",Independent_NewZeland[[#This Row],[Suggested script Spanish]],SScript="French",Independent_NewZeland[[#This Row],[Suggested script French]],SScript="Portuguese",Independent_NewZeland[[#This Row],[Suggested script Portuguese]])</f>
        <v>0</v>
      </c>
      <c r="AV115" s="103" t="s">
        <v>644</v>
      </c>
      <c r="AW115" s="353" t="s">
        <v>197</v>
      </c>
    </row>
    <row r="116" spans="4:56">
      <c r="D116" s="353" t="s">
        <v>1553</v>
      </c>
      <c r="E116" s="353" t="s">
        <v>1554</v>
      </c>
      <c r="F116" s="353"/>
      <c r="G116" s="353"/>
      <c r="H116" s="353"/>
      <c r="I116" s="353"/>
      <c r="J116" s="353"/>
      <c r="K116" s="353"/>
      <c r="L116" s="353"/>
      <c r="M116" s="353" t="str">
        <f ca="1">IFERROR(VLOOKUP(Independent[[#This Row],[iWatch '#]],INDIRECT('Defined Ranges'!$C$28&amp;"Order"&amp;'Defined Ranges'!$C$29),2,FALSE),"")</f>
        <v/>
      </c>
      <c r="N116" s="353" t="str">
        <f ca="1">IFERROR(VLOOKUP(Independent[[#This Row],[iWatch '#]],INDIRECT('Defined Ranges'!$C$28&amp;"Order"&amp;'Defined Ranges'!$C$29),3,FALSE),"")</f>
        <v/>
      </c>
      <c r="O116" s="353">
        <f t="shared" si="9"/>
        <v>10</v>
      </c>
      <c r="P116" s="353" cm="1">
        <f t="array" ref="P116">_xlfn.IFS(LSelected="English",Independent[[#This Row],[Verification Type English]],LSelected="Spanish",Independent[[#This Row],[Verification Type Spanish]],LSelected="French",Independent[[#This Row],[Verification Type French]],LSelected="Portuguese",Independent[[#This Row],[Verification Type Portuguese]])</f>
        <v>0</v>
      </c>
      <c r="Q116" s="353" t="str" cm="1">
        <f t="array" ref="Q116">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This is an EFRAL question.</v>
      </c>
      <c r="R116" s="353"/>
      <c r="S116" s="353"/>
      <c r="T116" s="353"/>
      <c r="U116" s="353"/>
      <c r="V116" s="353" t="s">
        <v>910</v>
      </c>
      <c r="W116" s="353"/>
      <c r="X116" s="353" t="s">
        <v>910</v>
      </c>
      <c r="Y116" s="353"/>
      <c r="Z116" s="353" t="s">
        <v>910</v>
      </c>
      <c r="AA116" s="399"/>
      <c r="AB116" s="353" t="s">
        <v>910</v>
      </c>
      <c r="AC116" s="353"/>
      <c r="AF116" s="103" t="s">
        <v>1101</v>
      </c>
      <c r="AG116" s="103" t="s">
        <v>880</v>
      </c>
      <c r="AO116" s="103" t="str">
        <f ca="1">IFERROR(VLOOKUP(Independent_NewZeland[[#This Row],[iWatch '#]],INDIRECT('Defined Ranges'!$C$28&amp;"ROrder"&amp;'Defined Ranges'!$C$29),2,FALSE),"")</f>
        <v/>
      </c>
      <c r="AP116" s="103" t="str">
        <f ca="1">IFERROR(VLOOKUP(Independent_NewZeland[[#This Row],[iWatch '#]],INDIRECT('Defined Ranges'!$C$28&amp;"ROrder"&amp;'Defined Ranges'!$C$29),3,FALSE),"")</f>
        <v/>
      </c>
      <c r="AQ116" s="103">
        <f t="shared" ca="1" si="10"/>
        <v>49</v>
      </c>
      <c r="AR116" s="103" cm="1">
        <f t="array" ref="AR116">_xlfn.IFS(LSelected="English",Independent_NewZeland[[#This Row],[Verification Type English]],LSelected="Spanish",Independent_NewZeland[[#This Row],[Verification Type Spanish]],LSelected="French",Independent_NewZeland[[#This Row],[Verification Type French]],LSelected="Portuguese",Independent_NewZeland[[#This Row],[Verification Type Portuguese]])</f>
        <v>0</v>
      </c>
      <c r="AS116" s="103" cm="1">
        <f t="array" ref="AS116">_xlfn.IFS(SScript="English",Independent_NewZeland[[#This Row],[Suggested script English]],SScript="Spanish",Independent_NewZeland[[#This Row],[Suggested script Spanish]],SScript="French",Independent_NewZeland[[#This Row],[Suggested script French]],SScript="Portuguese",Independent_NewZeland[[#This Row],[Suggested script Portuguese]])</f>
        <v>0</v>
      </c>
    </row>
    <row r="117" spans="4:56">
      <c r="D117" s="353" t="s">
        <v>1555</v>
      </c>
      <c r="E117" s="353" t="s">
        <v>1556</v>
      </c>
      <c r="F117" s="353">
        <v>2</v>
      </c>
      <c r="G117" s="353" t="s">
        <v>609</v>
      </c>
      <c r="H117" s="353" t="s">
        <v>1557</v>
      </c>
      <c r="I117" s="353" t="s">
        <v>1558</v>
      </c>
      <c r="J117" s="353"/>
      <c r="K117" s="353"/>
      <c r="L117" s="353"/>
      <c r="M117" s="353" t="str">
        <f ca="1">IFERROR(VLOOKUP(Independent[[#This Row],[iWatch '#]],INDIRECT('Defined Ranges'!$C$28&amp;"Order"&amp;'Defined Ranges'!$C$29),2,FALSE),"")</f>
        <v/>
      </c>
      <c r="N117" s="353" t="str">
        <f ca="1">IFERROR(VLOOKUP(Independent[[#This Row],[iWatch '#]],INDIRECT('Defined Ranges'!$C$28&amp;"Order"&amp;'Defined Ranges'!$C$29),3,FALSE),"")</f>
        <v/>
      </c>
      <c r="O117" s="353">
        <f t="shared" si="9"/>
        <v>11</v>
      </c>
      <c r="P117" s="353" cm="1">
        <f t="array" ref="P117">_xlfn.IFS(LSelected="English",Independent[[#This Row],[Verification Type English]],LSelected="Spanish",Independent[[#This Row],[Verification Type Spanish]],LSelected="French",Independent[[#This Row],[Verification Type French]],LSelected="Portuguese",Independent[[#This Row],[Verification Type Portuguese]])</f>
        <v>0</v>
      </c>
      <c r="Q117" s="353" t="str" cm="1">
        <f t="array" ref="Q117">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This is an EFRAL question.</v>
      </c>
      <c r="R117" s="353"/>
      <c r="S117" s="353"/>
      <c r="T117" s="353"/>
      <c r="U117" s="353"/>
      <c r="V117" s="353" t="s">
        <v>910</v>
      </c>
      <c r="W117" s="353"/>
      <c r="X117" s="353" t="s">
        <v>910</v>
      </c>
      <c r="Y117" s="353"/>
      <c r="Z117" s="353" t="s">
        <v>910</v>
      </c>
      <c r="AA117" s="399"/>
      <c r="AB117" s="353" t="s">
        <v>910</v>
      </c>
      <c r="AC117" s="353"/>
    </row>
    <row r="118" spans="4:56">
      <c r="D118" s="353" t="s">
        <v>1559</v>
      </c>
      <c r="E118" s="353" t="s">
        <v>1560</v>
      </c>
      <c r="F118" s="353"/>
      <c r="G118" s="353"/>
      <c r="H118" s="353"/>
      <c r="I118" s="353"/>
      <c r="J118" s="353"/>
      <c r="K118" s="353"/>
      <c r="L118" s="353"/>
      <c r="M118" s="353" t="str">
        <f ca="1">IFERROR(VLOOKUP(Independent[[#This Row],[iWatch '#]],INDIRECT('Defined Ranges'!$C$28&amp;"Order"&amp;'Defined Ranges'!$C$29),2,FALSE),"")</f>
        <v/>
      </c>
      <c r="N118" s="353" t="str">
        <f ca="1">IFERROR(VLOOKUP(Independent[[#This Row],[iWatch '#]],INDIRECT('Defined Ranges'!$C$28&amp;"Order"&amp;'Defined Ranges'!$C$29),3,FALSE),"")</f>
        <v/>
      </c>
      <c r="O118" s="353">
        <f t="shared" si="9"/>
        <v>12</v>
      </c>
      <c r="P118" s="353" cm="1">
        <f t="array" ref="P118">_xlfn.IFS(LSelected="English",Independent[[#This Row],[Verification Type English]],LSelected="Spanish",Independent[[#This Row],[Verification Type Spanish]],LSelected="French",Independent[[#This Row],[Verification Type French]],LSelected="Portuguese",Independent[[#This Row],[Verification Type Portuguese]])</f>
        <v>0</v>
      </c>
      <c r="Q118" s="353" t="str" cm="1">
        <f t="array" ref="Q118">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This is an EFRAL question.</v>
      </c>
      <c r="R118" s="353"/>
      <c r="S118" s="353"/>
      <c r="T118" s="353"/>
      <c r="U118" s="353"/>
      <c r="V118" s="353" t="s">
        <v>910</v>
      </c>
      <c r="W118" s="353"/>
      <c r="X118" s="353" t="s">
        <v>910</v>
      </c>
      <c r="Y118" s="353"/>
      <c r="Z118" s="353" t="s">
        <v>910</v>
      </c>
      <c r="AA118" s="399"/>
      <c r="AB118" s="353" t="s">
        <v>910</v>
      </c>
      <c r="AC118" s="353"/>
    </row>
    <row r="119" spans="4:56">
      <c r="D119" s="353" t="s">
        <v>1561</v>
      </c>
      <c r="E119" s="353" t="s">
        <v>927</v>
      </c>
      <c r="F119" s="353">
        <v>2</v>
      </c>
      <c r="G119" s="353" t="s">
        <v>609</v>
      </c>
      <c r="H119" s="353" t="s">
        <v>1562</v>
      </c>
      <c r="I119" s="353" t="s">
        <v>1563</v>
      </c>
      <c r="J119" s="353"/>
      <c r="K119" s="353"/>
      <c r="L119" s="353"/>
      <c r="M119" s="353" t="str">
        <f ca="1">IFERROR(VLOOKUP(Independent[[#This Row],[iWatch '#]],INDIRECT('Defined Ranges'!$C$28&amp;"Order"&amp;'Defined Ranges'!$C$29),2,FALSE),"")</f>
        <v/>
      </c>
      <c r="N119" s="353" t="str">
        <f ca="1">IFERROR(VLOOKUP(Independent[[#This Row],[iWatch '#]],INDIRECT('Defined Ranges'!$C$28&amp;"Order"&amp;'Defined Ranges'!$C$29),3,FALSE),"")</f>
        <v/>
      </c>
      <c r="O119" s="353">
        <f t="shared" si="9"/>
        <v>13</v>
      </c>
      <c r="P119" s="353" cm="1">
        <f t="array" ref="P119">_xlfn.IFS(LSelected="English",Independent[[#This Row],[Verification Type English]],LSelected="Spanish",Independent[[#This Row],[Verification Type Spanish]],LSelected="French",Independent[[#This Row],[Verification Type French]],LSelected="Portuguese",Independent[[#This Row],[Verification Type Portuguese]])</f>
        <v>0</v>
      </c>
      <c r="Q119" s="353" t="str" cm="1">
        <f t="array" ref="Q119">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This is an EFRAL question.</v>
      </c>
      <c r="R119" s="353"/>
      <c r="S119" s="353"/>
      <c r="T119" s="353"/>
      <c r="U119" s="353"/>
      <c r="V119" s="353" t="s">
        <v>910</v>
      </c>
      <c r="W119" s="353"/>
      <c r="X119" s="353" t="s">
        <v>910</v>
      </c>
      <c r="Y119" s="353"/>
      <c r="Z119" s="353" t="s">
        <v>910</v>
      </c>
      <c r="AA119" s="399"/>
      <c r="AB119" s="353" t="s">
        <v>910</v>
      </c>
      <c r="AC119" s="353"/>
    </row>
    <row r="120" spans="4:56">
      <c r="D120" s="353" t="s">
        <v>1564</v>
      </c>
      <c r="E120" s="353" t="s">
        <v>1565</v>
      </c>
      <c r="F120" s="353"/>
      <c r="G120" s="353"/>
      <c r="H120" s="353"/>
      <c r="I120" s="353"/>
      <c r="J120" s="353"/>
      <c r="K120" s="353"/>
      <c r="L120" s="353"/>
      <c r="M120" s="353" t="str">
        <f ca="1">IFERROR(VLOOKUP(Independent[[#This Row],[iWatch '#]],INDIRECT('Defined Ranges'!$C$28&amp;"Order"&amp;'Defined Ranges'!$C$29),2,FALSE),"")</f>
        <v/>
      </c>
      <c r="N120" s="353" t="str">
        <f ca="1">IFERROR(VLOOKUP(Independent[[#This Row],[iWatch '#]],INDIRECT('Defined Ranges'!$C$28&amp;"Order"&amp;'Defined Ranges'!$C$29),3,FALSE),"")</f>
        <v/>
      </c>
      <c r="O120" s="353">
        <f t="shared" si="9"/>
        <v>14</v>
      </c>
      <c r="P120" s="353" cm="1">
        <f t="array" ref="P120">_xlfn.IFS(LSelected="English",Independent[[#This Row],[Verification Type English]],LSelected="Spanish",Independent[[#This Row],[Verification Type Spanish]],LSelected="French",Independent[[#This Row],[Verification Type French]],LSelected="Portuguese",Independent[[#This Row],[Verification Type Portuguese]])</f>
        <v>0</v>
      </c>
      <c r="Q120" s="353" t="str" cm="1">
        <f t="array" ref="Q120">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This is an EFRAL question.</v>
      </c>
      <c r="R120" s="353"/>
      <c r="S120" s="353"/>
      <c r="T120" s="353"/>
      <c r="U120" s="353"/>
      <c r="V120" s="353" t="s">
        <v>910</v>
      </c>
      <c r="W120" s="353"/>
      <c r="X120" s="353" t="s">
        <v>910</v>
      </c>
      <c r="Y120" s="353"/>
      <c r="Z120" s="353" t="s">
        <v>910</v>
      </c>
      <c r="AA120" s="399"/>
      <c r="AB120" s="353" t="s">
        <v>910</v>
      </c>
      <c r="AC120" s="353"/>
    </row>
    <row r="121" spans="4:56">
      <c r="D121" s="353" t="s">
        <v>652</v>
      </c>
      <c r="E121" s="353" t="s">
        <v>1566</v>
      </c>
      <c r="F121" s="353"/>
      <c r="G121" s="353"/>
      <c r="H121" s="353"/>
      <c r="I121" s="353"/>
      <c r="J121" s="353"/>
      <c r="K121" s="353"/>
      <c r="L121" s="353" t="s">
        <v>90</v>
      </c>
      <c r="M121" s="353">
        <f ca="1">IFERROR(VLOOKUP(Independent[[#This Row],[iWatch '#]],INDIRECT('Defined Ranges'!$C$28&amp;"Order"&amp;'Defined Ranges'!$C$29),2,FALSE),"")</f>
        <v>5</v>
      </c>
      <c r="N121" s="353">
        <f ca="1">IFERROR(VLOOKUP(Independent[[#This Row],[iWatch '#]],INDIRECT('Defined Ranges'!$C$28&amp;"Order"&amp;'Defined Ranges'!$C$29),3,FALSE),"")</f>
        <v>8</v>
      </c>
      <c r="O121" s="353">
        <f t="shared" si="9"/>
        <v>15</v>
      </c>
      <c r="P121" s="353" cm="1">
        <f t="array" ref="P121">_xlfn.IFS(LSelected="English",Independent[[#This Row],[Verification Type English]],LSelected="Spanish",Independent[[#This Row],[Verification Type Spanish]],LSelected="French",Independent[[#This Row],[Verification Type French]],LSelected="Portuguese",Independent[[#This Row],[Verification Type Portuguese]])</f>
        <v>0</v>
      </c>
      <c r="Q121" s="353" t="str" cm="1">
        <f t="array" ref="Q121">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 xml:space="preserve"> </v>
      </c>
      <c r="R121" s="353"/>
      <c r="S121" s="353"/>
      <c r="T121" s="353"/>
      <c r="U121" s="353"/>
      <c r="V121" s="353" t="s">
        <v>42</v>
      </c>
      <c r="W121" s="353"/>
      <c r="X121" s="353" t="s">
        <v>42</v>
      </c>
      <c r="Y121" s="353"/>
      <c r="Z121" s="353" t="s">
        <v>42</v>
      </c>
      <c r="AA121" s="399"/>
      <c r="AB121" s="353" t="s">
        <v>42</v>
      </c>
      <c r="AC121" s="353"/>
    </row>
    <row r="122" spans="4:56">
      <c r="D122" s="353" t="s">
        <v>738</v>
      </c>
      <c r="E122" s="353" t="s">
        <v>1567</v>
      </c>
      <c r="F122" s="353"/>
      <c r="G122" s="353"/>
      <c r="H122" s="353"/>
      <c r="I122" s="353"/>
      <c r="J122" s="353"/>
      <c r="K122" s="353"/>
      <c r="L122" s="353" t="s">
        <v>92</v>
      </c>
      <c r="M122" s="353">
        <f ca="1">IFERROR(VLOOKUP(Independent[[#This Row],[iWatch '#]],INDIRECT('Defined Ranges'!$C$28&amp;"Order"&amp;'Defined Ranges'!$C$29),2,FALSE),"")</f>
        <v>29</v>
      </c>
      <c r="N122" s="353">
        <f ca="1">IFERROR(VLOOKUP(Independent[[#This Row],[iWatch '#]],INDIRECT('Defined Ranges'!$C$28&amp;"Order"&amp;'Defined Ranges'!$C$29),3,FALSE),"")</f>
        <v>14</v>
      </c>
      <c r="O122" s="353">
        <f t="shared" si="9"/>
        <v>16</v>
      </c>
      <c r="P122" s="353" cm="1">
        <f t="array" ref="P122">_xlfn.IFS(LSelected="English",Independent[[#This Row],[Verification Type English]],LSelected="Spanish",Independent[[#This Row],[Verification Type Spanish]],LSelected="French",Independent[[#This Row],[Verification Type French]],LSelected="Portuguese",Independent[[#This Row],[Verification Type Portuguese]])</f>
        <v>0</v>
      </c>
      <c r="Q122" s="353" t="str" cm="1">
        <f t="array" ref="Q122">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 xml:space="preserve">Explicit statement of the name and title of the Compliance Officer. If the Agent has 2 CO's, provide both names, titles, along with the areas that their scope of responsibility covers.
</v>
      </c>
      <c r="R122" s="353"/>
      <c r="S122" s="353"/>
      <c r="T122" s="353"/>
      <c r="U122" s="353"/>
      <c r="V122" s="353" t="s">
        <v>1567</v>
      </c>
      <c r="W122" s="353"/>
      <c r="X122" s="353" t="s">
        <v>1567</v>
      </c>
      <c r="Y122" s="353"/>
      <c r="Z122" s="353" t="s">
        <v>1567</v>
      </c>
      <c r="AA122" s="399"/>
      <c r="AB122" s="353" t="s">
        <v>1567</v>
      </c>
      <c r="AC122" s="353"/>
    </row>
    <row r="123" spans="4:56">
      <c r="D123" s="353" t="s">
        <v>1568</v>
      </c>
      <c r="E123" s="353" t="s">
        <v>1569</v>
      </c>
      <c r="F123" s="353">
        <v>2</v>
      </c>
      <c r="G123" s="353" t="s">
        <v>609</v>
      </c>
      <c r="H123" s="353" t="s">
        <v>1570</v>
      </c>
      <c r="I123" s="353" t="s">
        <v>1571</v>
      </c>
      <c r="J123" s="353"/>
      <c r="K123" s="353" t="s">
        <v>1061</v>
      </c>
      <c r="L123" s="353"/>
      <c r="M123" s="353" t="str">
        <f ca="1">IFERROR(VLOOKUP(Independent[[#This Row],[iWatch '#]],INDIRECT('Defined Ranges'!$C$28&amp;"Order"&amp;'Defined Ranges'!$C$29),2,FALSE),"")</f>
        <v/>
      </c>
      <c r="N123" s="353" t="str">
        <f ca="1">IFERROR(VLOOKUP(Independent[[#This Row],[iWatch '#]],INDIRECT('Defined Ranges'!$C$28&amp;"Order"&amp;'Defined Ranges'!$C$29),3,FALSE),"")</f>
        <v/>
      </c>
      <c r="O123" s="353">
        <f t="shared" si="9"/>
        <v>17</v>
      </c>
      <c r="P123" s="353" cm="1">
        <f t="array" ref="P123">_xlfn.IFS(LSelected="English",Independent[[#This Row],[Verification Type English]],LSelected="Spanish",Independent[[#This Row],[Verification Type Spanish]],LSelected="French",Independent[[#This Row],[Verification Type French]],LSelected="Portuguese",Independent[[#This Row],[Verification Type Portuguese]])</f>
        <v>0</v>
      </c>
      <c r="Q123" s="353" t="str" cm="1">
        <f t="array" ref="Q123">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Do you use any of the WU monitoring tool to monitor transactions?</v>
      </c>
      <c r="R123" s="353"/>
      <c r="S123" s="353"/>
      <c r="T123" s="353"/>
      <c r="U123" s="353"/>
      <c r="V123" s="353" t="s">
        <v>1572</v>
      </c>
      <c r="W123" s="353"/>
      <c r="X123" s="353" t="s">
        <v>1573</v>
      </c>
      <c r="Y123" s="353"/>
      <c r="Z123" s="353" t="s">
        <v>1574</v>
      </c>
      <c r="AA123" s="353"/>
      <c r="AB123" s="353" t="s">
        <v>1575</v>
      </c>
      <c r="AC123" s="353"/>
    </row>
    <row r="124" spans="4:56">
      <c r="D124" s="353" t="s">
        <v>1576</v>
      </c>
      <c r="E124" s="353" t="s">
        <v>1577</v>
      </c>
      <c r="F124" s="353"/>
      <c r="G124" s="353"/>
      <c r="H124" s="353" t="s">
        <v>1578</v>
      </c>
      <c r="I124" s="353"/>
      <c r="J124" s="353"/>
      <c r="K124" s="353"/>
      <c r="L124" s="353" t="s">
        <v>97</v>
      </c>
      <c r="M124" s="353" t="str">
        <f ca="1">IFERROR(VLOOKUP(Independent[[#This Row],[iWatch '#]],INDIRECT('Defined Ranges'!$C$28&amp;"Order"&amp;'Defined Ranges'!$C$29),2,FALSE),"")</f>
        <v/>
      </c>
      <c r="N124" s="353" t="str">
        <f ca="1">IFERROR(VLOOKUP(Independent[[#This Row],[iWatch '#]],INDIRECT('Defined Ranges'!$C$28&amp;"Order"&amp;'Defined Ranges'!$C$29),3,FALSE),"")</f>
        <v/>
      </c>
      <c r="O124" s="353">
        <f t="shared" si="9"/>
        <v>18</v>
      </c>
      <c r="P124" s="353" cm="1">
        <f t="array" ref="P124">_xlfn.IFS(LSelected="English",Independent[[#This Row],[Verification Type English]],LSelected="Spanish",Independent[[#This Row],[Verification Type Spanish]],LSelected="French",Independent[[#This Row],[Verification Type French]],LSelected="Portuguese",Independent[[#This Row],[Verification Type Portuguese]])</f>
        <v>0</v>
      </c>
      <c r="Q124" s="353" t="str" cm="1">
        <f t="array" ref="Q124">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What is the name of the WU monitoring tool or application that the Agent uses?</v>
      </c>
      <c r="R124" s="353"/>
      <c r="S124" s="353"/>
      <c r="T124" s="353"/>
      <c r="U124" s="353"/>
      <c r="V124" s="353" t="s">
        <v>1579</v>
      </c>
      <c r="W124" s="353"/>
      <c r="X124" s="353" t="s">
        <v>1580</v>
      </c>
      <c r="Y124" s="353"/>
      <c r="Z124" s="353" t="s">
        <v>1581</v>
      </c>
      <c r="AA124" s="353"/>
      <c r="AB124" s="353" t="s">
        <v>1582</v>
      </c>
      <c r="AC124" s="353"/>
    </row>
    <row r="125" spans="4:56">
      <c r="D125" s="353" t="s">
        <v>1583</v>
      </c>
      <c r="E125" s="353" t="s">
        <v>1584</v>
      </c>
      <c r="F125" s="353"/>
      <c r="G125" s="353"/>
      <c r="H125" s="353" t="s">
        <v>1585</v>
      </c>
      <c r="I125" s="353"/>
      <c r="J125" s="353"/>
      <c r="K125" s="353"/>
      <c r="L125" s="353" t="s">
        <v>98</v>
      </c>
      <c r="M125" s="353" t="str">
        <f ca="1">IFERROR(VLOOKUP(Independent[[#This Row],[iWatch '#]],INDIRECT('Defined Ranges'!$C$28&amp;"Order"&amp;'Defined Ranges'!$C$29),2,FALSE),"")</f>
        <v/>
      </c>
      <c r="N125" s="353" t="str">
        <f ca="1">IFERROR(VLOOKUP(Independent[[#This Row],[iWatch '#]],INDIRECT('Defined Ranges'!$C$28&amp;"Order"&amp;'Defined Ranges'!$C$29),3,FALSE),"")</f>
        <v/>
      </c>
      <c r="O125" s="353">
        <f t="shared" si="9"/>
        <v>19</v>
      </c>
      <c r="P125" s="353" cm="1">
        <f t="array" ref="P125">_xlfn.IFS(LSelected="English",Independent[[#This Row],[Verification Type English]],LSelected="Spanish",Independent[[#This Row],[Verification Type Spanish]],LSelected="French",Independent[[#This Row],[Verification Type French]],LSelected="Portuguese",Independent[[#This Row],[Verification Type Portuguese]])</f>
        <v>0</v>
      </c>
      <c r="Q125" s="353" t="str" cm="1">
        <f t="array" ref="Q125">_xlfn.IFS('Defined Ranges'!$C$27="English",Independent[[#This Row],[Suggested script English]],'Defined Ranges'!$C$27="Spanish",Independent[[#This Row],[Suggested script Spanish]],'Defined Ranges'!$C$27="French",Independent[[#This Row],[Suggested script French]],'Defined Ranges'!$C$27="Portuguese",Independent[[#This Row],[Suggested script Portuguese]])</f>
        <v xml:space="preserve"> </v>
      </c>
      <c r="R125" s="353"/>
      <c r="S125" s="353"/>
      <c r="T125" s="353"/>
      <c r="U125" s="353"/>
      <c r="V125" s="353" t="s">
        <v>42</v>
      </c>
      <c r="W125" s="353"/>
      <c r="X125" s="353" t="s">
        <v>42</v>
      </c>
      <c r="Y125" s="353"/>
      <c r="Z125" s="353" t="s">
        <v>42</v>
      </c>
      <c r="AA125" s="353"/>
      <c r="AB125" s="353" t="s">
        <v>42</v>
      </c>
      <c r="AC125" s="353"/>
    </row>
    <row r="126" spans="4:56">
      <c r="AC126" s="353"/>
    </row>
    <row r="128" spans="4:56" ht="29">
      <c r="AF128" s="392" t="s">
        <v>69</v>
      </c>
      <c r="AG128" s="393" t="s">
        <v>120</v>
      </c>
      <c r="AH128" s="393" t="s">
        <v>552</v>
      </c>
      <c r="AI128" s="393" t="s">
        <v>553</v>
      </c>
      <c r="AJ128" s="393" t="s">
        <v>573</v>
      </c>
      <c r="AK128" s="393" t="s">
        <v>574</v>
      </c>
      <c r="AL128" s="393" t="s">
        <v>575</v>
      </c>
      <c r="AM128" s="393" t="s">
        <v>557</v>
      </c>
      <c r="AN128" s="393" t="s">
        <v>558</v>
      </c>
      <c r="AO128" s="394" t="s">
        <v>559</v>
      </c>
      <c r="AP128" s="394" t="s">
        <v>115</v>
      </c>
      <c r="AQ128" s="394" t="s">
        <v>68</v>
      </c>
      <c r="AR128" s="394" t="s">
        <v>560</v>
      </c>
      <c r="AS128" s="394" t="s">
        <v>561</v>
      </c>
      <c r="AT128" s="393" t="s">
        <v>562</v>
      </c>
      <c r="AU128" s="393" t="s">
        <v>563</v>
      </c>
      <c r="AV128" s="393" t="s">
        <v>564</v>
      </c>
      <c r="AW128" s="393" t="s">
        <v>565</v>
      </c>
      <c r="AX128" s="393" t="s">
        <v>566</v>
      </c>
      <c r="AY128" s="393" t="s">
        <v>567</v>
      </c>
      <c r="AZ128" s="393" t="s">
        <v>568</v>
      </c>
      <c r="BA128" s="393" t="s">
        <v>569</v>
      </c>
      <c r="BB128" s="393" t="s">
        <v>570</v>
      </c>
      <c r="BC128" s="393" t="s">
        <v>571</v>
      </c>
      <c r="BD128" s="395" t="s">
        <v>572</v>
      </c>
    </row>
    <row r="129" spans="4:56">
      <c r="AF129" s="353" t="s">
        <v>823</v>
      </c>
      <c r="AG129" s="353" t="s">
        <v>1586</v>
      </c>
      <c r="AH129" s="353">
        <v>2</v>
      </c>
      <c r="AI129" s="353" t="s">
        <v>609</v>
      </c>
      <c r="AJ129" s="353" t="s">
        <v>1587</v>
      </c>
      <c r="AK129" s="353" t="s">
        <v>1588</v>
      </c>
      <c r="AL129" s="353"/>
      <c r="AM129" s="353"/>
      <c r="AN129" s="353"/>
      <c r="AO129" s="353" t="str">
        <f ca="1">IFERROR(VLOOKUP(Master_Agent_HQs_United_States[[#This Row],[iWatch '#]],INDIRECT('Defined Ranges'!$C$28&amp;"ROrder"&amp;'Defined Ranges'!$C$29),2,FALSE),"")</f>
        <v/>
      </c>
      <c r="AP129" s="353" t="str">
        <f ca="1">IFERROR(VLOOKUP(Master_Agent_HQs_United_States[[#This Row],[iWatch '#]],INDIRECT('Defined Ranges'!$C$28&amp;"ROrder"&amp;'Defined Ranges'!$C$29),3,FALSE),"")</f>
        <v/>
      </c>
      <c r="AQ129" s="353">
        <f ca="1">'Defined Ranges'!$D$23+1</f>
        <v>42</v>
      </c>
      <c r="AR129" s="353" t="str" cm="1">
        <f t="array" ref="AR129">_xlfn.IFS(LSelected="English",Master_Agent_HQs_United_States[[#This Row],[Verification Type English]],LSelected="Spanish",Master_Agent_HQs_United_States[[#This Row],[Verification Type Spanish]],LSelected="French",Master_Agent_HQs_United_States[[#This Row],[Verification Type French]],LSelected="Portuguese",Master_Agent_HQs_United_States[[#This Row],[Verification Type Portuguese]])</f>
        <v>Elaboración de Informes</v>
      </c>
      <c r="AS129" s="353" t="str" cm="1">
        <f t="array" ref="AS129">_xlfn.IFS(SScript="English",Master_Agent_HQs_United_States[[#This Row],[Suggested script English]],SScript="Spanish",Master_Agent_HQs_United_States[[#This Row],[Suggested script Spanish]],SScript="French",Master_Agent_HQs_United_States[[#This Row],[Suggested script French]],SScript="Portuguese",Master_Agent_HQs_United_States[[#This Row],[Suggested script Portuguese]])</f>
        <v>1. Do you have access to the BSA E-Filling system?
IF YES, 
2. Could you please send registration proof? Like the confirmation email you got when you registered
IF NO, I will send the steps you need to follow for registration and send me proof. OR access the system and send a screen shot showing you are logged in.</v>
      </c>
      <c r="AT129" s="353"/>
      <c r="AU129" s="353"/>
      <c r="AV129" s="353" t="s">
        <v>644</v>
      </c>
      <c r="AW129" s="353" t="s">
        <v>199</v>
      </c>
      <c r="AX129" s="353" t="s">
        <v>1170</v>
      </c>
      <c r="AY129" s="355" t="str">
        <f>IF('Gen Info'!$E$4="Spain","Informes","Elaboración de Informes")</f>
        <v>Elaboración de Informes</v>
      </c>
      <c r="AZ129" s="353" t="s">
        <v>1171</v>
      </c>
      <c r="BA129" s="355" t="str">
        <f>IF('Gen Info'!$E$4="Canada","Déclarations","Signalement d'activité douteuse/déclarations de doute interne")</f>
        <v>Signalement d'activité douteuse/déclarations de doute interne</v>
      </c>
      <c r="BB129" s="353" t="s">
        <v>1589</v>
      </c>
      <c r="BC129" s="355" t="str">
        <f>IF('Gen Info'!$E$4="Portugal","Denúncias","Geração de relatórios")</f>
        <v>Geração de relatórios</v>
      </c>
      <c r="BD129" s="353" t="s">
        <v>1590</v>
      </c>
    </row>
    <row r="130" spans="4:56">
      <c r="AF130" s="353" t="s">
        <v>1591</v>
      </c>
      <c r="AG130" s="353" t="s">
        <v>1592</v>
      </c>
      <c r="AH130" s="353">
        <v>2</v>
      </c>
      <c r="AI130" s="353" t="s">
        <v>609</v>
      </c>
      <c r="AJ130" s="353" t="s">
        <v>1593</v>
      </c>
      <c r="AK130" s="353" t="s">
        <v>1594</v>
      </c>
      <c r="AL130" s="353"/>
      <c r="AM130" s="353"/>
      <c r="AN130" s="353"/>
      <c r="AO130" s="353" t="str">
        <f ca="1">IFERROR(VLOOKUP(Master_Agent_HQs_United_States[[#This Row],[iWatch '#]],INDIRECT('Defined Ranges'!$C$28&amp;"ROrder"&amp;'Defined Ranges'!$C$29),2,FALSE),"")</f>
        <v/>
      </c>
      <c r="AP130" s="353" t="str">
        <f ca="1">IFERROR(VLOOKUP(Master_Agent_HQs_United_States[[#This Row],[iWatch '#]],INDIRECT('Defined Ranges'!$C$28&amp;"ROrder"&amp;'Defined Ranges'!$C$29),3,FALSE),"")</f>
        <v/>
      </c>
      <c r="AQ130" s="353">
        <f ca="1">AQ129+1</f>
        <v>43</v>
      </c>
      <c r="AR130" s="353" t="str" cm="1">
        <f t="array" ref="AR130">_xlfn.IFS(LSelected="English",Master_Agent_HQs_United_States[[#This Row],[Verification Type English]],LSelected="Spanish",Master_Agent_HQs_United_States[[#This Row],[Verification Type Spanish]],LSelected="French",Master_Agent_HQs_United_States[[#This Row],[Verification Type French]],LSelected="Portuguese",Master_Agent_HQs_United_States[[#This Row],[Verification Type Portuguese]])</f>
        <v>Elaboración de Informes</v>
      </c>
      <c r="AS130" s="353" t="str" cm="1">
        <f t="array" ref="AS130">_xlfn.IFS(SScript="English",Master_Agent_HQs_United_States[[#This Row],[Suggested script English]],SScript="Spanish",Master_Agent_HQs_United_States[[#This Row],[Suggested script Spanish]],SScript="French",Master_Agent_HQs_United_States[[#This Row],[Suggested script French]],SScript="Portuguese",Master_Agent_HQs_United_States[[#This Row],[Suggested script Portuguese]])</f>
        <v>DOCUMENTS REQUIRED E-mail or communication from Agent HQ evidencing a clearly communicated process for employees to report suspected or known telemarketers: Answer by reviewing the documents prior or during the call.</v>
      </c>
      <c r="AT130" s="353"/>
      <c r="AU130" s="353"/>
      <c r="AV130" s="353" t="s">
        <v>698</v>
      </c>
      <c r="AW130" s="353" t="s">
        <v>199</v>
      </c>
      <c r="AX130" s="353" t="s">
        <v>1595</v>
      </c>
      <c r="AY130" s="355" t="str">
        <f>IF('Gen Info'!$E$4="Spain","Informes","Elaboración de Informes")</f>
        <v>Elaboración de Informes</v>
      </c>
      <c r="AZ130" s="353" t="s">
        <v>1595</v>
      </c>
      <c r="BA130" s="355" t="str">
        <f>IF('Gen Info'!$E$4="Canada","Déclarations","Signalement d'activité douteuse/déclarations de doute interne")</f>
        <v>Signalement d'activité douteuse/déclarations de doute interne</v>
      </c>
      <c r="BB130" s="353" t="s">
        <v>1595</v>
      </c>
      <c r="BC130" s="355" t="str">
        <f>IF('Gen Info'!$E$4="Portugal","Denúncias","Geração de relatórios")</f>
        <v>Geração de relatórios</v>
      </c>
      <c r="BD130" s="353" t="s">
        <v>1595</v>
      </c>
    </row>
    <row r="131" spans="4:56">
      <c r="AF131" s="353" t="s">
        <v>1290</v>
      </c>
      <c r="AG131" s="353" t="s">
        <v>1596</v>
      </c>
      <c r="AH131" s="353">
        <v>2</v>
      </c>
      <c r="AI131" s="353" t="s">
        <v>609</v>
      </c>
      <c r="AJ131" s="353" t="s">
        <v>1597</v>
      </c>
      <c r="AK131" s="353" t="s">
        <v>1598</v>
      </c>
      <c r="AL131" s="353"/>
      <c r="AM131" s="353"/>
      <c r="AN131" s="353"/>
      <c r="AO131" s="353" t="str">
        <f ca="1">IFERROR(VLOOKUP(Master_Agent_HQs_United_States[[#This Row],[iWatch '#]],INDIRECT('Defined Ranges'!$C$28&amp;"ROrder"&amp;'Defined Ranges'!$C$29),2,FALSE),"")</f>
        <v/>
      </c>
      <c r="AP131" s="353" t="str">
        <f ca="1">IFERROR(VLOOKUP(Master_Agent_HQs_United_States[[#This Row],[iWatch '#]],INDIRECT('Defined Ranges'!$C$28&amp;"ROrder"&amp;'Defined Ranges'!$C$29),3,FALSE),"")</f>
        <v/>
      </c>
      <c r="AQ131" s="353">
        <f t="shared" ref="AQ131:AQ138" ca="1" si="11">AQ130+1</f>
        <v>44</v>
      </c>
      <c r="AR131" s="353" t="str" cm="1">
        <f t="array" ref="AR131">_xlfn.IFS(LSelected="English",Master_Agent_HQs_United_States[[#This Row],[Verification Type English]],LSelected="Spanish",Master_Agent_HQs_United_States[[#This Row],[Verification Type Spanish]],LSelected="French",Master_Agent_HQs_United_States[[#This Row],[Verification Type French]],LSelected="Portuguese",Master_Agent_HQs_United_States[[#This Row],[Verification Type Portuguese]])</f>
        <v>Protección del Consumidor</v>
      </c>
      <c r="AS131" s="353" t="str" cm="1">
        <f t="array" ref="AS131">_xlfn.IFS(SScript="English",Master_Agent_HQs_United_States[[#This Row],[Suggested script English]],SScript="Spanish",Master_Agent_HQs_United_States[[#This Row],[Suggested script Spanish]],SScript="French",Master_Agent_HQs_United_States[[#This Row],[Suggested script French]],SScript="Portuguese",Master_Agent_HQs_United_States[[#This Row],[Suggested script Portuguese]])</f>
        <v>DOCUMENTS REQUIRED Training Log showing Fraud Training was delivered: Answer by reviewing the documents prior or during the call.</v>
      </c>
      <c r="AT131" s="353"/>
      <c r="AU131" s="353"/>
      <c r="AV131" s="353" t="s">
        <v>698</v>
      </c>
      <c r="AW131" s="353" t="s">
        <v>159</v>
      </c>
      <c r="AX131" s="353" t="s">
        <v>1599</v>
      </c>
      <c r="AY131" s="353" t="s">
        <v>160</v>
      </c>
      <c r="AZ131" s="353" t="s">
        <v>1599</v>
      </c>
      <c r="BA131" s="353" t="s">
        <v>161</v>
      </c>
      <c r="BB131" s="353" t="s">
        <v>1599</v>
      </c>
      <c r="BC131" s="355" t="str">
        <f>IF('Gen Info'!$E$4="Portugal","Proteção dos consumidores","Proteção ao consumidor")</f>
        <v>Proteção ao consumidor</v>
      </c>
      <c r="BD131" s="353" t="s">
        <v>1599</v>
      </c>
    </row>
    <row r="132" spans="4:56">
      <c r="AF132" s="353" t="s">
        <v>991</v>
      </c>
      <c r="AG132" s="353" t="s">
        <v>1600</v>
      </c>
      <c r="AH132" s="353">
        <v>2</v>
      </c>
      <c r="AI132" s="353" t="s">
        <v>609</v>
      </c>
      <c r="AJ132" s="353" t="s">
        <v>1601</v>
      </c>
      <c r="AK132" s="353" t="s">
        <v>1602</v>
      </c>
      <c r="AL132" s="353"/>
      <c r="AM132" s="353"/>
      <c r="AN132" s="353"/>
      <c r="AO132" s="353" t="str">
        <f ca="1">IFERROR(VLOOKUP(Master_Agent_HQs_United_States[[#This Row],[iWatch '#]],INDIRECT('Defined Ranges'!$C$28&amp;"ROrder"&amp;'Defined Ranges'!$C$29),2,FALSE),"")</f>
        <v/>
      </c>
      <c r="AP132" s="353" t="str">
        <f ca="1">IFERROR(VLOOKUP(Master_Agent_HQs_United_States[[#This Row],[iWatch '#]],INDIRECT('Defined Ranges'!$C$28&amp;"ROrder"&amp;'Defined Ranges'!$C$29),3,FALSE),"")</f>
        <v/>
      </c>
      <c r="AQ132" s="353">
        <f t="shared" ca="1" si="11"/>
        <v>45</v>
      </c>
      <c r="AR132" s="353" t="str" cm="1">
        <f t="array" ref="AR132">_xlfn.IFS(LSelected="English",Master_Agent_HQs_United_States[[#This Row],[Verification Type English]],LSelected="Spanish",Master_Agent_HQs_United_States[[#This Row],[Verification Type Spanish]],LSelected="French",Master_Agent_HQs_United_States[[#This Row],[Verification Type French]],LSelected="Portuguese",Master_Agent_HQs_United_States[[#This Row],[Verification Type Portuguese]])</f>
        <v>Conservación de Registros</v>
      </c>
      <c r="AS132" s="353" t="str" cm="1">
        <f t="array" ref="AS132">_xlfn.IFS(SScript="English",Master_Agent_HQs_United_States[[#This Row],[Suggested script English]],SScript="Spanish",Master_Agent_HQs_United_States[[#This Row],[Suggested script Spanish]],SScript="French",Master_Agent_HQs_United_States[[#This Row],[Suggested script French]],SScript="Portuguese",Master_Agent_HQs_United_States[[#This Row],[Suggested script Portuguese]])</f>
        <v>Where do you keep all physical records such as receipts and the regulatory documentation? (MT forms, SARS/CTRs)</v>
      </c>
      <c r="AT132" s="353"/>
      <c r="AU132" s="353"/>
      <c r="AV132" s="353" t="s">
        <v>585</v>
      </c>
      <c r="AW132" s="353" t="s">
        <v>197</v>
      </c>
      <c r="AX132" s="353" t="s">
        <v>1603</v>
      </c>
      <c r="AY132" s="355" t="str">
        <f>IF('Gen Info'!$E$4="Spain","Mantenimiento de Registros","Conservación de Registros")</f>
        <v>Conservación de Registros</v>
      </c>
      <c r="AZ132" s="353" t="s">
        <v>1604</v>
      </c>
      <c r="BA132" s="355" t="str">
        <f>IF('Gen Info'!$E$4="Canada","Tenue de Documents","Archivage")</f>
        <v>Archivage</v>
      </c>
      <c r="BB132" s="353" t="s">
        <v>1605</v>
      </c>
      <c r="BC132" s="355" t="str">
        <f>IF('Gen Info'!$E$4="Portugal","Manutenção de Registos","Manutenção de Registros")</f>
        <v>Manutenção de Registros</v>
      </c>
      <c r="BD132" s="353" t="s">
        <v>1606</v>
      </c>
    </row>
    <row r="133" spans="4:56" ht="29">
      <c r="D133" s="409" t="s">
        <v>69</v>
      </c>
      <c r="E133" s="385" t="s">
        <v>120</v>
      </c>
      <c r="F133" s="385" t="s">
        <v>552</v>
      </c>
      <c r="G133" s="385" t="s">
        <v>553</v>
      </c>
      <c r="H133" s="385" t="s">
        <v>554</v>
      </c>
      <c r="I133" s="385" t="s">
        <v>555</v>
      </c>
      <c r="J133" s="385" t="s">
        <v>556</v>
      </c>
      <c r="K133" s="385" t="s">
        <v>557</v>
      </c>
      <c r="L133" s="385" t="s">
        <v>558</v>
      </c>
      <c r="M133" s="385" t="s">
        <v>559</v>
      </c>
      <c r="N133" s="385" t="s">
        <v>115</v>
      </c>
      <c r="O133" s="385" t="s">
        <v>68</v>
      </c>
      <c r="P133" s="385" t="s">
        <v>560</v>
      </c>
      <c r="Q133" s="385" t="s">
        <v>561</v>
      </c>
      <c r="R133" s="410" t="s">
        <v>562</v>
      </c>
      <c r="S133" s="410" t="s">
        <v>563</v>
      </c>
      <c r="T133" s="385" t="s">
        <v>564</v>
      </c>
      <c r="U133" s="385" t="s">
        <v>565</v>
      </c>
      <c r="V133" s="385" t="s">
        <v>566</v>
      </c>
      <c r="W133" s="385" t="s">
        <v>567</v>
      </c>
      <c r="X133" s="385" t="s">
        <v>568</v>
      </c>
      <c r="Y133" s="385" t="s">
        <v>569</v>
      </c>
      <c r="Z133" s="385" t="s">
        <v>570</v>
      </c>
      <c r="AA133" s="385" t="s">
        <v>571</v>
      </c>
      <c r="AB133" s="411" t="s">
        <v>572</v>
      </c>
      <c r="AF133" s="353" t="s">
        <v>1004</v>
      </c>
      <c r="AG133" s="353" t="s">
        <v>1607</v>
      </c>
      <c r="AH133" s="353">
        <v>3</v>
      </c>
      <c r="AI133" s="353" t="s">
        <v>679</v>
      </c>
      <c r="AJ133" s="353" t="s">
        <v>1608</v>
      </c>
      <c r="AK133" s="353" t="s">
        <v>1609</v>
      </c>
      <c r="AL133" s="353"/>
      <c r="AM133" s="353" t="s">
        <v>1610</v>
      </c>
      <c r="AN133" s="353"/>
      <c r="AO133" s="353" t="str">
        <f ca="1">IFERROR(VLOOKUP(Master_Agent_HQs_United_States[[#This Row],[iWatch '#]],INDIRECT('Defined Ranges'!$C$28&amp;"ROrder"&amp;'Defined Ranges'!$C$29),2,FALSE),"")</f>
        <v/>
      </c>
      <c r="AP133" s="353" t="str">
        <f ca="1">IFERROR(VLOOKUP(Master_Agent_HQs_United_States[[#This Row],[iWatch '#]],INDIRECT('Defined Ranges'!$C$28&amp;"ROrder"&amp;'Defined Ranges'!$C$29),3,FALSE),"")</f>
        <v/>
      </c>
      <c r="AQ133" s="353">
        <f t="shared" ca="1" si="11"/>
        <v>46</v>
      </c>
      <c r="AR133" s="353" t="str" cm="1">
        <f t="array" ref="AR133">_xlfn.IFS(LSelected="English",Master_Agent_HQs_United_States[[#This Row],[Verification Type English]],LSelected="Spanish",Master_Agent_HQs_United_States[[#This Row],[Verification Type Spanish]],LSelected="French",Master_Agent_HQs_United_States[[#This Row],[Verification Type French]],LSelected="Portuguese",Master_Agent_HQs_United_States[[#This Row],[Verification Type Portuguese]])</f>
        <v>Conservación de Registros</v>
      </c>
      <c r="AS133" s="353" t="str" cm="1">
        <f t="array" ref="AS133">_xlfn.IFS(SScript="English",Master_Agent_HQs_United_States[[#This Row],[Suggested script English]],SScript="Spanish",Master_Agent_HQs_United_States[[#This Row],[Suggested script Spanish]],SScript="French",Master_Agent_HQs_United_States[[#This Row],[Suggested script French]],SScript="Portuguese",Master_Agent_HQs_United_States[[#This Row],[Suggested script Portuguese]])</f>
        <v>DOCUMENT REQUIRED MO Log, CMOR or No Results Template created by WUCO: Answer by reviewing the CMOR report prior o during the call. If the CMOR report shows sales for 3k or more and it is confirmed, ensure the respective MO Log is attached to the case. 
1. Do you sell Money Orders that add up to 3K or more to the same person?</v>
      </c>
      <c r="AT133" s="353"/>
      <c r="AU133" s="353"/>
      <c r="AV133" s="353" t="s">
        <v>585</v>
      </c>
      <c r="AW133" s="353" t="s">
        <v>197</v>
      </c>
      <c r="AX133" s="353" t="s">
        <v>1195</v>
      </c>
      <c r="AY133" s="355" t="str">
        <f>IF('Gen Info'!$E$4="Spain","Mantenimiento de Registros","Conservación de Registros")</f>
        <v>Conservación de Registros</v>
      </c>
      <c r="AZ133" s="353" t="s">
        <v>1196</v>
      </c>
      <c r="BA133" s="355" t="str">
        <f>IF('Gen Info'!$E$4="Canada","Tenue de Documents","Archivage")</f>
        <v>Archivage</v>
      </c>
      <c r="BB133" s="353" t="s">
        <v>1197</v>
      </c>
      <c r="BC133" s="355" t="str">
        <f>IF('Gen Info'!$E$4="Portugal","Manutenção de Registos","Manutenção de Registros")</f>
        <v>Manutenção de Registros</v>
      </c>
      <c r="BD133" s="353" t="s">
        <v>1198</v>
      </c>
    </row>
    <row r="134" spans="4:56" ht="18" customHeight="1">
      <c r="D134" s="353" t="s">
        <v>576</v>
      </c>
      <c r="E134" s="353" t="s">
        <v>1526</v>
      </c>
      <c r="F134" s="353" t="s">
        <v>42</v>
      </c>
      <c r="G134" s="353" t="s">
        <v>42</v>
      </c>
      <c r="H134" s="353" t="s">
        <v>578</v>
      </c>
      <c r="I134" s="353" t="s">
        <v>42</v>
      </c>
      <c r="J134" s="353" t="s">
        <v>42</v>
      </c>
      <c r="K134" s="353" t="s">
        <v>42</v>
      </c>
      <c r="L134" s="412" t="str" cm="1">
        <f t="array" ref="L134">LocationInfo[WUCO
Name]</f>
        <v>enter manually</v>
      </c>
      <c r="M134" s="353">
        <f ca="1">IFERROR(VLOOKUP(Master_Agent_HQs[[#This Row],[iWatch '#]],INDIRECT('Defined Ranges'!$C$28&amp;"Order"&amp;'Defined Ranges'!$C$29),2,FALSE),"")</f>
        <v>1</v>
      </c>
      <c r="N134" s="353">
        <f ca="1">IFERROR(VLOOKUP(Master_Agent_HQs[[#This Row],[iWatch '#]],INDIRECT('Defined Ranges'!$C$28&amp;"Order"&amp;'Defined Ranges'!$C$29),3,FALSE),"")</f>
        <v>1</v>
      </c>
      <c r="O134" s="353">
        <v>1</v>
      </c>
      <c r="P134" s="353" cm="1">
        <f t="array" ref="P134">_xlfn.IFS(LSelected="English",Master_Agent_HQs[[#This Row],[Verification Type English]],LSelected="Spanish",Master_Agent_HQs[[#This Row],[Verification Type Spanish]],LSelected="French",Master_Agent_HQs[[#This Row],[Verification Type French]],LSelected="Portuguese",Master_Agent_HQs[[#This Row],[Verification Type Portuguese]])</f>
        <v>0</v>
      </c>
      <c r="Q134" s="353" t="str" cm="1">
        <f t="array" ref="Q134">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 xml:space="preserve"> </v>
      </c>
      <c r="R134" s="353" t="s">
        <v>42</v>
      </c>
      <c r="S134" s="353" t="s">
        <v>42</v>
      </c>
      <c r="T134" s="353" t="s">
        <v>42</v>
      </c>
      <c r="U134" s="353"/>
      <c r="V134" s="353" t="s">
        <v>42</v>
      </c>
      <c r="W134" s="353"/>
      <c r="X134" s="353" t="s">
        <v>42</v>
      </c>
      <c r="Y134" s="353"/>
      <c r="Z134" s="353" t="s">
        <v>42</v>
      </c>
      <c r="AA134" s="353"/>
      <c r="AB134" s="353" t="s">
        <v>42</v>
      </c>
      <c r="AF134" s="353" t="s">
        <v>1020</v>
      </c>
      <c r="AG134" s="353" t="s">
        <v>1611</v>
      </c>
      <c r="AH134" s="353">
        <v>3</v>
      </c>
      <c r="AI134" s="353" t="s">
        <v>679</v>
      </c>
      <c r="AJ134" s="353" t="s">
        <v>1612</v>
      </c>
      <c r="AK134" s="353" t="s">
        <v>749</v>
      </c>
      <c r="AL134" s="353"/>
      <c r="AM134" s="353" t="s">
        <v>1613</v>
      </c>
      <c r="AN134" s="353"/>
      <c r="AO134" s="353" t="str">
        <f ca="1">IFERROR(VLOOKUP(Master_Agent_HQs_United_States[[#This Row],[iWatch '#]],INDIRECT('Defined Ranges'!$C$28&amp;"ROrder"&amp;'Defined Ranges'!$C$29),2,FALSE),"")</f>
        <v/>
      </c>
      <c r="AP134" s="353" t="str">
        <f ca="1">IFERROR(VLOOKUP(Master_Agent_HQs_United_States[[#This Row],[iWatch '#]],INDIRECT('Defined Ranges'!$C$28&amp;"ROrder"&amp;'Defined Ranges'!$C$29),3,FALSE),"")</f>
        <v/>
      </c>
      <c r="AQ134" s="353">
        <f t="shared" ca="1" si="11"/>
        <v>47</v>
      </c>
      <c r="AR134" s="353" t="str" cm="1">
        <f t="array" ref="AR134">_xlfn.IFS(LSelected="English",Master_Agent_HQs_United_States[[#This Row],[Verification Type English]],LSelected="Spanish",Master_Agent_HQs_United_States[[#This Row],[Verification Type Spanish]],LSelected="French",Master_Agent_HQs_United_States[[#This Row],[Verification Type French]],LSelected="Portuguese",Master_Agent_HQs_United_States[[#This Row],[Verification Type Portuguese]])</f>
        <v>Conservación de Registros</v>
      </c>
      <c r="AS134" s="353" t="str" cm="1">
        <f t="array" ref="AS134">_xlfn.IFS(SScript="English",Master_Agent_HQs_United_States[[#This Row],[Suggested script English]],SScript="Spanish",Master_Agent_HQs_United_States[[#This Row],[Suggested script Spanish]],SScript="French",Master_Agent_HQs_United_States[[#This Row],[Suggested script French]],SScript="Portuguese",Master_Agent_HQs_United_States[[#This Row],[Suggested script Portuguese]])</f>
        <v>1. What do you know about OFAC or the Designated National List? 
2. For how long do you keep records related to OFAC?
Note: OFAC is Office of Foreign Assets and Controls. OFAC publishes a list of individuals and companies. For such individuals and companies their assets are blocked and U.S. persons are generally prohibited from dealing with them.</v>
      </c>
      <c r="AT134" s="353"/>
      <c r="AU134" s="353"/>
      <c r="AV134" s="353" t="s">
        <v>698</v>
      </c>
      <c r="AW134" s="353" t="s">
        <v>197</v>
      </c>
      <c r="AX134" s="353" t="s">
        <v>1212</v>
      </c>
      <c r="AY134" s="355" t="str">
        <f>IF('Gen Info'!$E$4="Spain","Mantenimiento de Registros","Conservación de Registros")</f>
        <v>Conservación de Registros</v>
      </c>
      <c r="AZ134" s="353" t="s">
        <v>1213</v>
      </c>
      <c r="BA134" s="355" t="str">
        <f>IF('Gen Info'!$E$4="Canada","Tenue de Documents","Archivage")</f>
        <v>Archivage</v>
      </c>
      <c r="BB134" s="353" t="s">
        <v>1214</v>
      </c>
      <c r="BC134" s="355" t="str">
        <f>IF('Gen Info'!$E$4="Portugal","Manutenção de Registos","Manutenção de Registros")</f>
        <v>Manutenção de Registros</v>
      </c>
      <c r="BD134" s="353" t="s">
        <v>1215</v>
      </c>
    </row>
    <row r="135" spans="4:56">
      <c r="D135" s="353" t="s">
        <v>589</v>
      </c>
      <c r="E135" s="353" t="s">
        <v>1528</v>
      </c>
      <c r="F135" s="353" t="s">
        <v>42</v>
      </c>
      <c r="G135" s="353" t="s">
        <v>42</v>
      </c>
      <c r="H135" s="353" t="s">
        <v>591</v>
      </c>
      <c r="I135" s="353" t="s">
        <v>42</v>
      </c>
      <c r="J135" s="353" t="s">
        <v>42</v>
      </c>
      <c r="K135" s="353" t="s">
        <v>42</v>
      </c>
      <c r="L135" s="400">
        <f>IF('Gen Info'!$B$7=0,"",'Gen Info'!$B$7)</f>
        <v>45902</v>
      </c>
      <c r="M135" s="353">
        <f ca="1">IFERROR(VLOOKUP(Master_Agent_HQs[[#This Row],[iWatch '#]],INDIRECT('Defined Ranges'!$C$28&amp;"Order"&amp;'Defined Ranges'!$C$29),2,FALSE),"")</f>
        <v>2</v>
      </c>
      <c r="N135" s="353">
        <f ca="1">IFERROR(VLOOKUP(Master_Agent_HQs[[#This Row],[iWatch '#]],INDIRECT('Defined Ranges'!$C$28&amp;"Order"&amp;'Defined Ranges'!$C$29),3,FALSE),"")</f>
        <v>2</v>
      </c>
      <c r="O135" s="353">
        <f>O134+1</f>
        <v>2</v>
      </c>
      <c r="P135" s="353" cm="1">
        <f t="array" ref="P135">_xlfn.IFS(LSelected="English",Master_Agent_HQs[[#This Row],[Verification Type English]],LSelected="Spanish",Master_Agent_HQs[[#This Row],[Verification Type Spanish]],LSelected="French",Master_Agent_HQs[[#This Row],[Verification Type French]],LSelected="Portuguese",Master_Agent_HQs[[#This Row],[Verification Type Portuguese]])</f>
        <v>0</v>
      </c>
      <c r="Q135" s="353" t="str" cm="1">
        <f t="array" ref="Q135">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 xml:space="preserve"> </v>
      </c>
      <c r="R135" s="353" t="s">
        <v>42</v>
      </c>
      <c r="S135" s="353" t="s">
        <v>42</v>
      </c>
      <c r="T135" s="353" t="s">
        <v>42</v>
      </c>
      <c r="U135" s="353"/>
      <c r="V135" s="353" t="s">
        <v>42</v>
      </c>
      <c r="W135" s="353"/>
      <c r="X135" s="353" t="s">
        <v>42</v>
      </c>
      <c r="Y135" s="353"/>
      <c r="Z135" s="353" t="s">
        <v>42</v>
      </c>
      <c r="AA135" s="353"/>
      <c r="AB135" s="353" t="s">
        <v>42</v>
      </c>
      <c r="AF135" s="353" t="s">
        <v>1036</v>
      </c>
      <c r="AG135" s="353" t="s">
        <v>1225</v>
      </c>
      <c r="AH135" s="353"/>
      <c r="AI135" s="353"/>
      <c r="AJ135" s="353"/>
      <c r="AK135" s="353"/>
      <c r="AL135" s="353"/>
      <c r="AM135" s="353"/>
      <c r="AN135" s="353"/>
      <c r="AO135" s="353" t="str">
        <f ca="1">IFERROR(VLOOKUP(Master_Agent_HQs_United_States[[#This Row],[iWatch '#]],INDIRECT('Defined Ranges'!$C$28&amp;"ROrder"&amp;'Defined Ranges'!$C$29),2,FALSE),"")</f>
        <v/>
      </c>
      <c r="AP135" s="353" t="str">
        <f ca="1">IFERROR(VLOOKUP(Master_Agent_HQs_United_States[[#This Row],[iWatch '#]],INDIRECT('Defined Ranges'!$C$28&amp;"ROrder"&amp;'Defined Ranges'!$C$29),3,FALSE),"")</f>
        <v/>
      </c>
      <c r="AQ135" s="353">
        <f t="shared" ca="1" si="11"/>
        <v>48</v>
      </c>
      <c r="AR135" s="353" cm="1">
        <f t="array" ref="AR135">_xlfn.IFS(LSelected="English",Master_Agent_HQs_United_States[[#This Row],[Verification Type English]],LSelected="Spanish",Master_Agent_HQs_United_States[[#This Row],[Verification Type Spanish]],LSelected="French",Master_Agent_HQs_United_States[[#This Row],[Verification Type French]],LSelected="Portuguese",Master_Agent_HQs_United_States[[#This Row],[Verification Type Portuguese]])</f>
        <v>0</v>
      </c>
      <c r="AS135" s="353" cm="1">
        <f t="array" ref="AS135">_xlfn.IFS(SScript="English",Master_Agent_HQs_United_States[[#This Row],[Suggested script English]],SScript="Spanish",Master_Agent_HQs_United_States[[#This Row],[Suggested script Spanish]],SScript="French",Master_Agent_HQs_United_States[[#This Row],[Suggested script French]],SScript="Portuguese",Master_Agent_HQs_United_States[[#This Row],[Suggested script Portuguese]])</f>
        <v>0</v>
      </c>
      <c r="AT135" s="353"/>
      <c r="AU135" s="353"/>
      <c r="AV135" s="353"/>
      <c r="AW135" s="353"/>
      <c r="AX135" s="353"/>
      <c r="AY135" s="353"/>
      <c r="AZ135" s="353"/>
      <c r="BA135" s="353"/>
      <c r="BB135" s="353"/>
      <c r="BC135" s="353"/>
      <c r="BD135" s="353"/>
    </row>
    <row r="136" spans="4:56">
      <c r="D136" s="353" t="s">
        <v>598</v>
      </c>
      <c r="E136" s="353" t="s">
        <v>599</v>
      </c>
      <c r="F136" s="353" t="s">
        <v>42</v>
      </c>
      <c r="G136" s="353" t="s">
        <v>42</v>
      </c>
      <c r="H136" s="353" t="s">
        <v>600</v>
      </c>
      <c r="I136" s="353" t="s">
        <v>42</v>
      </c>
      <c r="J136" s="353" t="s">
        <v>42</v>
      </c>
      <c r="K136" s="353" t="s">
        <v>42</v>
      </c>
      <c r="L136" s="402" t="str">
        <f>'Call Flow'!$L$5</f>
        <v>Carlos Eduardo
carlos.cedillo@progressa.mx</v>
      </c>
      <c r="M136" s="353">
        <f ca="1">IFERROR(VLOOKUP(Master_Agent_HQs[[#This Row],[iWatch '#]],INDIRECT('Defined Ranges'!$C$28&amp;"Order"&amp;'Defined Ranges'!$C$29),2,FALSE),"")</f>
        <v>3</v>
      </c>
      <c r="N136" s="353">
        <f ca="1">IFERROR(VLOOKUP(Master_Agent_HQs[[#This Row],[iWatch '#]],INDIRECT('Defined Ranges'!$C$28&amp;"Order"&amp;'Defined Ranges'!$C$29),3,FALSE),"")</f>
        <v>3</v>
      </c>
      <c r="O136" s="353">
        <f t="shared" ref="O136:O196" si="12">O135+1</f>
        <v>3</v>
      </c>
      <c r="P136" s="353" cm="1">
        <f t="array" ref="P136">_xlfn.IFS(LSelected="English",Master_Agent_HQs[[#This Row],[Verification Type English]],LSelected="Spanish",Master_Agent_HQs[[#This Row],[Verification Type Spanish]],LSelected="French",Master_Agent_HQs[[#This Row],[Verification Type French]],LSelected="Portuguese",Master_Agent_HQs[[#This Row],[Verification Type Portuguese]])</f>
        <v>0</v>
      </c>
      <c r="Q136" s="353" t="str" cm="1">
        <f t="array" ref="Q136">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 xml:space="preserve"> </v>
      </c>
      <c r="R136" s="353" t="s">
        <v>42</v>
      </c>
      <c r="S136" s="353" t="s">
        <v>42</v>
      </c>
      <c r="T136" s="353" t="s">
        <v>42</v>
      </c>
      <c r="U136" s="353"/>
      <c r="V136" s="353" t="s">
        <v>42</v>
      </c>
      <c r="W136" s="353"/>
      <c r="X136" s="353" t="s">
        <v>42</v>
      </c>
      <c r="Y136" s="353"/>
      <c r="Z136" s="353" t="s">
        <v>42</v>
      </c>
      <c r="AA136" s="353"/>
      <c r="AB136" s="353" t="s">
        <v>42</v>
      </c>
      <c r="AF136" s="353" t="s">
        <v>1048</v>
      </c>
      <c r="AG136" s="353" t="s">
        <v>1234</v>
      </c>
      <c r="AH136" s="353">
        <v>2</v>
      </c>
      <c r="AI136" s="353" t="s">
        <v>609</v>
      </c>
      <c r="AJ136" s="353" t="s">
        <v>1614</v>
      </c>
      <c r="AK136" s="353" t="s">
        <v>1615</v>
      </c>
      <c r="AL136" s="353" t="s">
        <v>42</v>
      </c>
      <c r="AM136" s="353" t="s">
        <v>42</v>
      </c>
      <c r="AN136" s="353"/>
      <c r="AO136" s="353" t="str">
        <f ca="1">IFERROR(VLOOKUP(Master_Agent_HQs_United_States[[#This Row],[iWatch '#]],INDIRECT('Defined Ranges'!$C$28&amp;"ROrder"&amp;'Defined Ranges'!$C$29),2,FALSE),"")</f>
        <v/>
      </c>
      <c r="AP136" s="353" t="str">
        <f ca="1">IFERROR(VLOOKUP(Master_Agent_HQs_United_States[[#This Row],[iWatch '#]],INDIRECT('Defined Ranges'!$C$28&amp;"ROrder"&amp;'Defined Ranges'!$C$29),3,FALSE),"")</f>
        <v/>
      </c>
      <c r="AQ136" s="353">
        <f t="shared" ca="1" si="11"/>
        <v>49</v>
      </c>
      <c r="AR136" s="353" t="str" cm="1">
        <f t="array" ref="AR136">_xlfn.IFS(LSelected="English",Master_Agent_HQs_United_States[[#This Row],[Verification Type English]],LSelected="Spanish",Master_Agent_HQs_United_States[[#This Row],[Verification Type Spanish]],LSelected="French",Master_Agent_HQs_United_States[[#This Row],[Verification Type French]],LSelected="Portuguese",Master_Agent_HQs_United_States[[#This Row],[Verification Type Portuguese]])</f>
        <v>Conservación de Registros</v>
      </c>
      <c r="AS136" s="353" cm="1">
        <f t="array" ref="AS136">_xlfn.IFS(SScript="English",Master_Agent_HQs_United_States[[#This Row],[Suggested script English]],SScript="Spanish",Master_Agent_HQs_United_States[[#This Row],[Suggested script Spanish]],SScript="French",Master_Agent_HQs_United_States[[#This Row],[Suggested script French]],SScript="Portuguese",Master_Agent_HQs_United_States[[#This Row],[Suggested script Portuguese]])</f>
        <v>0</v>
      </c>
      <c r="AT136" s="353"/>
      <c r="AU136" s="353"/>
      <c r="AV136" s="353" t="s">
        <v>644</v>
      </c>
      <c r="AW136" s="353" t="s">
        <v>197</v>
      </c>
      <c r="AX136" s="353"/>
      <c r="AY136" s="355" t="str">
        <f>IF('Gen Info'!$E$4="Spain","Mantenimiento de Registros","Conservación de Registros")</f>
        <v>Conservación de Registros</v>
      </c>
      <c r="AZ136" s="353"/>
      <c r="BA136" s="355" t="str">
        <f>IF('Gen Info'!$E$4="Canada","Tenue de Documents","Archivage")</f>
        <v>Archivage</v>
      </c>
      <c r="BB136" s="353"/>
      <c r="BC136" s="355" t="str">
        <f>IF('Gen Info'!$E$4="Portugal","Manutenção de Registos","Manutenção de Registros")</f>
        <v>Manutenção de Registros</v>
      </c>
      <c r="BD136" s="353"/>
    </row>
    <row r="137" spans="4:56">
      <c r="D137" s="353" t="s">
        <v>607</v>
      </c>
      <c r="E137" s="353" t="s">
        <v>608</v>
      </c>
      <c r="F137" s="353">
        <v>2</v>
      </c>
      <c r="G137" s="353" t="s">
        <v>609</v>
      </c>
      <c r="H137" s="103" t="s">
        <v>1616</v>
      </c>
      <c r="I137" s="103" t="s">
        <v>1617</v>
      </c>
      <c r="J137" s="353"/>
      <c r="K137" s="353"/>
      <c r="L137" s="353" t="s">
        <v>42</v>
      </c>
      <c r="M137" s="353">
        <f ca="1">IFERROR(VLOOKUP(Master_Agent_HQs[[#This Row],[iWatch '#]],INDIRECT('Defined Ranges'!$C$28&amp;"Order"&amp;'Defined Ranges'!$C$29),2,FALSE),"")</f>
        <v>39</v>
      </c>
      <c r="N137" s="353">
        <f ca="1">IFERROR(VLOOKUP(Master_Agent_HQs[[#This Row],[iWatch '#]],INDIRECT('Defined Ranges'!$C$28&amp;"Order"&amp;'Defined Ranges'!$C$29),3,FALSE),"")</f>
        <v>4</v>
      </c>
      <c r="O137" s="353">
        <f t="shared" si="12"/>
        <v>4</v>
      </c>
      <c r="P137" s="353" cm="1">
        <f t="array" ref="P137">_xlfn.IFS(LSelected="English",Master_Agent_HQs[[#This Row],[Verification Type English]],LSelected="Spanish",Master_Agent_HQs[[#This Row],[Verification Type Spanish]],LSelected="French",Master_Agent_HQs[[#This Row],[Verification Type French]],LSelected="Portuguese",Master_Agent_HQs[[#This Row],[Verification Type Portuguese]])</f>
        <v>0</v>
      </c>
      <c r="Q137" s="353" t="str" cm="1">
        <f t="array" ref="Q137">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 xml:space="preserve"> </v>
      </c>
      <c r="R137" s="353"/>
      <c r="S137" s="353"/>
      <c r="T137" s="353"/>
      <c r="U137" s="353"/>
      <c r="V137" s="353" t="s">
        <v>42</v>
      </c>
      <c r="W137" s="353"/>
      <c r="X137" s="353" t="s">
        <v>42</v>
      </c>
      <c r="Y137" s="353"/>
      <c r="Z137" s="353" t="s">
        <v>42</v>
      </c>
      <c r="AA137" s="353"/>
      <c r="AB137" s="353" t="s">
        <v>42</v>
      </c>
      <c r="AF137" s="353" t="s">
        <v>1066</v>
      </c>
      <c r="AG137" s="353" t="s">
        <v>1618</v>
      </c>
      <c r="AH137" s="353">
        <v>2</v>
      </c>
      <c r="AI137" s="353" t="s">
        <v>609</v>
      </c>
      <c r="AJ137" s="353"/>
      <c r="AK137" s="353"/>
      <c r="AL137" s="353"/>
      <c r="AM137" s="353"/>
      <c r="AN137" s="353"/>
      <c r="AO137" s="353" t="str">
        <f ca="1">IFERROR(VLOOKUP(Master_Agent_HQs_United_States[[#This Row],[iWatch '#]],INDIRECT('Defined Ranges'!$C$28&amp;"ROrder"&amp;'Defined Ranges'!$C$29),2,FALSE),"")</f>
        <v/>
      </c>
      <c r="AP137" s="353" t="str">
        <f ca="1">IFERROR(VLOOKUP(Master_Agent_HQs_United_States[[#This Row],[iWatch '#]],INDIRECT('Defined Ranges'!$C$28&amp;"ROrder"&amp;'Defined Ranges'!$C$29),3,FALSE),"")</f>
        <v/>
      </c>
      <c r="AQ137" s="353">
        <f t="shared" ca="1" si="11"/>
        <v>50</v>
      </c>
      <c r="AR137" s="353" cm="1">
        <f t="array" ref="AR137">_xlfn.IFS(LSelected="English",Master_Agent_HQs_United_States[[#This Row],[Verification Type English]],LSelected="Spanish",Master_Agent_HQs_United_States[[#This Row],[Verification Type Spanish]],LSelected="French",Master_Agent_HQs_United_States[[#This Row],[Verification Type French]],LSelected="Portuguese",Master_Agent_HQs_United_States[[#This Row],[Verification Type Portuguese]])</f>
        <v>0</v>
      </c>
      <c r="AS137" s="353" cm="1">
        <f t="array" ref="AS137">_xlfn.IFS(SScript="English",Master_Agent_HQs_United_States[[#This Row],[Suggested script English]],SScript="Spanish",Master_Agent_HQs_United_States[[#This Row],[Suggested script Spanish]],SScript="French",Master_Agent_HQs_United_States[[#This Row],[Suggested script French]],SScript="Portuguese",Master_Agent_HQs_United_States[[#This Row],[Suggested script Portuguese]])</f>
        <v>0</v>
      </c>
      <c r="AT137" s="353"/>
      <c r="AU137" s="353"/>
      <c r="AV137" s="353"/>
      <c r="AW137" s="353"/>
      <c r="AX137" s="353"/>
      <c r="AY137" s="353"/>
      <c r="AZ137" s="353"/>
      <c r="BA137" s="353"/>
      <c r="BB137" s="353"/>
      <c r="BC137" s="353"/>
      <c r="BD137" s="353"/>
    </row>
    <row r="138" spans="4:56">
      <c r="D138" s="413" t="s">
        <v>618</v>
      </c>
      <c r="E138" s="413" t="s">
        <v>1619</v>
      </c>
      <c r="F138" s="353" t="s">
        <v>42</v>
      </c>
      <c r="G138" s="353" t="s">
        <v>42</v>
      </c>
      <c r="H138" s="353" t="s">
        <v>1534</v>
      </c>
      <c r="I138" s="353" t="s">
        <v>42</v>
      </c>
      <c r="J138" s="353" t="s">
        <v>42</v>
      </c>
      <c r="K138" s="353" t="s">
        <v>42</v>
      </c>
      <c r="L138" s="353" t="s">
        <v>42</v>
      </c>
      <c r="M138" s="353">
        <f ca="1">IFERROR(VLOOKUP(Master_Agent_HQs[[#This Row],[iWatch '#]],INDIRECT('Defined Ranges'!$C$28&amp;"Order"&amp;'Defined Ranges'!$C$29),2,FALSE),"")</f>
        <v>40</v>
      </c>
      <c r="N138" s="353">
        <f ca="1">IFERROR(VLOOKUP(Master_Agent_HQs[[#This Row],[iWatch '#]],INDIRECT('Defined Ranges'!$C$28&amp;"Order"&amp;'Defined Ranges'!$C$29),3,FALSE),"")</f>
        <v>5</v>
      </c>
      <c r="O138" s="353">
        <f t="shared" si="12"/>
        <v>5</v>
      </c>
      <c r="P138" s="353" cm="1">
        <f t="array" ref="P138">_xlfn.IFS(LSelected="English",Master_Agent_HQs[[#This Row],[Verification Type English]],LSelected="Spanish",Master_Agent_HQs[[#This Row],[Verification Type Spanish]],LSelected="French",Master_Agent_HQs[[#This Row],[Verification Type French]],LSelected="Portuguese",Master_Agent_HQs[[#This Row],[Verification Type Portuguese]])</f>
        <v>0</v>
      </c>
      <c r="Q138" s="353" t="str" cm="1">
        <f t="array" ref="Q138">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 xml:space="preserve"> </v>
      </c>
      <c r="R138" s="353" t="s">
        <v>42</v>
      </c>
      <c r="S138" s="353" t="s">
        <v>42</v>
      </c>
      <c r="T138" s="353" t="s">
        <v>42</v>
      </c>
      <c r="U138" s="353"/>
      <c r="V138" s="353" t="s">
        <v>42</v>
      </c>
      <c r="W138" s="353"/>
      <c r="X138" s="353" t="s">
        <v>42</v>
      </c>
      <c r="Y138" s="353"/>
      <c r="Z138" s="353" t="s">
        <v>42</v>
      </c>
      <c r="AA138" s="353"/>
      <c r="AB138" s="353" t="s">
        <v>42</v>
      </c>
      <c r="AF138" s="353" t="s">
        <v>1075</v>
      </c>
      <c r="AG138" s="353" t="s">
        <v>1254</v>
      </c>
      <c r="AH138" s="353">
        <v>2</v>
      </c>
      <c r="AI138" s="353" t="s">
        <v>609</v>
      </c>
      <c r="AJ138" s="353" t="s">
        <v>1620</v>
      </c>
      <c r="AK138" s="353" t="s">
        <v>1621</v>
      </c>
      <c r="AL138" s="353" t="s">
        <v>42</v>
      </c>
      <c r="AM138" s="353"/>
      <c r="AN138" s="353"/>
      <c r="AO138" s="353" t="str">
        <f ca="1">IFERROR(VLOOKUP(Master_Agent_HQs_United_States[[#This Row],[iWatch '#]],INDIRECT('Defined Ranges'!$C$28&amp;"ROrder"&amp;'Defined Ranges'!$C$29),2,FALSE),"")</f>
        <v/>
      </c>
      <c r="AP138" s="353" t="str">
        <f ca="1">IFERROR(VLOOKUP(Master_Agent_HQs_United_States[[#This Row],[iWatch '#]],INDIRECT('Defined Ranges'!$C$28&amp;"ROrder"&amp;'Defined Ranges'!$C$29),3,FALSE),"")</f>
        <v/>
      </c>
      <c r="AQ138" s="353">
        <f t="shared" ca="1" si="11"/>
        <v>51</v>
      </c>
      <c r="AR138" s="353" t="str" cm="1">
        <f t="array" ref="AR138">_xlfn.IFS(LSelected="English",Master_Agent_HQs_United_States[[#This Row],[Verification Type English]],LSelected="Spanish",Master_Agent_HQs_United_States[[#This Row],[Verification Type Spanish]],LSelected="French",Master_Agent_HQs_United_States[[#This Row],[Verification Type French]],LSelected="Portuguese",Master_Agent_HQs_United_States[[#This Row],[Verification Type Portuguese]])</f>
        <v>Conservación de Registros</v>
      </c>
      <c r="AS138" s="353" cm="1">
        <f t="array" ref="AS138">_xlfn.IFS(SScript="English",Master_Agent_HQs_United_States[[#This Row],[Suggested script English]],SScript="Spanish",Master_Agent_HQs_United_States[[#This Row],[Suggested script Spanish]],SScript="French",Master_Agent_HQs_United_States[[#This Row],[Suggested script French]],SScript="Portuguese",Master_Agent_HQs_United_States[[#This Row],[Suggested script Portuguese]])</f>
        <v>0</v>
      </c>
      <c r="AT138" s="353"/>
      <c r="AU138" s="353"/>
      <c r="AV138" s="353" t="s">
        <v>644</v>
      </c>
      <c r="AW138" s="353" t="s">
        <v>197</v>
      </c>
      <c r="AX138" s="353"/>
      <c r="AY138" s="355" t="str">
        <f>IF('Gen Info'!$E$4="Spain","Mantenimiento de Registros","Conservación de Registros")</f>
        <v>Conservación de Registros</v>
      </c>
      <c r="AZ138" s="353"/>
      <c r="BA138" s="355" t="str">
        <f>IF('Gen Info'!$E$4="Canada","Tenue de Documents","Archivage")</f>
        <v>Archivage</v>
      </c>
      <c r="BB138" s="353"/>
      <c r="BC138" s="355" t="str">
        <f>IF('Gen Info'!$E$4="Portugal","Manutenção de Registos","Manutenção de Registros")</f>
        <v>Manutenção de Registros</v>
      </c>
      <c r="BD138" s="353"/>
    </row>
    <row r="139" spans="4:56">
      <c r="D139" s="353" t="s">
        <v>628</v>
      </c>
      <c r="E139" s="353" t="s">
        <v>1536</v>
      </c>
      <c r="F139" s="353" t="s">
        <v>42</v>
      </c>
      <c r="G139" s="353" t="s">
        <v>42</v>
      </c>
      <c r="H139" s="353" t="s">
        <v>1537</v>
      </c>
      <c r="I139" s="353" t="s">
        <v>42</v>
      </c>
      <c r="J139" s="353" t="s">
        <v>42</v>
      </c>
      <c r="K139" s="353" t="s">
        <v>42</v>
      </c>
      <c r="L139" s="353" t="s">
        <v>42</v>
      </c>
      <c r="M139" s="353">
        <f ca="1">IFERROR(VLOOKUP(Master_Agent_HQs[[#This Row],[iWatch '#]],INDIRECT('Defined Ranges'!$C$28&amp;"Order"&amp;'Defined Ranges'!$C$29),2,FALSE),"")</f>
        <v>41</v>
      </c>
      <c r="N139" s="353">
        <f ca="1">IFERROR(VLOOKUP(Master_Agent_HQs[[#This Row],[iWatch '#]],INDIRECT('Defined Ranges'!$C$28&amp;"Order"&amp;'Defined Ranges'!$C$29),3,FALSE),"")</f>
        <v>6</v>
      </c>
      <c r="O139" s="353">
        <f t="shared" si="12"/>
        <v>6</v>
      </c>
      <c r="P139" s="353" cm="1">
        <f t="array" ref="P139">_xlfn.IFS(LSelected="English",Master_Agent_HQs[[#This Row],[Verification Type English]],LSelected="Spanish",Master_Agent_HQs[[#This Row],[Verification Type Spanish]],LSelected="French",Master_Agent_HQs[[#This Row],[Verification Type French]],LSelected="Portuguese",Master_Agent_HQs[[#This Row],[Verification Type Portuguese]])</f>
        <v>0</v>
      </c>
      <c r="Q139" s="353" t="str" cm="1">
        <f t="array" ref="Q139">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 xml:space="preserve"> </v>
      </c>
      <c r="R139" s="353" t="s">
        <v>42</v>
      </c>
      <c r="S139" s="353" t="s">
        <v>42</v>
      </c>
      <c r="T139" s="353" t="s">
        <v>42</v>
      </c>
      <c r="U139" s="353"/>
      <c r="V139" s="353" t="s">
        <v>42</v>
      </c>
      <c r="W139" s="353"/>
      <c r="X139" s="353" t="s">
        <v>42</v>
      </c>
      <c r="Y139" s="353"/>
      <c r="Z139" s="353" t="s">
        <v>42</v>
      </c>
      <c r="AA139" s="353"/>
      <c r="AB139" s="353" t="s">
        <v>42</v>
      </c>
    </row>
    <row r="140" spans="4:56">
      <c r="D140" s="353" t="s">
        <v>638</v>
      </c>
      <c r="E140" s="103" t="s">
        <v>1622</v>
      </c>
      <c r="F140" s="353">
        <v>3</v>
      </c>
      <c r="G140" s="353" t="s">
        <v>679</v>
      </c>
      <c r="H140" s="353" t="s">
        <v>1623</v>
      </c>
      <c r="I140" s="353" t="s">
        <v>1492</v>
      </c>
      <c r="J140" s="353" t="s">
        <v>42</v>
      </c>
      <c r="K140" s="353" t="s">
        <v>1493</v>
      </c>
      <c r="L140" s="353" t="s">
        <v>42</v>
      </c>
      <c r="M140" s="353">
        <f ca="1">IFERROR(VLOOKUP(Master_Agent_HQs[[#This Row],[iWatch '#]],INDIRECT('Defined Ranges'!$C$28&amp;"Order"&amp;'Defined Ranges'!$C$29),2,FALSE),"")</f>
        <v>4</v>
      </c>
      <c r="N140" s="353">
        <f ca="1">IFERROR(VLOOKUP(Master_Agent_HQs[[#This Row],[iWatch '#]],INDIRECT('Defined Ranges'!$C$28&amp;"Order"&amp;'Defined Ranges'!$C$29),3,FALSE),"")</f>
        <v>7</v>
      </c>
      <c r="O140" s="353">
        <f t="shared" si="12"/>
        <v>7</v>
      </c>
      <c r="P140" s="353" t="str" cm="1">
        <f t="array" ref="P140">_xlfn.IFS(LSelected="English",Master_Agent_HQs[[#This Row],[Verification Type English]],LSelected="Spanish",Master_Agent_HQs[[#This Row],[Verification Type Spanish]],LSelected="French",Master_Agent_HQs[[#This Row],[Verification Type French]],LSelected="Portuguese",Master_Agent_HQs[[#This Row],[Verification Type Portuguese]])</f>
        <v>Historial de Cumplimiento</v>
      </c>
      <c r="Q140" s="353" t="str" cm="1">
        <f t="array" ref="Q140">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Review the previous program review (if any), to determine if the Agent cleared all findings and remediation action items.</v>
      </c>
      <c r="R140" s="353" t="s">
        <v>42</v>
      </c>
      <c r="S140" s="353" t="s">
        <v>42</v>
      </c>
      <c r="T140" s="353" t="s">
        <v>644</v>
      </c>
      <c r="U140" s="353" t="s">
        <v>146</v>
      </c>
      <c r="V140" s="353" t="s">
        <v>645</v>
      </c>
      <c r="W140" s="353" t="s">
        <v>147</v>
      </c>
      <c r="X140" s="353" t="s">
        <v>645</v>
      </c>
      <c r="Y140" s="353" t="s">
        <v>148</v>
      </c>
      <c r="Z140" s="353" t="s">
        <v>645</v>
      </c>
      <c r="AA140" s="353" t="s">
        <v>149</v>
      </c>
      <c r="AB140" s="353" t="s">
        <v>645</v>
      </c>
    </row>
    <row r="141" spans="4:56">
      <c r="D141" s="413" t="s">
        <v>652</v>
      </c>
      <c r="E141" s="103" t="s">
        <v>653</v>
      </c>
      <c r="F141" s="353" t="s">
        <v>42</v>
      </c>
      <c r="G141" s="353" t="s">
        <v>42</v>
      </c>
      <c r="H141" s="353" t="s">
        <v>42</v>
      </c>
      <c r="I141" s="353" t="s">
        <v>42</v>
      </c>
      <c r="J141" s="353" t="s">
        <v>42</v>
      </c>
      <c r="K141" s="353" t="s">
        <v>42</v>
      </c>
      <c r="L141" s="353" t="s">
        <v>1624</v>
      </c>
      <c r="M141" s="353">
        <f ca="1">IFERROR(VLOOKUP(Master_Agent_HQs[[#This Row],[iWatch '#]],INDIRECT('Defined Ranges'!$C$28&amp;"Order"&amp;'Defined Ranges'!$C$29),2,FALSE),"")</f>
        <v>5</v>
      </c>
      <c r="N141" s="353">
        <f ca="1">IFERROR(VLOOKUP(Master_Agent_HQs[[#This Row],[iWatch '#]],INDIRECT('Defined Ranges'!$C$28&amp;"Order"&amp;'Defined Ranges'!$C$29),3,FALSE),"")</f>
        <v>8</v>
      </c>
      <c r="O141" s="353">
        <f t="shared" si="12"/>
        <v>8</v>
      </c>
      <c r="P141" s="353" cm="1">
        <f t="array" ref="P141">_xlfn.IFS(LSelected="English",Master_Agent_HQs[[#This Row],[Verification Type English]],LSelected="Spanish",Master_Agent_HQs[[#This Row],[Verification Type Spanish]],LSelected="French",Master_Agent_HQs[[#This Row],[Verification Type French]],LSelected="Portuguese",Master_Agent_HQs[[#This Row],[Verification Type Portuguese]])</f>
        <v>0</v>
      </c>
      <c r="Q141" s="353" t="str" cm="1">
        <f t="array" ref="Q141">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 xml:space="preserve"> </v>
      </c>
      <c r="R141" s="353" t="s">
        <v>42</v>
      </c>
      <c r="S141" s="353" t="s">
        <v>42</v>
      </c>
      <c r="T141" s="353" t="s">
        <v>42</v>
      </c>
      <c r="U141" s="353"/>
      <c r="V141" s="353" t="s">
        <v>42</v>
      </c>
      <c r="W141" s="353"/>
      <c r="X141" s="353" t="s">
        <v>42</v>
      </c>
      <c r="Y141" s="353"/>
      <c r="Z141" s="353" t="s">
        <v>42</v>
      </c>
      <c r="AA141" s="353"/>
      <c r="AB141" s="353" t="s">
        <v>42</v>
      </c>
    </row>
    <row r="142" spans="4:56" ht="17.899999999999999" customHeight="1">
      <c r="D142" s="353" t="s">
        <v>661</v>
      </c>
      <c r="E142" s="353" t="s">
        <v>1458</v>
      </c>
      <c r="F142" s="353">
        <v>8</v>
      </c>
      <c r="G142" s="353" t="s">
        <v>1000</v>
      </c>
      <c r="H142" s="461" t="s">
        <v>1625</v>
      </c>
      <c r="I142" s="353" t="s">
        <v>1626</v>
      </c>
      <c r="J142" s="353" t="s">
        <v>42</v>
      </c>
      <c r="K142" s="353" t="s">
        <v>42</v>
      </c>
      <c r="L142" s="353" t="s">
        <v>42</v>
      </c>
      <c r="M142" s="353">
        <f ca="1">IFERROR(VLOOKUP(Master_Agent_HQs[[#This Row],[iWatch '#]],INDIRECT('Defined Ranges'!$C$28&amp;"Order"&amp;'Defined Ranges'!$C$29),2,FALSE),"")</f>
        <v>6</v>
      </c>
      <c r="N142" s="353">
        <f ca="1">IFERROR(VLOOKUP(Master_Agent_HQs[[#This Row],[iWatch '#]],INDIRECT('Defined Ranges'!$C$28&amp;"Order"&amp;'Defined Ranges'!$C$29),3,FALSE),"")</f>
        <v>9</v>
      </c>
      <c r="O142" s="353">
        <f t="shared" si="12"/>
        <v>9</v>
      </c>
      <c r="P142" s="353" t="str" cm="1">
        <f t="array" ref="P142">_xlfn.IFS(LSelected="English",Master_Agent_HQs[[#This Row],[Verification Type English]],LSelected="Spanish",Master_Agent_HQs[[#This Row],[Verification Type Spanish]],LSelected="French",Master_Agent_HQs[[#This Row],[Verification Type French]],LSelected="Portuguese",Master_Agent_HQs[[#This Row],[Verification Type Portuguese]])</f>
        <v>Oficial/Delegado de Cumplimiento</v>
      </c>
      <c r="Q142" s="353" t="str" cm="1">
        <f t="array" ref="Q142">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DOCUMENT REQUIRED AML &amp; Anti-Fraud P&amp;Ps (CO Designation Pages):
Note:
This is generally accomplished by identifying it in the company's AML/CFT and/or consumer fraud policies and procedures. However, WUCO can obtain verification from other sources including: written statement from the company's Board of Directors, e-mail confirmation from the Agent Owner, etc. 
1) Are you the designated Compliance Officer of the location?
2) Are you the compliance officer for any other location(s)?
Would you please mention some of your main duties and responsibilities as the Compliance Officer of the store?
VERIFY CO DESIGNATION IN P&amp;P/S.</v>
      </c>
      <c r="R142" s="353" t="s">
        <v>42</v>
      </c>
      <c r="S142" s="353" t="s">
        <v>42</v>
      </c>
      <c r="T142" s="353" t="s">
        <v>698</v>
      </c>
      <c r="U142" s="353" t="s">
        <v>151</v>
      </c>
      <c r="V142" s="461" t="s">
        <v>1627</v>
      </c>
      <c r="W142" s="355" t="str">
        <f>IF('Gen Info'!$E$4="Spain","Delegado/Representante de Cumplimiento","Oficial/Delegado de Cumplimiento")</f>
        <v>Oficial/Delegado de Cumplimiento</v>
      </c>
      <c r="X142" s="461" t="s">
        <v>1462</v>
      </c>
      <c r="Y142" s="353" t="s">
        <v>156</v>
      </c>
      <c r="Z142" s="353" t="s">
        <v>1463</v>
      </c>
      <c r="AA142" s="355" t="str">
        <f>IF('Gen Info'!$E$4="Portugal","Responsável de Compliance","Diretor de Compliance")</f>
        <v>Diretor de Compliance</v>
      </c>
      <c r="AB142" s="353" t="s">
        <v>1464</v>
      </c>
    </row>
    <row r="143" spans="4:56">
      <c r="D143" s="353" t="s">
        <v>677</v>
      </c>
      <c r="E143" s="353" t="s">
        <v>1466</v>
      </c>
      <c r="F143" s="353">
        <v>3</v>
      </c>
      <c r="G143" s="353" t="s">
        <v>679</v>
      </c>
      <c r="H143" s="353" t="s">
        <v>1628</v>
      </c>
      <c r="I143" s="353" t="s">
        <v>1629</v>
      </c>
      <c r="J143" s="353" t="s">
        <v>42</v>
      </c>
      <c r="K143" s="353" t="s">
        <v>1630</v>
      </c>
      <c r="L143" s="353" t="s">
        <v>42</v>
      </c>
      <c r="M143" s="353">
        <f ca="1">IFERROR(VLOOKUP(Master_Agent_HQs[[#This Row],[iWatch '#]],INDIRECT('Defined Ranges'!$C$28&amp;"Order"&amp;'Defined Ranges'!$C$29),2,FALSE),"")</f>
        <v>7</v>
      </c>
      <c r="N143" s="353">
        <f ca="1">IFERROR(VLOOKUP(Master_Agent_HQs[[#This Row],[iWatch '#]],INDIRECT('Defined Ranges'!$C$28&amp;"Order"&amp;'Defined Ranges'!$C$29),3,FALSE),"")</f>
        <v>10</v>
      </c>
      <c r="O143" s="353">
        <f t="shared" si="12"/>
        <v>10</v>
      </c>
      <c r="P143" s="353" t="str" cm="1">
        <f t="array" ref="P143">_xlfn.IFS(LSelected="English",Master_Agent_HQs[[#This Row],[Verification Type English]],LSelected="Spanish",Master_Agent_HQs[[#This Row],[Verification Type Spanish]],LSelected="French",Master_Agent_HQs[[#This Row],[Verification Type French]],LSelected="Portuguese",Master_Agent_HQs[[#This Row],[Verification Type Portuguese]])</f>
        <v>Oficial/Delegado de Cumplimiento</v>
      </c>
      <c r="Q143" s="353" t="str" cm="1">
        <f t="array" ref="Q143">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DOCUMENT REQUIRED AML &amp; Anti-Fraud P&amp;Ps (CO Designation Pages). Only if the response is NO documentation is required to resolve onsite. For this, send a request to the responsible department (KYA-LACA-Support@westernunion.com).</v>
      </c>
      <c r="R143" s="353" t="s">
        <v>42</v>
      </c>
      <c r="S143" s="353" t="s">
        <v>42</v>
      </c>
      <c r="T143" s="353" t="s">
        <v>644</v>
      </c>
      <c r="U143" s="353" t="s">
        <v>151</v>
      </c>
      <c r="V143" s="353" t="s">
        <v>1631</v>
      </c>
      <c r="W143" s="355" t="str">
        <f>IF('Gen Info'!$E$4="Spain","Delegado/Representante de Cumplimiento","Oficial/Delegado de Cumplimiento")</f>
        <v>Oficial/Delegado de Cumplimiento</v>
      </c>
      <c r="X143" s="353" t="s">
        <v>1632</v>
      </c>
      <c r="Y143" s="353" t="s">
        <v>156</v>
      </c>
      <c r="Z143" s="353" t="s">
        <v>1632</v>
      </c>
      <c r="AA143" s="355" t="str">
        <f>IF('Gen Info'!$E$4="Portugal","Responsável de Compliance","Diretor de Compliance")</f>
        <v>Diretor de Compliance</v>
      </c>
      <c r="AB143" s="353" t="s">
        <v>1632</v>
      </c>
    </row>
    <row r="144" spans="4:56">
      <c r="D144" s="353" t="s">
        <v>693</v>
      </c>
      <c r="E144" s="353" t="s">
        <v>1633</v>
      </c>
      <c r="F144" s="353" t="s">
        <v>42</v>
      </c>
      <c r="G144" s="353" t="s">
        <v>42</v>
      </c>
      <c r="H144" s="353" t="s">
        <v>42</v>
      </c>
      <c r="I144" s="353" t="s">
        <v>42</v>
      </c>
      <c r="J144" s="353" t="s">
        <v>42</v>
      </c>
      <c r="K144" s="353" t="s">
        <v>42</v>
      </c>
      <c r="L144" s="353" t="s">
        <v>92</v>
      </c>
      <c r="M144" s="353">
        <f ca="1">IFERROR(VLOOKUP(Master_Agent_HQs[[#This Row],[iWatch '#]],INDIRECT('Defined Ranges'!$C$28&amp;"Order"&amp;'Defined Ranges'!$C$29),2,FALSE),"")</f>
        <v>19</v>
      </c>
      <c r="N144" s="353">
        <f ca="1">IFERROR(VLOOKUP(Master_Agent_HQs[[#This Row],[iWatch '#]],INDIRECT('Defined Ranges'!$C$28&amp;"Order"&amp;'Defined Ranges'!$C$29),3,FALSE),"")</f>
        <v>11</v>
      </c>
      <c r="O144" s="353">
        <f t="shared" si="12"/>
        <v>11</v>
      </c>
      <c r="P144" s="353" cm="1">
        <f t="array" ref="P144">_xlfn.IFS(LSelected="English",Master_Agent_HQs[[#This Row],[Verification Type English]],LSelected="Spanish",Master_Agent_HQs[[#This Row],[Verification Type Spanish]],LSelected="French",Master_Agent_HQs[[#This Row],[Verification Type French]],LSelected="Portuguese",Master_Agent_HQs[[#This Row],[Verification Type Portuguese]])</f>
        <v>0</v>
      </c>
      <c r="Q144" s="353" t="str" cm="1">
        <f t="array" ref="Q144">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 xml:space="preserve"> </v>
      </c>
      <c r="R144" s="353" t="s">
        <v>42</v>
      </c>
      <c r="S144" s="353" t="s">
        <v>42</v>
      </c>
      <c r="T144" s="353" t="s">
        <v>42</v>
      </c>
      <c r="U144" s="353"/>
      <c r="V144" s="353" t="s">
        <v>42</v>
      </c>
      <c r="W144" s="353"/>
      <c r="X144" s="353" t="s">
        <v>42</v>
      </c>
      <c r="Y144" s="353"/>
      <c r="Z144" s="353" t="s">
        <v>42</v>
      </c>
      <c r="AA144" s="353"/>
      <c r="AB144" s="353" t="s">
        <v>42</v>
      </c>
    </row>
    <row r="145" spans="4:56" ht="17.149999999999999" customHeight="1">
      <c r="D145" s="353" t="s">
        <v>1517</v>
      </c>
      <c r="E145" s="353" t="s">
        <v>1474</v>
      </c>
      <c r="F145" s="353">
        <v>2</v>
      </c>
      <c r="G145" s="353" t="s">
        <v>609</v>
      </c>
      <c r="H145" s="353" t="s">
        <v>1475</v>
      </c>
      <c r="I145" s="353" t="s">
        <v>1634</v>
      </c>
      <c r="J145" s="353" t="s">
        <v>42</v>
      </c>
      <c r="K145" s="353" t="s">
        <v>42</v>
      </c>
      <c r="L145" s="353" t="s">
        <v>42</v>
      </c>
      <c r="M145" s="353" t="str">
        <f ca="1">IFERROR(VLOOKUP(Master_Agent_HQs[[#This Row],[iWatch '#]],INDIRECT('Defined Ranges'!$C$28&amp;"Order"&amp;'Defined Ranges'!$C$29),2,FALSE),"")</f>
        <v/>
      </c>
      <c r="N145" s="353" t="str">
        <f ca="1">IFERROR(VLOOKUP(Master_Agent_HQs[[#This Row],[iWatch '#]],INDIRECT('Defined Ranges'!$C$28&amp;"Order"&amp;'Defined Ranges'!$C$29),3,FALSE),"")</f>
        <v/>
      </c>
      <c r="O145" s="353">
        <f t="shared" si="12"/>
        <v>12</v>
      </c>
      <c r="P145" s="353" t="str" cm="1">
        <f t="array" ref="P145">_xlfn.IFS(LSelected="English",Master_Agent_HQs[[#This Row],[Verification Type English]],LSelected="Spanish",Master_Agent_HQs[[#This Row],[Verification Type Spanish]],LSelected="French",Master_Agent_HQs[[#This Row],[Verification Type French]],LSelected="Portuguese",Master_Agent_HQs[[#This Row],[Verification Type Portuguese]])</f>
        <v>Oficial/Delegado de Cumplimiento</v>
      </c>
      <c r="Q145" s="353" t="str" cm="1">
        <f t="array" ref="Q145">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1. How can you identify possible terrorist financing?
2. Why is it important to have an AML/CFT and Anti-fraud program in place?
3 What are some of the most relevant AML/CFT and Anti-Fraud risks in your business/geography?</v>
      </c>
      <c r="R145" s="353" t="s">
        <v>42</v>
      </c>
      <c r="S145" s="353" t="s">
        <v>42</v>
      </c>
      <c r="T145" s="353" t="s">
        <v>585</v>
      </c>
      <c r="U145" s="353" t="s">
        <v>151</v>
      </c>
      <c r="V145" s="353" t="s">
        <v>1635</v>
      </c>
      <c r="W145" s="355" t="str">
        <f>IF('Gen Info'!$E$4="Spain","Delegado/Representante de Cumplimiento","Oficial/Delegado de Cumplimiento")</f>
        <v>Oficial/Delegado de Cumplimiento</v>
      </c>
      <c r="X145" s="353" t="s">
        <v>1636</v>
      </c>
      <c r="Y145" s="353" t="s">
        <v>156</v>
      </c>
      <c r="Z145" s="353" t="s">
        <v>1479</v>
      </c>
      <c r="AA145" s="355" t="str">
        <f>IF('Gen Info'!$E$4="Portugal","Responsável de Compliance","Diretor de Compliance")</f>
        <v>Diretor de Compliance</v>
      </c>
      <c r="AB145" s="353" t="s">
        <v>1480</v>
      </c>
      <c r="AF145" s="405" t="s">
        <v>69</v>
      </c>
      <c r="AG145" s="406" t="s">
        <v>120</v>
      </c>
      <c r="AH145" s="406" t="s">
        <v>552</v>
      </c>
      <c r="AI145" s="406" t="s">
        <v>553</v>
      </c>
      <c r="AJ145" s="406" t="s">
        <v>573</v>
      </c>
      <c r="AK145" s="406" t="s">
        <v>574</v>
      </c>
      <c r="AL145" s="406" t="s">
        <v>575</v>
      </c>
      <c r="AM145" s="406" t="s">
        <v>557</v>
      </c>
      <c r="AN145" s="406" t="s">
        <v>558</v>
      </c>
      <c r="AO145" s="407" t="s">
        <v>559</v>
      </c>
      <c r="AP145" s="407" t="s">
        <v>115</v>
      </c>
      <c r="AQ145" s="407" t="s">
        <v>68</v>
      </c>
      <c r="AR145" s="407" t="s">
        <v>560</v>
      </c>
      <c r="AS145" s="407" t="s">
        <v>561</v>
      </c>
      <c r="AT145" s="406" t="s">
        <v>562</v>
      </c>
      <c r="AU145" s="406" t="s">
        <v>563</v>
      </c>
      <c r="AV145" s="406" t="s">
        <v>564</v>
      </c>
      <c r="AW145" s="406" t="s">
        <v>565</v>
      </c>
      <c r="AX145" s="406" t="s">
        <v>566</v>
      </c>
      <c r="AY145" s="406" t="s">
        <v>567</v>
      </c>
      <c r="AZ145" s="406" t="s">
        <v>568</v>
      </c>
      <c r="BA145" s="406" t="s">
        <v>569</v>
      </c>
      <c r="BB145" s="406" t="s">
        <v>570</v>
      </c>
      <c r="BC145" s="406" t="s">
        <v>571</v>
      </c>
      <c r="BD145" s="408" t="s">
        <v>572</v>
      </c>
    </row>
    <row r="146" spans="4:56" ht="15.65" customHeight="1">
      <c r="D146" s="353" t="s">
        <v>1637</v>
      </c>
      <c r="E146" s="353" t="s">
        <v>1638</v>
      </c>
      <c r="F146" s="353">
        <v>2</v>
      </c>
      <c r="G146" s="353" t="s">
        <v>609</v>
      </c>
      <c r="H146" s="461" t="s">
        <v>1639</v>
      </c>
      <c r="I146" s="353" t="s">
        <v>1640</v>
      </c>
      <c r="J146" s="353" t="s">
        <v>42</v>
      </c>
      <c r="K146" s="353" t="s">
        <v>42</v>
      </c>
      <c r="L146" s="353" t="s">
        <v>42</v>
      </c>
      <c r="M146" s="353" t="str">
        <f ca="1">IFERROR(VLOOKUP(Master_Agent_HQs[[#This Row],[iWatch '#]],INDIRECT('Defined Ranges'!$C$28&amp;"Order"&amp;'Defined Ranges'!$C$29),2,FALSE),"")</f>
        <v/>
      </c>
      <c r="N146" s="353" t="str">
        <f ca="1">IFERROR(VLOOKUP(Master_Agent_HQs[[#This Row],[iWatch '#]],INDIRECT('Defined Ranges'!$C$28&amp;"Order"&amp;'Defined Ranges'!$C$29),3,FALSE),"")</f>
        <v/>
      </c>
      <c r="O146" s="353">
        <f t="shared" si="12"/>
        <v>13</v>
      </c>
      <c r="P146" s="353" t="str" cm="1">
        <f t="array" ref="P146">_xlfn.IFS(LSelected="English",Master_Agent_HQs[[#This Row],[Verification Type English]],LSelected="Spanish",Master_Agent_HQs[[#This Row],[Verification Type Spanish]],LSelected="French",Master_Agent_HQs[[#This Row],[Verification Type French]],LSelected="Portuguese",Master_Agent_HQs[[#This Row],[Verification Type Portuguese]])</f>
        <v>Oficial/Delegado de Cumplimiento</v>
      </c>
      <c r="Q146" s="353" t="str" cm="1">
        <f t="array" ref="Q146">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Who do you have responsibilities over, from an organizational chart standpoint?</v>
      </c>
      <c r="R146" s="353" t="s">
        <v>42</v>
      </c>
      <c r="S146" s="353" t="s">
        <v>42</v>
      </c>
      <c r="T146" s="353" t="s">
        <v>644</v>
      </c>
      <c r="U146" s="353" t="s">
        <v>151</v>
      </c>
      <c r="V146" s="353" t="s">
        <v>1641</v>
      </c>
      <c r="W146" s="355" t="str">
        <f>IF('Gen Info'!$E$4="Spain","Delegado/Representante de Cumplimiento","Oficial/Delegado de Cumplimiento")</f>
        <v>Oficial/Delegado de Cumplimiento</v>
      </c>
      <c r="X146" s="353" t="s">
        <v>1642</v>
      </c>
      <c r="Y146" s="353" t="s">
        <v>156</v>
      </c>
      <c r="Z146" s="353" t="s">
        <v>1643</v>
      </c>
      <c r="AA146" s="355" t="str">
        <f>IF('Gen Info'!$E$4="Portugal","Responsável de Compliance","Diretor de Compliance")</f>
        <v>Diretor de Compliance</v>
      </c>
      <c r="AB146" s="353" t="s">
        <v>1644</v>
      </c>
      <c r="AF146" s="353" t="s">
        <v>1645</v>
      </c>
      <c r="AG146" s="353" t="s">
        <v>1646</v>
      </c>
      <c r="AH146" s="353">
        <v>3</v>
      </c>
      <c r="AI146" s="353" t="s">
        <v>679</v>
      </c>
      <c r="AJ146" s="353" t="s">
        <v>1647</v>
      </c>
      <c r="AK146" s="353" t="s">
        <v>1648</v>
      </c>
      <c r="AL146" s="353"/>
      <c r="AM146" s="353" t="s">
        <v>1338</v>
      </c>
      <c r="AN146" s="353"/>
      <c r="AO146" s="353" t="str">
        <f ca="1">IFERROR(VLOOKUP(Master_Agent_HQs_Canada[[#This Row],[iWatch '#]],INDIRECT('Defined Ranges'!$C$28&amp;"ROrder"&amp;'Defined Ranges'!$C$29),2,FALSE),"")</f>
        <v/>
      </c>
      <c r="AP146" s="353" t="str">
        <f ca="1">IFERROR(VLOOKUP(Master_Agent_HQs_Canada[[#This Row],[iWatch '#]],INDIRECT('Defined Ranges'!$C$28&amp;"ROrder"&amp;'Defined Ranges'!$C$29),3,FALSE),"")</f>
        <v/>
      </c>
      <c r="AQ146" s="353">
        <f ca="1">'Defined Ranges'!$D$23+1</f>
        <v>42</v>
      </c>
      <c r="AR146" s="353" t="str" cm="1">
        <f t="array" ref="AR146">_xlfn.IFS(LSelected="English",Master_Agent_HQs_Canada[[#This Row],[Verification Type English]],LSelected="Spanish",Master_Agent_HQs_Canada[[#This Row],[Verification Type Spanish]],LSelected="French",Master_Agent_HQs_Canada[[#This Row],[Verification Type French]],LSelected="Portuguese",Master_Agent_HQs_Canada[[#This Row],[Verification Type Portuguese]])</f>
        <v>Disponibilidad de la Localidad</v>
      </c>
      <c r="AS146" s="353" t="str" cm="1">
        <f t="array" ref="AS146">_xlfn.IFS(SScript="English",Master_Agent_HQs_Canada[[#This Row],[Suggested script English]],SScript="Spanish",Master_Agent_HQs_Canada[[#This Row],[Suggested script Spanish]],SScript="French",Master_Agent_HQs_Canada[[#This Row],[Suggested script French]],SScript="Portuguese",Master_Agent_HQs_Canada[[#This Row],[Suggested script Portuguese]])</f>
        <v>1. Have you had any changes to the following information about your business?
• Change in personal address of Officers, Directors and Compliance Officers (as indicated in Appendix D3)
• Change in identification information (as indicated in Appendix D1 or D3)
• Business name change (as indicated in Appendix D2)
• Additions, new officers or new directors that supervise Western Union contracts in Quebec.
2. Were these changes announced to WU by the Compliance Officer?</v>
      </c>
      <c r="AT146" s="353"/>
      <c r="AU146" s="353"/>
      <c r="AV146" s="353" t="s">
        <v>585</v>
      </c>
      <c r="AW146" s="353" t="s">
        <v>141</v>
      </c>
      <c r="AX146" s="353" t="s">
        <v>1649</v>
      </c>
      <c r="AY146" s="355" t="str">
        <f>IF('Gen Info'!$E$4="Spain","Preparación del Agente","Disponibilidad de la Localidad")</f>
        <v>Disponibilidad de la Localidad</v>
      </c>
      <c r="AZ146" s="353" t="s">
        <v>1323</v>
      </c>
      <c r="BA146" s="355" t="str">
        <f>IF('Gen Info'!$E$4="Canada","État de préparation des agents","État de préparation de l'Agent")</f>
        <v>État de préparation de l'Agent</v>
      </c>
      <c r="BB146" s="353" t="s">
        <v>1324</v>
      </c>
      <c r="BC146" s="353" t="s">
        <v>144</v>
      </c>
      <c r="BD146" s="353" t="s">
        <v>1325</v>
      </c>
    </row>
    <row r="147" spans="4:56" ht="18" customHeight="1">
      <c r="D147" s="353" t="s">
        <v>1650</v>
      </c>
      <c r="E147" s="353" t="s">
        <v>1485</v>
      </c>
      <c r="F147" s="353">
        <v>2</v>
      </c>
      <c r="G147" s="353" t="s">
        <v>609</v>
      </c>
      <c r="H147" s="461" t="s">
        <v>1651</v>
      </c>
      <c r="I147" s="353" t="s">
        <v>1487</v>
      </c>
      <c r="J147" s="353" t="s">
        <v>42</v>
      </c>
      <c r="K147" s="353" t="s">
        <v>42</v>
      </c>
      <c r="L147" s="353" t="s">
        <v>42</v>
      </c>
      <c r="M147" s="353" t="str">
        <f ca="1">IFERROR(VLOOKUP(Master_Agent_HQs[[#This Row],[iWatch '#]],INDIRECT('Defined Ranges'!$C$28&amp;"Order"&amp;'Defined Ranges'!$C$29),2,FALSE),"")</f>
        <v/>
      </c>
      <c r="N147" s="353" t="str">
        <f ca="1">IFERROR(VLOOKUP(Master_Agent_HQs[[#This Row],[iWatch '#]],INDIRECT('Defined Ranges'!$C$28&amp;"Order"&amp;'Defined Ranges'!$C$29),3,FALSE),"")</f>
        <v/>
      </c>
      <c r="O147" s="353">
        <f t="shared" si="12"/>
        <v>14</v>
      </c>
      <c r="P147" s="353" t="str" cm="1">
        <f t="array" ref="P147">_xlfn.IFS(LSelected="English",Master_Agent_HQs[[#This Row],[Verification Type English]],LSelected="Spanish",Master_Agent_HQs[[#This Row],[Verification Type Spanish]],LSelected="French",Master_Agent_HQs[[#This Row],[Verification Type French]],LSelected="Portuguese",Master_Agent_HQs[[#This Row],[Verification Type Portuguese]])</f>
        <v>Oficial/Delegado de Cumplimiento</v>
      </c>
      <c r="Q147" s="353" t="str" cm="1">
        <f t="array" ref="Q147">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DOCUMENTS REQUIRED AML P&amp;Ps with CO Responsibilities: 
Any of the following options:
1. Answered by reviewing Agent's Policies and Procedures document received prior or during the call.
2. Signed attestation from the Agent Compliance Officer/Compliance Delegate.
2. Supplemental document (i.e. letter, formal summary) to the Agent's Compliance Policy.
3. Electronic manual/document from the Agent's intranet.</v>
      </c>
      <c r="R147" s="353" t="s">
        <v>42</v>
      </c>
      <c r="S147" s="353" t="s">
        <v>42</v>
      </c>
      <c r="T147" s="353" t="s">
        <v>644</v>
      </c>
      <c r="U147" s="353" t="s">
        <v>151</v>
      </c>
      <c r="V147" s="461" t="s">
        <v>1652</v>
      </c>
      <c r="W147" s="355" t="str">
        <f>IF('Gen Info'!$E$4="Spain","Delegado/Representante de Cumplimiento","Oficial/Delegado de Cumplimiento")</f>
        <v>Oficial/Delegado de Cumplimiento</v>
      </c>
      <c r="X147" s="353" t="s">
        <v>1488</v>
      </c>
      <c r="Y147" s="353" t="s">
        <v>156</v>
      </c>
      <c r="Z147" s="353" t="s">
        <v>1488</v>
      </c>
      <c r="AA147" s="355" t="str">
        <f>IF('Gen Info'!$E$4="Portugal","Responsável de Compliance","Diretor de Compliance")</f>
        <v>Diretor de Compliance</v>
      </c>
      <c r="AB147" s="353" t="s">
        <v>1488</v>
      </c>
    </row>
    <row r="148" spans="4:56">
      <c r="D148" s="353" t="s">
        <v>711</v>
      </c>
      <c r="E148" s="353" t="s">
        <v>1142</v>
      </c>
      <c r="F148" s="353">
        <v>2</v>
      </c>
      <c r="G148" s="353" t="s">
        <v>609</v>
      </c>
      <c r="H148" s="353" t="s">
        <v>1653</v>
      </c>
      <c r="I148" s="353" t="s">
        <v>1144</v>
      </c>
      <c r="J148" s="353" t="s">
        <v>42</v>
      </c>
      <c r="K148" s="353" t="s">
        <v>42</v>
      </c>
      <c r="L148" s="353" t="s">
        <v>42</v>
      </c>
      <c r="M148" s="353">
        <f ca="1">IFERROR(VLOOKUP(Master_Agent_HQs[[#This Row],[iWatch '#]],INDIRECT('Defined Ranges'!$C$28&amp;"Order"&amp;'Defined Ranges'!$C$29),2,FALSE),"")</f>
        <v>27</v>
      </c>
      <c r="N148" s="353">
        <f ca="1">IFERROR(VLOOKUP(Master_Agent_HQs[[#This Row],[iWatch '#]],INDIRECT('Defined Ranges'!$C$28&amp;"Order"&amp;'Defined Ranges'!$C$29),3,FALSE),"")</f>
        <v>12</v>
      </c>
      <c r="O148" s="353">
        <f t="shared" si="12"/>
        <v>15</v>
      </c>
      <c r="P148" s="353" t="str" cm="1">
        <f t="array" ref="P148">_xlfn.IFS(LSelected="English",Master_Agent_HQs[[#This Row],[Verification Type English]],LSelected="Spanish",Master_Agent_HQs[[#This Row],[Verification Type Spanish]],LSelected="French",Master_Agent_HQs[[#This Row],[Verification Type French]],LSelected="Portuguese",Master_Agent_HQs[[#This Row],[Verification Type Portuguese]])</f>
        <v>Políticas y Procedimientos</v>
      </c>
      <c r="Q148" s="353" t="str" cm="1">
        <f t="array" ref="Q148">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DOCUMENTS REQUIRED AML/CFT P&amp;Ps: Answered by reviewing Agent's Policies and Procedures (owned or WU's) document received prior or during the call.</v>
      </c>
      <c r="R148" s="353" t="s">
        <v>42</v>
      </c>
      <c r="S148" s="353" t="s">
        <v>42</v>
      </c>
      <c r="T148" s="353" t="s">
        <v>644</v>
      </c>
      <c r="U148" s="353" t="s">
        <v>186</v>
      </c>
      <c r="V148" s="353" t="s">
        <v>1654</v>
      </c>
      <c r="W148" s="353" t="s">
        <v>187</v>
      </c>
      <c r="X148" s="353" t="s">
        <v>1145</v>
      </c>
      <c r="Y148" s="355" t="str">
        <f>IF('Gen Info'!$E$4="Canada","Politiques et de Procédures","Politiques et Procédures")</f>
        <v>Politiques et Procédures</v>
      </c>
      <c r="Z148" s="353" t="s">
        <v>1145</v>
      </c>
      <c r="AA148" s="355" t="str">
        <f>IF('Gen Info'!$E$4="Portugal","Requisitos e procedimentos","Políticas e Procedimentos")</f>
        <v>Políticas e Procedimentos</v>
      </c>
      <c r="AB148" s="353" t="s">
        <v>1145</v>
      </c>
    </row>
    <row r="149" spans="4:56" ht="17.149999999999999" customHeight="1">
      <c r="D149" s="353" t="s">
        <v>723</v>
      </c>
      <c r="E149" s="353" t="s">
        <v>1655</v>
      </c>
      <c r="F149" s="353">
        <v>3</v>
      </c>
      <c r="G149" s="353" t="s">
        <v>679</v>
      </c>
      <c r="H149" s="461" t="s">
        <v>1656</v>
      </c>
      <c r="I149" s="353" t="s">
        <v>1657</v>
      </c>
      <c r="J149" s="353" t="s">
        <v>42</v>
      </c>
      <c r="K149" s="353" t="s">
        <v>1658</v>
      </c>
      <c r="L149" s="353" t="s">
        <v>42</v>
      </c>
      <c r="M149" s="353">
        <f ca="1">IFERROR(VLOOKUP(Master_Agent_HQs[[#This Row],[iWatch '#]],INDIRECT('Defined Ranges'!$C$28&amp;"Order"&amp;'Defined Ranges'!$C$29),2,FALSE),"")</f>
        <v>28</v>
      </c>
      <c r="N149" s="353">
        <f ca="1">IFERROR(VLOOKUP(Master_Agent_HQs[[#This Row],[iWatch '#]],INDIRECT('Defined Ranges'!$C$28&amp;"Order"&amp;'Defined Ranges'!$C$29),3,FALSE),"")</f>
        <v>13</v>
      </c>
      <c r="O149" s="353">
        <f t="shared" si="12"/>
        <v>16</v>
      </c>
      <c r="P149" s="353" t="str" cm="1">
        <f t="array" ref="P149">_xlfn.IFS(LSelected="English",Master_Agent_HQs[[#This Row],[Verification Type English]],LSelected="Spanish",Master_Agent_HQs[[#This Row],[Verification Type Spanish]],LSelected="French",Master_Agent_HQs[[#This Row],[Verification Type French]],LSelected="Portuguese",Master_Agent_HQs[[#This Row],[Verification Type Portuguese]])</f>
        <v>Políticas y Procedimientos</v>
      </c>
      <c r="Q149" s="353" t="str" cm="1">
        <f t="array" ref="Q149">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DOCUMENTS REQUIRED AML/CFT P&amp;Ps: Answered by reviewing Agent's Policies and Procedures document received prior or during the call. (Refer to guidance column for the minumun standards)</v>
      </c>
      <c r="R149" s="353" t="s">
        <v>42</v>
      </c>
      <c r="S149" s="353" t="s">
        <v>42</v>
      </c>
      <c r="T149" s="353" t="s">
        <v>644</v>
      </c>
      <c r="U149" s="353" t="s">
        <v>186</v>
      </c>
      <c r="V149" s="353" t="s">
        <v>1659</v>
      </c>
      <c r="W149" s="353" t="s">
        <v>187</v>
      </c>
      <c r="X149" s="353" t="s">
        <v>1145</v>
      </c>
      <c r="Y149" s="355" t="str">
        <f>IF('Gen Info'!$E$4="Canada","Politiques et de Procédures","Politiques et Procédures")</f>
        <v>Politiques et Procédures</v>
      </c>
      <c r="Z149" s="353" t="s">
        <v>1145</v>
      </c>
      <c r="AA149" s="355" t="str">
        <f>IF('Gen Info'!$E$4="Portugal","Requisitos e procedimentos","Políticas e Procedimentos")</f>
        <v>Políticas e Procedimentos</v>
      </c>
      <c r="AB149" s="353" t="s">
        <v>1145</v>
      </c>
    </row>
    <row r="150" spans="4:56" ht="17.899999999999999" customHeight="1">
      <c r="D150" s="353" t="s">
        <v>738</v>
      </c>
      <c r="E150" s="353" t="s">
        <v>1162</v>
      </c>
      <c r="F150" s="353">
        <v>3</v>
      </c>
      <c r="G150" s="353" t="s">
        <v>679</v>
      </c>
      <c r="H150" s="461" t="s">
        <v>1660</v>
      </c>
      <c r="I150" s="353" t="s">
        <v>1661</v>
      </c>
      <c r="J150" s="353" t="s">
        <v>42</v>
      </c>
      <c r="K150" s="353" t="s">
        <v>1662</v>
      </c>
      <c r="L150" s="353" t="s">
        <v>94</v>
      </c>
      <c r="M150" s="353">
        <f ca="1">IFERROR(VLOOKUP(Master_Agent_HQs[[#This Row],[iWatch '#]],INDIRECT('Defined Ranges'!$C$28&amp;"Order"&amp;'Defined Ranges'!$C$29),2,FALSE),"")</f>
        <v>29</v>
      </c>
      <c r="N150" s="353">
        <f ca="1">IFERROR(VLOOKUP(Master_Agent_HQs[[#This Row],[iWatch '#]],INDIRECT('Defined Ranges'!$C$28&amp;"Order"&amp;'Defined Ranges'!$C$29),3,FALSE),"")</f>
        <v>14</v>
      </c>
      <c r="O150" s="353">
        <f t="shared" si="12"/>
        <v>17</v>
      </c>
      <c r="P150" s="353" t="str" cm="1">
        <f t="array" ref="P150">_xlfn.IFS(LSelected="English",Master_Agent_HQs[[#This Row],[Verification Type English]],LSelected="Spanish",Master_Agent_HQs[[#This Row],[Verification Type Spanish]],LSelected="French",Master_Agent_HQs[[#This Row],[Verification Type French]],LSelected="Portuguese",Master_Agent_HQs[[#This Row],[Verification Type Portuguese]])</f>
        <v>Políticas y Procedimientos</v>
      </c>
      <c r="Q150" s="353" t="str" cm="1">
        <f t="array" ref="Q150">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DOCUMENTS REQUIRED Anti-Fraud P&amp;Ps: Answered by reviewing Agent's Policies and Procedures document received prior or during the call. (Refer to guidance column for details)</v>
      </c>
      <c r="R150" s="353" t="s">
        <v>42</v>
      </c>
      <c r="S150" s="353" t="s">
        <v>42</v>
      </c>
      <c r="T150" s="353" t="s">
        <v>644</v>
      </c>
      <c r="U150" s="353" t="s">
        <v>186</v>
      </c>
      <c r="V150" s="353" t="s">
        <v>1663</v>
      </c>
      <c r="W150" s="353" t="s">
        <v>187</v>
      </c>
      <c r="X150" s="353" t="s">
        <v>1166</v>
      </c>
      <c r="Y150" s="355" t="str">
        <f>IF('Gen Info'!$E$4="Canada","Politiques et de Procédures","Politiques et Procédures")</f>
        <v>Politiques et Procédures</v>
      </c>
      <c r="Z150" s="353" t="s">
        <v>1166</v>
      </c>
      <c r="AA150" s="355" t="str">
        <f>IF('Gen Info'!$E$4="Portugal","Requisitos e procedimentos","Políticas e Procedimentos")</f>
        <v>Políticas e Procedimentos</v>
      </c>
      <c r="AB150" s="353" t="s">
        <v>1166</v>
      </c>
    </row>
    <row r="151" spans="4:56">
      <c r="D151" s="353" t="s">
        <v>753</v>
      </c>
      <c r="E151" s="353" t="s">
        <v>1664</v>
      </c>
      <c r="F151" s="353">
        <v>3</v>
      </c>
      <c r="G151" s="353" t="s">
        <v>679</v>
      </c>
      <c r="H151" s="353" t="s">
        <v>1665</v>
      </c>
      <c r="I151" s="353" t="s">
        <v>1666</v>
      </c>
      <c r="J151" s="353" t="s">
        <v>42</v>
      </c>
      <c r="K151" s="353" t="s">
        <v>1667</v>
      </c>
      <c r="L151" s="353" t="s">
        <v>1668</v>
      </c>
      <c r="M151" s="353">
        <f ca="1">IFERROR(VLOOKUP(Master_Agent_HQs[[#This Row],[iWatch '#]],INDIRECT('Defined Ranges'!$C$28&amp;"Order"&amp;'Defined Ranges'!$C$29),2,FALSE),"")</f>
        <v>25</v>
      </c>
      <c r="N151" s="353">
        <f ca="1">IFERROR(VLOOKUP(Master_Agent_HQs[[#This Row],[iWatch '#]],INDIRECT('Defined Ranges'!$C$28&amp;"Order"&amp;'Defined Ranges'!$C$29),3,FALSE),"")</f>
        <v>15</v>
      </c>
      <c r="O151" s="353">
        <f t="shared" si="12"/>
        <v>18</v>
      </c>
      <c r="P151" s="353" t="str" cm="1">
        <f t="array" ref="P151">_xlfn.IFS(LSelected="English",Master_Agent_HQs[[#This Row],[Verification Type English]],LSelected="Spanish",Master_Agent_HQs[[#This Row],[Verification Type Spanish]],LSelected="French",Master_Agent_HQs[[#This Row],[Verification Type French]],LSelected="Portuguese",Master_Agent_HQs[[#This Row],[Verification Type Portuguese]])</f>
        <v>Políticas y Procedimientos</v>
      </c>
      <c r="Q151" s="353" t="str" cm="1">
        <f t="array" ref="Q151">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DOCUMENTS REQUIRED COMPLETE Anti-Fraud P&amp;Ps: Answered by reviewing Agent's Policies and Procedures document received prior or during the call (Refer to guidance column for details)</v>
      </c>
      <c r="R151" s="353" t="s">
        <v>42</v>
      </c>
      <c r="S151" s="353" t="s">
        <v>42</v>
      </c>
      <c r="T151" s="353" t="s">
        <v>644</v>
      </c>
      <c r="U151" s="353" t="s">
        <v>186</v>
      </c>
      <c r="V151" s="353" t="s">
        <v>1669</v>
      </c>
      <c r="W151" s="353" t="s">
        <v>187</v>
      </c>
      <c r="X151" s="353" t="s">
        <v>1166</v>
      </c>
      <c r="Y151" s="355" t="str">
        <f>IF('Gen Info'!$E$4="Canada","Politiques et de Procédures","Politiques et Procédures")</f>
        <v>Politiques et Procédures</v>
      </c>
      <c r="Z151" s="353" t="s">
        <v>1166</v>
      </c>
      <c r="AA151" s="355" t="str">
        <f>IF('Gen Info'!$E$4="Portugal","Requisitos e procedimentos","Políticas e Procedimentos")</f>
        <v>Políticas e Procedimentos</v>
      </c>
      <c r="AB151" s="353" t="s">
        <v>1166</v>
      </c>
    </row>
    <row r="152" spans="4:56" ht="14.15" customHeight="1">
      <c r="D152" s="353" t="s">
        <v>761</v>
      </c>
      <c r="E152" s="353" t="s">
        <v>1670</v>
      </c>
      <c r="F152" s="353">
        <v>2</v>
      </c>
      <c r="G152" s="353" t="s">
        <v>609</v>
      </c>
      <c r="H152" s="353" t="s">
        <v>1671</v>
      </c>
      <c r="I152" s="353" t="s">
        <v>1672</v>
      </c>
      <c r="J152" s="353" t="s">
        <v>42</v>
      </c>
      <c r="K152" s="353" t="s">
        <v>42</v>
      </c>
      <c r="L152" s="353" t="s">
        <v>42</v>
      </c>
      <c r="M152" s="353">
        <f ca="1">IFERROR(VLOOKUP(Master_Agent_HQs[[#This Row],[iWatch '#]],INDIRECT('Defined Ranges'!$C$28&amp;"Order"&amp;'Defined Ranges'!$C$29),2,FALSE),"")</f>
        <v>26</v>
      </c>
      <c r="N152" s="353">
        <f ca="1">IFERROR(VLOOKUP(Master_Agent_HQs[[#This Row],[iWatch '#]],INDIRECT('Defined Ranges'!$C$28&amp;"Order"&amp;'Defined Ranges'!$C$29),3,FALSE),"")</f>
        <v>16</v>
      </c>
      <c r="O152" s="353">
        <f t="shared" si="12"/>
        <v>19</v>
      </c>
      <c r="P152" s="353" t="str" cm="1">
        <f t="array" ref="P152">_xlfn.IFS(LSelected="English",Master_Agent_HQs[[#This Row],[Verification Type English]],LSelected="Spanish",Master_Agent_HQs[[#This Row],[Verification Type Spanish]],LSelected="French",Master_Agent_HQs[[#This Row],[Verification Type French]],LSelected="Portuguese",Master_Agent_HQs[[#This Row],[Verification Type Portuguese]])</f>
        <v>Políticas y Procedimientos</v>
      </c>
      <c r="Q152" s="353" t="str" cm="1">
        <f t="array" ref="Q152">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DOCUMENTS REQUIRED AML/CFT and Anti-Fraud P&amp;Ps or  written statement describing the Agent’s process for updating their procedures periodically. Answered by reviewing Agent's Policies and Procedures or written statement document received prior or during the call.
1. Walk me trough the process for updating the AML/CFT and Anti-Fraud Policies and Procedures.
2. How often are they updated?</v>
      </c>
      <c r="R152" s="353" t="s">
        <v>42</v>
      </c>
      <c r="S152" s="353" t="s">
        <v>42</v>
      </c>
      <c r="T152" s="353" t="s">
        <v>644</v>
      </c>
      <c r="U152" s="353" t="s">
        <v>186</v>
      </c>
      <c r="V152" s="461" t="s">
        <v>1673</v>
      </c>
      <c r="W152" s="353" t="s">
        <v>187</v>
      </c>
      <c r="X152" s="353" t="s">
        <v>1674</v>
      </c>
      <c r="Y152" s="355" t="str">
        <f>IF('Gen Info'!$E$4="Canada","Politiques et de Procédures","Politiques et Procédures")</f>
        <v>Politiques et Procédures</v>
      </c>
      <c r="Z152" s="353" t="s">
        <v>1675</v>
      </c>
      <c r="AA152" s="355" t="str">
        <f>IF('Gen Info'!$E$4="Portugal","Requisitos e procedimentos","Políticas e Procedimentos")</f>
        <v>Políticas e Procedimentos</v>
      </c>
      <c r="AB152" s="353" t="s">
        <v>1676</v>
      </c>
    </row>
    <row r="153" spans="4:56">
      <c r="D153" s="353" t="s">
        <v>769</v>
      </c>
      <c r="E153" s="353" t="s">
        <v>1677</v>
      </c>
      <c r="F153" s="353" t="s">
        <v>42</v>
      </c>
      <c r="G153" s="353" t="s">
        <v>42</v>
      </c>
      <c r="H153" s="353" t="s">
        <v>42</v>
      </c>
      <c r="I153" s="353" t="s">
        <v>42</v>
      </c>
      <c r="J153" s="353" t="s">
        <v>42</v>
      </c>
      <c r="K153" s="353" t="s">
        <v>42</v>
      </c>
      <c r="L153" s="353" t="s">
        <v>1678</v>
      </c>
      <c r="M153" s="353">
        <f ca="1">IFERROR(VLOOKUP(Master_Agent_HQs[[#This Row],[iWatch '#]],INDIRECT('Defined Ranges'!$C$28&amp;"Order"&amp;'Defined Ranges'!$C$29),2,FALSE),"")</f>
        <v>20</v>
      </c>
      <c r="N153" s="353">
        <f ca="1">IFERROR(VLOOKUP(Master_Agent_HQs[[#This Row],[iWatch '#]],INDIRECT('Defined Ranges'!$C$28&amp;"Order"&amp;'Defined Ranges'!$C$29),3,FALSE),"")</f>
        <v>17</v>
      </c>
      <c r="O153" s="353">
        <f t="shared" si="12"/>
        <v>20</v>
      </c>
      <c r="P153" s="353" cm="1">
        <f t="array" ref="P153">_xlfn.IFS(LSelected="English",Master_Agent_HQs[[#This Row],[Verification Type English]],LSelected="Spanish",Master_Agent_HQs[[#This Row],[Verification Type Spanish]],LSelected="French",Master_Agent_HQs[[#This Row],[Verification Type French]],LSelected="Portuguese",Master_Agent_HQs[[#This Row],[Verification Type Portuguese]])</f>
        <v>0</v>
      </c>
      <c r="Q153" s="353" t="str" cm="1">
        <f t="array" ref="Q153">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 xml:space="preserve"> </v>
      </c>
      <c r="R153" s="353" t="s">
        <v>42</v>
      </c>
      <c r="S153" s="353" t="s">
        <v>42</v>
      </c>
      <c r="T153" s="353" t="s">
        <v>42</v>
      </c>
      <c r="U153" s="353"/>
      <c r="V153" s="353" t="s">
        <v>42</v>
      </c>
      <c r="W153" s="353"/>
      <c r="X153" s="353" t="s">
        <v>42</v>
      </c>
      <c r="Y153" s="353"/>
      <c r="Z153" s="353" t="s">
        <v>42</v>
      </c>
      <c r="AA153" s="353"/>
      <c r="AB153" s="353" t="s">
        <v>42</v>
      </c>
    </row>
    <row r="154" spans="4:56" ht="15" customHeight="1">
      <c r="D154" s="353" t="s">
        <v>777</v>
      </c>
      <c r="E154" s="353" t="s">
        <v>1679</v>
      </c>
      <c r="F154" s="353">
        <v>2</v>
      </c>
      <c r="G154" s="353" t="s">
        <v>609</v>
      </c>
      <c r="H154" s="353" t="s">
        <v>1680</v>
      </c>
      <c r="I154" s="353" t="s">
        <v>1681</v>
      </c>
      <c r="J154" s="353" t="s">
        <v>42</v>
      </c>
      <c r="K154" s="353" t="s">
        <v>42</v>
      </c>
      <c r="L154" s="353" t="s">
        <v>1682</v>
      </c>
      <c r="M154" s="353">
        <f ca="1">IFERROR(VLOOKUP(Master_Agent_HQs[[#This Row],[iWatch '#]],INDIRECT('Defined Ranges'!$C$28&amp;"Order"&amp;'Defined Ranges'!$C$29),2,FALSE),"")</f>
        <v>21</v>
      </c>
      <c r="N154" s="353">
        <f ca="1">IFERROR(VLOOKUP(Master_Agent_HQs[[#This Row],[iWatch '#]],INDIRECT('Defined Ranges'!$C$28&amp;"Order"&amp;'Defined Ranges'!$C$29),3,FALSE),"")</f>
        <v>18</v>
      </c>
      <c r="O154" s="353">
        <f t="shared" si="12"/>
        <v>21</v>
      </c>
      <c r="P154" s="353" t="str" cm="1">
        <f t="array" ref="P154">_xlfn.IFS(LSelected="English",Master_Agent_HQs[[#This Row],[Verification Type English]],LSelected="Spanish",Master_Agent_HQs[[#This Row],[Verification Type Spanish]],LSelected="French",Master_Agent_HQs[[#This Row],[Verification Type French]],LSelected="Portuguese",Master_Agent_HQs[[#This Row],[Verification Type Portuguese]])</f>
        <v>Políticas y Procedimientos</v>
      </c>
      <c r="Q154" s="353" t="str" cm="1">
        <f t="array" ref="Q154">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DOCUMENT REQUIRED: Evidence/proof or documentation showing that the Policies &amp; Procedures are communicated on at least an annual basis to all employees (including those at the Master Agent and Sub-Agent level) involved with WU products and services. 
If P&amp;Ps were not shown, finding applies. (Refer to guidance)</v>
      </c>
      <c r="R154" s="353" t="s">
        <v>42</v>
      </c>
      <c r="S154" s="353" t="s">
        <v>42</v>
      </c>
      <c r="T154" s="353" t="s">
        <v>644</v>
      </c>
      <c r="U154" s="353" t="s">
        <v>186</v>
      </c>
      <c r="V154" s="461" t="s">
        <v>1683</v>
      </c>
      <c r="W154" s="353" t="s">
        <v>187</v>
      </c>
      <c r="X154" s="353" t="s">
        <v>1190</v>
      </c>
      <c r="Y154" s="355" t="str">
        <f>IF('Gen Info'!$E$4="Canada","Politiques et de Procédures","Politiques et Procédures")</f>
        <v>Politiques et Procédures</v>
      </c>
      <c r="Z154" s="353" t="s">
        <v>1190</v>
      </c>
      <c r="AA154" s="355" t="str">
        <f>IF('Gen Info'!$E$4="Portugal","Requisitos e procedimentos","Políticas e Procedimentos")</f>
        <v>Políticas e Procedimentos</v>
      </c>
      <c r="AB154" s="353" t="s">
        <v>1190</v>
      </c>
    </row>
    <row r="155" spans="4:56">
      <c r="D155" s="353" t="s">
        <v>797</v>
      </c>
      <c r="E155" s="353" t="s">
        <v>1684</v>
      </c>
      <c r="F155" s="353">
        <v>2</v>
      </c>
      <c r="G155" s="353" t="s">
        <v>609</v>
      </c>
      <c r="H155" s="353" t="s">
        <v>1685</v>
      </c>
      <c r="I155" s="353" t="s">
        <v>1686</v>
      </c>
      <c r="J155" s="353" t="s">
        <v>42</v>
      </c>
      <c r="K155" s="353" t="s">
        <v>42</v>
      </c>
      <c r="L155" s="353" t="s">
        <v>42</v>
      </c>
      <c r="M155" s="353">
        <f ca="1">IFERROR(VLOOKUP(Master_Agent_HQs[[#This Row],[iWatch '#]],INDIRECT('Defined Ranges'!$C$28&amp;"Order"&amp;'Defined Ranges'!$C$29),2,FALSE),"")</f>
        <v>30</v>
      </c>
      <c r="N155" s="353">
        <f ca="1">IFERROR(VLOOKUP(Master_Agent_HQs[[#This Row],[iWatch '#]],INDIRECT('Defined Ranges'!$C$28&amp;"Order"&amp;'Defined Ranges'!$C$29),3,FALSE),"")</f>
        <v>20</v>
      </c>
      <c r="O155" s="353">
        <f t="shared" si="12"/>
        <v>22</v>
      </c>
      <c r="P155" s="353" t="str" cm="1">
        <f t="array" ref="P155">_xlfn.IFS(LSelected="English",Master_Agent_HQs[[#This Row],[Verification Type English]],LSelected="Spanish",Master_Agent_HQs[[#This Row],[Verification Type Spanish]],LSelected="French",Master_Agent_HQs[[#This Row],[Verification Type French]],LSelected="Portuguese",Master_Agent_HQs[[#This Row],[Verification Type Portuguese]])</f>
        <v>Elaboración de Informes</v>
      </c>
      <c r="Q155" s="353" t="str" cm="1">
        <f t="array" ref="Q155">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DOCUMENTS REQUIRED AML/CFT P&amp;Ps (SUSPICIOUS ACTIVUTY SECTION): Answered by reviewing Agent's Policies and Procedures document received prior or during the call.</v>
      </c>
      <c r="R155" s="353" t="s">
        <v>42</v>
      </c>
      <c r="S155" s="353" t="s">
        <v>42</v>
      </c>
      <c r="T155" s="353" t="s">
        <v>644</v>
      </c>
      <c r="U155" s="353" t="s">
        <v>199</v>
      </c>
      <c r="V155" s="353" t="s">
        <v>1687</v>
      </c>
      <c r="W155" s="355" t="str">
        <f>IF('Gen Info'!$E$4="Spain","Informes","Elaboración de Informes")</f>
        <v>Elaboración de Informes</v>
      </c>
      <c r="X155" s="353" t="s">
        <v>1145</v>
      </c>
      <c r="Y155" s="355" t="str">
        <f>IF('Gen Info'!$E$4="Canada","Déclarations","Signalement d'activité douteuse/déclarations de doute interne")</f>
        <v>Signalement d'activité douteuse/déclarations de doute interne</v>
      </c>
      <c r="Z155" s="353" t="s">
        <v>1145</v>
      </c>
      <c r="AA155" s="355" t="str">
        <f>IF('Gen Info'!$E$4="Portugal","Denúncias","Geração de relatórios")</f>
        <v>Geração de relatórios</v>
      </c>
      <c r="AB155" s="353" t="s">
        <v>1145</v>
      </c>
    </row>
    <row r="156" spans="4:56">
      <c r="D156" s="353" t="s">
        <v>807</v>
      </c>
      <c r="E156" s="353" t="s">
        <v>1057</v>
      </c>
      <c r="F156" s="353">
        <v>7</v>
      </c>
      <c r="G156" s="353" t="s">
        <v>1058</v>
      </c>
      <c r="H156" s="353" t="s">
        <v>1059</v>
      </c>
      <c r="I156" s="353" t="s">
        <v>1060</v>
      </c>
      <c r="J156" s="353" t="s">
        <v>42</v>
      </c>
      <c r="K156" s="353" t="s">
        <v>42</v>
      </c>
      <c r="L156" s="353" t="s">
        <v>42</v>
      </c>
      <c r="M156" s="353">
        <f ca="1">IFERROR(VLOOKUP(Master_Agent_HQs[[#This Row],[iWatch '#]],INDIRECT('Defined Ranges'!$C$28&amp;"Order"&amp;'Defined Ranges'!$C$29),2,FALSE),"")</f>
        <v>31</v>
      </c>
      <c r="N156" s="353">
        <f ca="1">IFERROR(VLOOKUP(Master_Agent_HQs[[#This Row],[iWatch '#]],INDIRECT('Defined Ranges'!$C$28&amp;"Order"&amp;'Defined Ranges'!$C$29),3,FALSE),"")</f>
        <v>21</v>
      </c>
      <c r="O156" s="353">
        <f t="shared" si="12"/>
        <v>23</v>
      </c>
      <c r="P156" s="353" t="str" cm="1">
        <f t="array" ref="P156">_xlfn.IFS(LSelected="English",Master_Agent_HQs[[#This Row],[Verification Type English]],LSelected="Spanish",Master_Agent_HQs[[#This Row],[Verification Type Spanish]],LSelected="French",Master_Agent_HQs[[#This Row],[Verification Type French]],LSelected="Portuguese",Master_Agent_HQs[[#This Row],[Verification Type Portuguese]])</f>
        <v>Elaboración de Informes</v>
      </c>
      <c r="Q156" s="353" t="str" cm="1">
        <f t="array" ref="Q156">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How do you report unusual/suspicious activity? (Submit a SAR – Suspicious Activity Report via BSA.
What is the timeframe to send a SAR? (30 days from the event)
Have you filed a SAR?
Are you familiar with the CTRs?
(WU files CTRs for WU MT transactions above $10,000 but the Agent is responsible for a combination of money orders, check cashing, travelers check or currency exchange and money transfers above 10 k or just money orders.)"</v>
      </c>
      <c r="R156" s="353" t="s">
        <v>42</v>
      </c>
      <c r="S156" s="353" t="s">
        <v>42</v>
      </c>
      <c r="T156" s="353" t="s">
        <v>644</v>
      </c>
      <c r="U156" s="353" t="s">
        <v>199</v>
      </c>
      <c r="V156" s="353" t="s">
        <v>1688</v>
      </c>
      <c r="W156" s="355" t="str">
        <f>IF('Gen Info'!$E$4="Spain","Informes","Elaboración de Informes")</f>
        <v>Elaboración de Informes</v>
      </c>
      <c r="X156" s="353" t="s">
        <v>1063</v>
      </c>
      <c r="Y156" s="355" t="str">
        <f>IF('Gen Info'!$E$4="Canada","Déclarations","Signalement d'activité douteuse/déclarations de doute interne")</f>
        <v>Signalement d'activité douteuse/déclarations de doute interne</v>
      </c>
      <c r="Z156" s="353" t="s">
        <v>1064</v>
      </c>
      <c r="AA156" s="355" t="str">
        <f>IF('Gen Info'!$E$4="Portugal","Denúncias","Geração de relatórios")</f>
        <v>Geração de relatórios</v>
      </c>
      <c r="AB156" s="353" t="s">
        <v>1065</v>
      </c>
    </row>
    <row r="157" spans="4:56" ht="15.65" customHeight="1">
      <c r="D157" s="353" t="s">
        <v>881</v>
      </c>
      <c r="E157" s="353" t="s">
        <v>1689</v>
      </c>
      <c r="F157" s="353">
        <v>3</v>
      </c>
      <c r="G157" s="353" t="s">
        <v>679</v>
      </c>
      <c r="H157" s="353" t="s">
        <v>985</v>
      </c>
      <c r="I157" s="353" t="s">
        <v>1690</v>
      </c>
      <c r="J157" s="353" t="s">
        <v>42</v>
      </c>
      <c r="K157" s="353" t="s">
        <v>1691</v>
      </c>
      <c r="L157" s="353" t="s">
        <v>42</v>
      </c>
      <c r="M157" s="353">
        <f ca="1">IFERROR(VLOOKUP(Master_Agent_HQs[[#This Row],[iWatch '#]],INDIRECT('Defined Ranges'!$C$28&amp;"Order"&amp;'Defined Ranges'!$C$29),2,FALSE),"")</f>
        <v>8</v>
      </c>
      <c r="N157" s="353">
        <f ca="1">IFERROR(VLOOKUP(Master_Agent_HQs[[#This Row],[iWatch '#]],INDIRECT('Defined Ranges'!$C$28&amp;"Order"&amp;'Defined Ranges'!$C$29),3,FALSE),"")</f>
        <v>28</v>
      </c>
      <c r="O157" s="353">
        <f t="shared" si="12"/>
        <v>24</v>
      </c>
      <c r="P157" s="353" t="str" cm="1">
        <f t="array" ref="P157">_xlfn.IFS(LSelected="English",Master_Agent_HQs[[#This Row],[Verification Type English]],LSelected="Spanish",Master_Agent_HQs[[#This Row],[Verification Type Spanish]],LSelected="French",Master_Agent_HQs[[#This Row],[Verification Type French]],LSelected="Portuguese",Master_Agent_HQs[[#This Row],[Verification Type Portuguese]])</f>
        <v>Programa de Capacitación</v>
      </c>
      <c r="Q157" s="353" t="str" cm="1">
        <f t="array" ref="Q157">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DOCUMENTS REQUIRED: AML/CFT and Fraud Awareness P&amp;Ps  (Training Section): Answered by reviewing Agent's Policies and Procedures document received prior or during the call.
1. Where in your program is the Training section located and what does it talk about specifically?</v>
      </c>
      <c r="R157" s="353" t="s">
        <v>42</v>
      </c>
      <c r="S157" s="353" t="s">
        <v>42</v>
      </c>
      <c r="T157" s="353" t="s">
        <v>644</v>
      </c>
      <c r="U157" s="353" t="s">
        <v>210</v>
      </c>
      <c r="V157" s="462" t="s">
        <v>1692</v>
      </c>
      <c r="W157" s="355" t="str">
        <f>IF('Gen Info'!$E$4="Spain","Programa de Formación","Programa de Capacitación")</f>
        <v>Programa de Capacitación</v>
      </c>
      <c r="X157" s="353" t="s">
        <v>988</v>
      </c>
      <c r="Y157" s="355" t="str">
        <f>IF('Gen Info'!$E$4="Canada","Programme du Formation","Programme de Formation")</f>
        <v>Programme de Formation</v>
      </c>
      <c r="Z157" s="353" t="s">
        <v>989</v>
      </c>
      <c r="AA157" s="355" t="str">
        <f>IF('Gen Info'!$E$4="Portugal","Programa de formação","Programa de treinamento")</f>
        <v>Programa de treinamento</v>
      </c>
      <c r="AB157" s="353" t="s">
        <v>990</v>
      </c>
    </row>
    <row r="158" spans="4:56" ht="18" customHeight="1">
      <c r="D158" s="353" t="s">
        <v>893</v>
      </c>
      <c r="E158" s="353" t="s">
        <v>1693</v>
      </c>
      <c r="F158" s="353">
        <v>8</v>
      </c>
      <c r="G158" s="353" t="s">
        <v>1000</v>
      </c>
      <c r="H158" s="353" t="s">
        <v>1001</v>
      </c>
      <c r="I158" s="353" t="s">
        <v>1694</v>
      </c>
      <c r="J158" s="353" t="s">
        <v>42</v>
      </c>
      <c r="K158" s="353" t="s">
        <v>42</v>
      </c>
      <c r="L158" s="353" t="s">
        <v>42</v>
      </c>
      <c r="M158" s="353">
        <f ca="1">IFERROR(VLOOKUP(Master_Agent_HQs[[#This Row],[iWatch '#]],INDIRECT('Defined Ranges'!$C$28&amp;"Order"&amp;'Defined Ranges'!$C$29),2,FALSE),"")</f>
        <v>9</v>
      </c>
      <c r="N158" s="353">
        <f ca="1">IFERROR(VLOOKUP(Master_Agent_HQs[[#This Row],[iWatch '#]],INDIRECT('Defined Ranges'!$C$28&amp;"Order"&amp;'Defined Ranges'!$C$29),3,FALSE),"")</f>
        <v>29</v>
      </c>
      <c r="O158" s="353">
        <f t="shared" si="12"/>
        <v>25</v>
      </c>
      <c r="P158" s="353" t="str" cm="1">
        <f t="array" ref="P158">_xlfn.IFS(LSelected="English",Master_Agent_HQs[[#This Row],[Verification Type English]],LSelected="Spanish",Master_Agent_HQs[[#This Row],[Verification Type Spanish]],LSelected="French",Master_Agent_HQs[[#This Row],[Verification Type French]],LSelected="Portuguese",Master_Agent_HQs[[#This Row],[Verification Type Portuguese]])</f>
        <v>Programa de Capacitación</v>
      </c>
      <c r="Q158" s="353" t="str" cm="1">
        <f t="array" ref="Q158">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DOCUMENTS REQUIRED Training Evidence: Answer by reviewing Agent's Training Log report prior or during the call. 
Note: Make sure the documentation includes the topics covered, name of the attendees and the training date.</v>
      </c>
      <c r="R158" s="353" t="s">
        <v>42</v>
      </c>
      <c r="S158" s="353" t="s">
        <v>42</v>
      </c>
      <c r="T158" s="353" t="s">
        <v>644</v>
      </c>
      <c r="U158" s="353" t="s">
        <v>210</v>
      </c>
      <c r="V158" s="461" t="s">
        <v>1695</v>
      </c>
      <c r="W158" s="355" t="str">
        <f>IF('Gen Info'!$E$4="Spain","Programa de Formación","Programa de Capacitación")</f>
        <v>Programa de Capacitación</v>
      </c>
      <c r="X158" s="353" t="s">
        <v>1003</v>
      </c>
      <c r="Y158" s="355" t="str">
        <f>IF('Gen Info'!$E$4="Canada","Programme du Formation","Programme de Formation")</f>
        <v>Programme de Formation</v>
      </c>
      <c r="Z158" s="353" t="s">
        <v>1003</v>
      </c>
      <c r="AA158" s="355" t="str">
        <f>IF('Gen Info'!$E$4="Portugal","Programa de formação","Programa de treinamento")</f>
        <v>Programa de treinamento</v>
      </c>
      <c r="AB158" s="353" t="s">
        <v>1003</v>
      </c>
    </row>
    <row r="159" spans="4:56" ht="14.15" customHeight="1">
      <c r="D159" s="353" t="s">
        <v>1696</v>
      </c>
      <c r="E159" s="353" t="s">
        <v>1697</v>
      </c>
      <c r="F159" s="353">
        <v>3</v>
      </c>
      <c r="G159" s="353" t="s">
        <v>679</v>
      </c>
      <c r="H159" s="353" t="s">
        <v>1698</v>
      </c>
      <c r="I159" s="353" t="s">
        <v>1699</v>
      </c>
      <c r="J159" s="353" t="s">
        <v>42</v>
      </c>
      <c r="K159" s="353" t="s">
        <v>1700</v>
      </c>
      <c r="L159" s="353" t="s">
        <v>42</v>
      </c>
      <c r="M159" s="353" t="str">
        <f ca="1">IFERROR(VLOOKUP(Master_Agent_HQs[[#This Row],[iWatch '#]],INDIRECT('Defined Ranges'!$C$28&amp;"Order"&amp;'Defined Ranges'!$C$29),2,FALSE),"")</f>
        <v/>
      </c>
      <c r="N159" s="353" t="str">
        <f ca="1">IFERROR(VLOOKUP(Master_Agent_HQs[[#This Row],[iWatch '#]],INDIRECT('Defined Ranges'!$C$28&amp;"Order"&amp;'Defined Ranges'!$C$29),3,FALSE),"")</f>
        <v/>
      </c>
      <c r="O159" s="353">
        <f t="shared" si="12"/>
        <v>26</v>
      </c>
      <c r="P159" s="353" t="str" cm="1">
        <f t="array" ref="P159">_xlfn.IFS(LSelected="English",Master_Agent_HQs[[#This Row],[Verification Type English]],LSelected="Spanish",Master_Agent_HQs[[#This Row],[Verification Type Spanish]],LSelected="French",Master_Agent_HQs[[#This Row],[Verification Type French]],LSelected="Portuguese",Master_Agent_HQs[[#This Row],[Verification Type Portuguese]])</f>
        <v>Programa de Capacitación</v>
      </c>
      <c r="Q159" s="353" t="str" cm="1">
        <f t="array" ref="Q159">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DOCUMENT REQUIRED AML/CFT &amp; Anti-Fraud P&amp;Ps (Training section) and Training Evidence: If P&amp;Ps were not provided, finding applies. 
Note: Make sure the documentation includes the topics covered, name of the attendees and the training date.</v>
      </c>
      <c r="R159" s="353" t="s">
        <v>42</v>
      </c>
      <c r="S159" s="353" t="s">
        <v>42</v>
      </c>
      <c r="T159" s="353" t="s">
        <v>644</v>
      </c>
      <c r="U159" s="353" t="s">
        <v>210</v>
      </c>
      <c r="V159" s="461" t="s">
        <v>1701</v>
      </c>
      <c r="W159" s="355" t="str">
        <f>IF('Gen Info'!$E$4="Spain","Programa de Formación","Programa de Capacitación")</f>
        <v>Programa de Capacitación</v>
      </c>
      <c r="X159" s="353" t="s">
        <v>1190</v>
      </c>
      <c r="Y159" s="355" t="str">
        <f>IF('Gen Info'!$E$4="Canada","Programme du Formation","Programme de Formation")</f>
        <v>Programme de Formation</v>
      </c>
      <c r="Z159" s="353" t="s">
        <v>1190</v>
      </c>
      <c r="AA159" s="355" t="str">
        <f>IF('Gen Info'!$E$4="Portugal","Programa de formação","Programa de treinamento")</f>
        <v>Programa de treinamento</v>
      </c>
      <c r="AB159" s="353" t="s">
        <v>1190</v>
      </c>
    </row>
    <row r="160" spans="4:56" ht="15" customHeight="1">
      <c r="D160" s="353" t="s">
        <v>1702</v>
      </c>
      <c r="E160" s="353" t="s">
        <v>1703</v>
      </c>
      <c r="F160" s="353">
        <v>3</v>
      </c>
      <c r="G160" s="353" t="s">
        <v>679</v>
      </c>
      <c r="H160" s="353" t="s">
        <v>1704</v>
      </c>
      <c r="I160" s="353" t="s">
        <v>1705</v>
      </c>
      <c r="J160" s="353" t="s">
        <v>42</v>
      </c>
      <c r="K160" s="353" t="s">
        <v>1706</v>
      </c>
      <c r="L160" s="353" t="s">
        <v>42</v>
      </c>
      <c r="M160" s="353" t="str">
        <f ca="1">IFERROR(VLOOKUP(Master_Agent_HQs[[#This Row],[iWatch '#]],INDIRECT('Defined Ranges'!$C$28&amp;"Order"&amp;'Defined Ranges'!$C$29),2,FALSE),"")</f>
        <v/>
      </c>
      <c r="N160" s="353" t="str">
        <f ca="1">IFERROR(VLOOKUP(Master_Agent_HQs[[#This Row],[iWatch '#]],INDIRECT('Defined Ranges'!$C$28&amp;"Order"&amp;'Defined Ranges'!$C$29),3,FALSE),"")</f>
        <v/>
      </c>
      <c r="O160" s="353">
        <f t="shared" si="12"/>
        <v>27</v>
      </c>
      <c r="P160" s="353" t="str" cm="1">
        <f t="array" ref="P160">_xlfn.IFS(LSelected="English",Master_Agent_HQs[[#This Row],[Verification Type English]],LSelected="Spanish",Master_Agent_HQs[[#This Row],[Verification Type Spanish]],LSelected="French",Master_Agent_HQs[[#This Row],[Verification Type French]],LSelected="Portuguese",Master_Agent_HQs[[#This Row],[Verification Type Portuguese]])</f>
        <v>Programa de Capacitación</v>
      </c>
      <c r="Q160" s="353" t="str" cm="1">
        <f t="array" ref="Q160">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DOCUMENTS REQUIRED AML/CFT &amp; Anti-Fraud Training Evidence: This question will be answered based on the Training Evidence provided prior or during call.
Note: Make sure the documentation includes the topics covered, name of the attendees and the training date.</v>
      </c>
      <c r="R160" s="353" t="s">
        <v>42</v>
      </c>
      <c r="S160" s="353" t="s">
        <v>42</v>
      </c>
      <c r="T160" s="353" t="s">
        <v>644</v>
      </c>
      <c r="U160" s="353" t="s">
        <v>210</v>
      </c>
      <c r="V160" s="461" t="s">
        <v>1707</v>
      </c>
      <c r="W160" s="355" t="str">
        <f>IF('Gen Info'!$E$4="Spain","Programa de Formación","Programa de Capacitación")</f>
        <v>Programa de Capacitación</v>
      </c>
      <c r="X160" s="353" t="s">
        <v>1708</v>
      </c>
      <c r="Y160" s="355" t="str">
        <f>IF('Gen Info'!$E$4="Canada","Programme du Formation","Programme de Formation")</f>
        <v>Programme de Formation</v>
      </c>
      <c r="Z160" s="353" t="s">
        <v>1708</v>
      </c>
      <c r="AA160" s="355" t="str">
        <f>IF('Gen Info'!$E$4="Portugal","Programa de formação","Programa de treinamento")</f>
        <v>Programa de treinamento</v>
      </c>
      <c r="AB160" s="353" t="s">
        <v>1708</v>
      </c>
    </row>
    <row r="161" spans="4:28" ht="16.399999999999999" customHeight="1">
      <c r="D161" s="353" t="s">
        <v>1709</v>
      </c>
      <c r="E161" s="353" t="s">
        <v>1013</v>
      </c>
      <c r="F161" s="353">
        <v>2</v>
      </c>
      <c r="G161" s="353" t="s">
        <v>609</v>
      </c>
      <c r="H161" s="353" t="s">
        <v>1710</v>
      </c>
      <c r="I161" s="353" t="s">
        <v>1015</v>
      </c>
      <c r="J161" s="353" t="s">
        <v>42</v>
      </c>
      <c r="K161" s="353" t="s">
        <v>42</v>
      </c>
      <c r="L161" s="353" t="s">
        <v>42</v>
      </c>
      <c r="M161" s="353" t="str">
        <f ca="1">IFERROR(VLOOKUP(Master_Agent_HQs[[#This Row],[iWatch '#]],INDIRECT('Defined Ranges'!$C$28&amp;"Order"&amp;'Defined Ranges'!$C$29),2,FALSE),"")</f>
        <v/>
      </c>
      <c r="N161" s="353" t="str">
        <f ca="1">IFERROR(VLOOKUP(Master_Agent_HQs[[#This Row],[iWatch '#]],INDIRECT('Defined Ranges'!$C$28&amp;"Order"&amp;'Defined Ranges'!$C$29),3,FALSE),"")</f>
        <v/>
      </c>
      <c r="O161" s="353">
        <f t="shared" si="12"/>
        <v>28</v>
      </c>
      <c r="P161" s="353" t="str" cm="1">
        <f t="array" ref="P161">_xlfn.IFS(LSelected="English",Master_Agent_HQs[[#This Row],[Verification Type English]],LSelected="Spanish",Master_Agent_HQs[[#This Row],[Verification Type Spanish]],LSelected="French",Master_Agent_HQs[[#This Row],[Verification Type French]],LSelected="Portuguese",Master_Agent_HQs[[#This Row],[Verification Type Portuguese]])</f>
        <v>Programa de Capacitación</v>
      </c>
      <c r="Q161" s="353" t="str" cm="1">
        <f t="array" ref="Q161">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DOCUMENT REQUIRED AML/CFT &amp; Anti-Fraud Initial Training Evidence: This question will be answered based on the Training Evidence provided prior or during call. Make sure a specific comment is noted on the Training Log indicating AML/CFT &amp; Anti-Fraud training was delivered. 
1. Walk me through the process a newly hired operator must go through before being able to conduct transactions? (Initial Training).
2. Where or how do you document these trainings?</v>
      </c>
      <c r="R161" s="353" t="s">
        <v>42</v>
      </c>
      <c r="S161" s="353" t="s">
        <v>42</v>
      </c>
      <c r="T161" s="353" t="s">
        <v>644</v>
      </c>
      <c r="U161" s="353" t="s">
        <v>210</v>
      </c>
      <c r="V161" s="461" t="s">
        <v>1711</v>
      </c>
      <c r="W161" s="355" t="str">
        <f>IF('Gen Info'!$E$4="Spain","Programa de Formación","Programa de Capacitación")</f>
        <v>Programa de Capacitación</v>
      </c>
      <c r="X161" s="353" t="s">
        <v>1017</v>
      </c>
      <c r="Y161" s="355" t="str">
        <f>IF('Gen Info'!$E$4="Canada","Programme du Formation","Programme de Formation")</f>
        <v>Programme de Formation</v>
      </c>
      <c r="Z161" s="353" t="s">
        <v>1018</v>
      </c>
      <c r="AA161" s="355" t="str">
        <f>IF('Gen Info'!$E$4="Portugal","Programa de formação","Programa de treinamento")</f>
        <v>Programa de treinamento</v>
      </c>
      <c r="AB161" s="353" t="s">
        <v>1019</v>
      </c>
    </row>
    <row r="162" spans="4:28" ht="15.65" customHeight="1">
      <c r="D162" s="353" t="s">
        <v>1712</v>
      </c>
      <c r="E162" s="353" t="s">
        <v>1713</v>
      </c>
      <c r="F162" s="353">
        <v>3</v>
      </c>
      <c r="G162" s="353" t="s">
        <v>679</v>
      </c>
      <c r="H162" s="353" t="s">
        <v>1714</v>
      </c>
      <c r="I162" s="353" t="s">
        <v>1030</v>
      </c>
      <c r="J162" s="353" t="s">
        <v>42</v>
      </c>
      <c r="K162" s="353" t="s">
        <v>1715</v>
      </c>
      <c r="L162" s="353" t="s">
        <v>42</v>
      </c>
      <c r="M162" s="353" t="str">
        <f ca="1">IFERROR(VLOOKUP(Master_Agent_HQs[[#This Row],[iWatch '#]],INDIRECT('Defined Ranges'!$C$28&amp;"Order"&amp;'Defined Ranges'!$C$29),2,FALSE),"")</f>
        <v/>
      </c>
      <c r="N162" s="353" t="str">
        <f ca="1">IFERROR(VLOOKUP(Master_Agent_HQs[[#This Row],[iWatch '#]],INDIRECT('Defined Ranges'!$C$28&amp;"Order"&amp;'Defined Ranges'!$C$29),3,FALSE),"")</f>
        <v/>
      </c>
      <c r="O162" s="353">
        <f t="shared" si="12"/>
        <v>29</v>
      </c>
      <c r="P162" s="353" t="str" cm="1">
        <f t="array" ref="P162">_xlfn.IFS(LSelected="English",Master_Agent_HQs[[#This Row],[Verification Type English]],LSelected="Spanish",Master_Agent_HQs[[#This Row],[Verification Type Spanish]],LSelected="French",Master_Agent_HQs[[#This Row],[Verification Type French]],LSelected="Portuguese",Master_Agent_HQs[[#This Row],[Verification Type Portuguese]])</f>
        <v>Programa de Capacitación</v>
      </c>
      <c r="Q162" s="353" t="str" cm="1">
        <f t="array" ref="Q162">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DOCUMENT REQUIRED AML/CFT &amp; Anti-Fraud Ongoing Training Evidence: This question will be answered based on the Training Evidence provided prior or during call. Make sure a specific comment is noted on the Training Log indicating AML/CFT &amp; Anti-Fraud training was delivered. 
How often do you provide AML and Anti-Fraud refresher training to your regular employees?</v>
      </c>
      <c r="R162" s="353" t="s">
        <v>42</v>
      </c>
      <c r="S162" s="353" t="s">
        <v>42</v>
      </c>
      <c r="T162" s="353" t="s">
        <v>644</v>
      </c>
      <c r="U162" s="353" t="s">
        <v>210</v>
      </c>
      <c r="V162" s="461" t="s">
        <v>1716</v>
      </c>
      <c r="W162" s="355" t="str">
        <f>IF('Gen Info'!$E$4="Spain","Programa de Formación","Programa de Capacitación")</f>
        <v>Programa de Capacitación</v>
      </c>
      <c r="X162" s="353" t="s">
        <v>1033</v>
      </c>
      <c r="Y162" s="355" t="str">
        <f>IF('Gen Info'!$E$4="Canada","Programme du Formation","Programme de Formation")</f>
        <v>Programme de Formation</v>
      </c>
      <c r="Z162" s="353" t="s">
        <v>1034</v>
      </c>
      <c r="AA162" s="355" t="str">
        <f>IF('Gen Info'!$E$4="Portugal","Programa de formação","Programa de treinamento")</f>
        <v>Programa de treinamento</v>
      </c>
      <c r="AB162" s="353" t="s">
        <v>1035</v>
      </c>
    </row>
    <row r="163" spans="4:28" ht="17.899999999999999" customHeight="1">
      <c r="D163" s="353" t="s">
        <v>906</v>
      </c>
      <c r="E163" s="353" t="s">
        <v>1569</v>
      </c>
      <c r="F163" s="353">
        <v>2</v>
      </c>
      <c r="G163" s="353" t="s">
        <v>609</v>
      </c>
      <c r="H163" s="353" t="s">
        <v>1717</v>
      </c>
      <c r="I163" s="353" t="s">
        <v>1718</v>
      </c>
      <c r="J163" s="353" t="s">
        <v>42</v>
      </c>
      <c r="K163" s="353" t="s">
        <v>42</v>
      </c>
      <c r="L163" s="353" t="s">
        <v>42</v>
      </c>
      <c r="M163" s="353">
        <f ca="1">IFERROR(VLOOKUP(Master_Agent_HQs[[#This Row],[iWatch '#]],INDIRECT('Defined Ranges'!$C$28&amp;"Order"&amp;'Defined Ranges'!$C$29),2,FALSE),"")</f>
        <v>32</v>
      </c>
      <c r="N163" s="353">
        <f ca="1">IFERROR(VLOOKUP(Master_Agent_HQs[[#This Row],[iWatch '#]],INDIRECT('Defined Ranges'!$C$28&amp;"Order"&amp;'Defined Ranges'!$C$29),3,FALSE),"")</f>
        <v>30</v>
      </c>
      <c r="O163" s="353">
        <f t="shared" si="12"/>
        <v>30</v>
      </c>
      <c r="P163" s="353" cm="1">
        <f t="array" ref="P163">_xlfn.IFS(LSelected="English",Master_Agent_HQs[[#This Row],[Verification Type English]],LSelected="Spanish",Master_Agent_HQs[[#This Row],[Verification Type Spanish]],LSelected="French",Master_Agent_HQs[[#This Row],[Verification Type French]],LSelected="Portuguese",Master_Agent_HQs[[#This Row],[Verification Type Portuguese]])</f>
        <v>0</v>
      </c>
      <c r="Q163" s="353" t="str" cm="1">
        <f t="array" ref="Q163">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DOCUMENT REQUIRED: Screenshot of the Application used for monitoring along with a sample of the last monitoring reports (not older than 3 months from the date of the Program Review).
1. Do you use any of the WU monitoring tool to monitor transactions?</v>
      </c>
      <c r="R163" s="353" t="s">
        <v>42</v>
      </c>
      <c r="S163" s="353" t="s">
        <v>42</v>
      </c>
      <c r="T163" s="353" t="s">
        <v>42</v>
      </c>
      <c r="U163" s="353"/>
      <c r="V163" s="462" t="s">
        <v>1719</v>
      </c>
      <c r="W163" s="353"/>
      <c r="X163" s="353" t="s">
        <v>1573</v>
      </c>
      <c r="Y163" s="353"/>
      <c r="Z163" s="353" t="s">
        <v>1574</v>
      </c>
      <c r="AA163" s="353"/>
      <c r="AB163" s="353" t="s">
        <v>1575</v>
      </c>
    </row>
    <row r="164" spans="4:28">
      <c r="D164" s="353" t="s">
        <v>914</v>
      </c>
      <c r="E164" s="353" t="s">
        <v>1577</v>
      </c>
      <c r="F164" s="353" t="s">
        <v>42</v>
      </c>
      <c r="G164" s="353" t="s">
        <v>42</v>
      </c>
      <c r="H164" s="353" t="s">
        <v>1578</v>
      </c>
      <c r="I164" s="353" t="s">
        <v>42</v>
      </c>
      <c r="J164" s="353" t="s">
        <v>42</v>
      </c>
      <c r="K164" s="353" t="s">
        <v>42</v>
      </c>
      <c r="L164" s="353" t="s">
        <v>97</v>
      </c>
      <c r="M164" s="353">
        <f ca="1">IFERROR(VLOOKUP(Master_Agent_HQs[[#This Row],[iWatch '#]],INDIRECT('Defined Ranges'!$C$28&amp;"Order"&amp;'Defined Ranges'!$C$29),2,FALSE),"")</f>
        <v>33</v>
      </c>
      <c r="N164" s="353">
        <f ca="1">IFERROR(VLOOKUP(Master_Agent_HQs[[#This Row],[iWatch '#]],INDIRECT('Defined Ranges'!$C$28&amp;"Order"&amp;'Defined Ranges'!$C$29),3,FALSE),"")</f>
        <v>31</v>
      </c>
      <c r="O164" s="353">
        <f t="shared" si="12"/>
        <v>31</v>
      </c>
      <c r="P164" s="353" cm="1">
        <f t="array" ref="P164">_xlfn.IFS(LSelected="English",Master_Agent_HQs[[#This Row],[Verification Type English]],LSelected="Spanish",Master_Agent_HQs[[#This Row],[Verification Type Spanish]],LSelected="French",Master_Agent_HQs[[#This Row],[Verification Type French]],LSelected="Portuguese",Master_Agent_HQs[[#This Row],[Verification Type Portuguese]])</f>
        <v>0</v>
      </c>
      <c r="Q164" s="353" t="str" cm="1">
        <f t="array" ref="Q164">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What is the name of the WU monitoring tool or application that the Agent uses?</v>
      </c>
      <c r="R164" s="353" t="s">
        <v>42</v>
      </c>
      <c r="S164" s="353" t="s">
        <v>42</v>
      </c>
      <c r="T164" s="353" t="s">
        <v>42</v>
      </c>
      <c r="U164" s="353"/>
      <c r="V164" s="353" t="s">
        <v>1579</v>
      </c>
      <c r="W164" s="353"/>
      <c r="X164" s="353" t="s">
        <v>1580</v>
      </c>
      <c r="Y164" s="353"/>
      <c r="Z164" s="353" t="s">
        <v>1581</v>
      </c>
      <c r="AA164" s="353"/>
      <c r="AB164" s="353" t="s">
        <v>1582</v>
      </c>
    </row>
    <row r="165" spans="4:28">
      <c r="D165" s="353" t="s">
        <v>918</v>
      </c>
      <c r="E165" s="353" t="s">
        <v>1720</v>
      </c>
      <c r="F165" s="353" t="s">
        <v>42</v>
      </c>
      <c r="G165" s="353" t="s">
        <v>42</v>
      </c>
      <c r="H165" s="353" t="s">
        <v>1721</v>
      </c>
      <c r="I165" s="353" t="s">
        <v>42</v>
      </c>
      <c r="J165" s="353" t="s">
        <v>42</v>
      </c>
      <c r="K165" s="353" t="s">
        <v>42</v>
      </c>
      <c r="L165" s="353" t="s">
        <v>1722</v>
      </c>
      <c r="M165" s="353">
        <f ca="1">IFERROR(VLOOKUP(Master_Agent_HQs[[#This Row],[iWatch '#]],INDIRECT('Defined Ranges'!$C$28&amp;"Order"&amp;'Defined Ranges'!$C$29),2,FALSE),"")</f>
        <v>34</v>
      </c>
      <c r="N165" s="353">
        <f ca="1">IFERROR(VLOOKUP(Master_Agent_HQs[[#This Row],[iWatch '#]],INDIRECT('Defined Ranges'!$C$28&amp;"Order"&amp;'Defined Ranges'!$C$29),3,FALSE),"")</f>
        <v>32</v>
      </c>
      <c r="O165" s="353">
        <f t="shared" si="12"/>
        <v>32</v>
      </c>
      <c r="P165" s="353" cm="1">
        <f t="array" ref="P165">_xlfn.IFS(LSelected="English",Master_Agent_HQs[[#This Row],[Verification Type English]],LSelected="Spanish",Master_Agent_HQs[[#This Row],[Verification Type Spanish]],LSelected="French",Master_Agent_HQs[[#This Row],[Verification Type French]],LSelected="Portuguese",Master_Agent_HQs[[#This Row],[Verification Type Portuguese]])</f>
        <v>0</v>
      </c>
      <c r="Q165" s="353" t="str" cm="1">
        <f t="array" ref="Q165">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 xml:space="preserve"> </v>
      </c>
      <c r="R165" s="353" t="s">
        <v>42</v>
      </c>
      <c r="S165" s="353" t="s">
        <v>42</v>
      </c>
      <c r="T165" s="353" t="s">
        <v>42</v>
      </c>
      <c r="U165" s="353"/>
      <c r="V165" s="353" t="s">
        <v>42</v>
      </c>
      <c r="W165" s="353"/>
      <c r="X165" s="353" t="s">
        <v>42</v>
      </c>
      <c r="Y165" s="353"/>
      <c r="Z165" s="353" t="s">
        <v>42</v>
      </c>
      <c r="AA165" s="353"/>
      <c r="AB165" s="353" t="s">
        <v>42</v>
      </c>
    </row>
    <row r="166" spans="4:28" ht="17.899999999999999" customHeight="1">
      <c r="D166" s="353" t="s">
        <v>920</v>
      </c>
      <c r="E166" s="353" t="s">
        <v>1723</v>
      </c>
      <c r="F166" s="353">
        <v>2</v>
      </c>
      <c r="G166" s="353" t="s">
        <v>609</v>
      </c>
      <c r="H166" s="353" t="s">
        <v>1724</v>
      </c>
      <c r="I166" s="353" t="s">
        <v>1725</v>
      </c>
      <c r="J166" s="353" t="s">
        <v>42</v>
      </c>
      <c r="K166" s="353" t="s">
        <v>42</v>
      </c>
      <c r="L166" s="353" t="s">
        <v>42</v>
      </c>
      <c r="M166" s="353">
        <f ca="1">IFERROR(VLOOKUP(Master_Agent_HQs[[#This Row],[iWatch '#]],INDIRECT('Defined Ranges'!$C$28&amp;"Order"&amp;'Defined Ranges'!$C$29),2,FALSE),"")</f>
        <v>35</v>
      </c>
      <c r="N166" s="353">
        <f ca="1">IFERROR(VLOOKUP(Master_Agent_HQs[[#This Row],[iWatch '#]],INDIRECT('Defined Ranges'!$C$28&amp;"Order"&amp;'Defined Ranges'!$C$29),3,FALSE),"")</f>
        <v>33</v>
      </c>
      <c r="O166" s="353">
        <f t="shared" si="12"/>
        <v>33</v>
      </c>
      <c r="P166" s="353" t="str" cm="1">
        <f t="array" ref="P166">_xlfn.IFS(LSelected="English",Master_Agent_HQs[[#This Row],[Verification Type English]],LSelected="Spanish",Master_Agent_HQs[[#This Row],[Verification Type Spanish]],LSelected="French",Master_Agent_HQs[[#This Row],[Verification Type French]],LSelected="Portuguese",Master_Agent_HQs[[#This Row],[Verification Type Portuguese]])</f>
        <v>Supervisión</v>
      </c>
      <c r="Q166" s="353" t="str" cm="1">
        <f t="array" ref="Q166">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DOCUMENT REQUIRED Monitoring Results Reports: Answer by reviewing Agent's Monitoring document prior or during the call.
1) What WU products are included in your monitoring process?
2) How often do you monitor the transactions conducted at the location?</v>
      </c>
      <c r="R166" s="353" t="s">
        <v>42</v>
      </c>
      <c r="S166" s="353" t="s">
        <v>42</v>
      </c>
      <c r="T166" s="353" t="s">
        <v>644</v>
      </c>
      <c r="U166" s="353" t="s">
        <v>181</v>
      </c>
      <c r="V166" s="461" t="s">
        <v>1726</v>
      </c>
      <c r="W166" s="355" t="str">
        <f>IF('Gen Info'!$E$4="Spain","Seguimiento","Supervisión")</f>
        <v>Supervisión</v>
      </c>
      <c r="X166" s="353" t="s">
        <v>1221</v>
      </c>
      <c r="Y166" s="353" t="s">
        <v>183</v>
      </c>
      <c r="Z166" s="353" t="s">
        <v>1222</v>
      </c>
      <c r="AA166" s="355" t="str">
        <f>IF('Gen Info'!$E$4="Portugal","Monitorização","Monitoramento")</f>
        <v>Monitoramento</v>
      </c>
      <c r="AB166" s="353" t="s">
        <v>1223</v>
      </c>
    </row>
    <row r="167" spans="4:28" ht="16.399999999999999" customHeight="1">
      <c r="D167" s="353" t="s">
        <v>924</v>
      </c>
      <c r="E167" s="353" t="s">
        <v>1727</v>
      </c>
      <c r="F167" s="353">
        <v>2</v>
      </c>
      <c r="G167" s="353" t="s">
        <v>609</v>
      </c>
      <c r="H167" s="353" t="s">
        <v>1228</v>
      </c>
      <c r="I167" s="353" t="s">
        <v>1728</v>
      </c>
      <c r="J167" s="353" t="s">
        <v>42</v>
      </c>
      <c r="K167" s="353" t="s">
        <v>42</v>
      </c>
      <c r="L167" s="353" t="s">
        <v>42</v>
      </c>
      <c r="M167" s="353">
        <f ca="1">IFERROR(VLOOKUP(Master_Agent_HQs[[#This Row],[iWatch '#]],INDIRECT('Defined Ranges'!$C$28&amp;"Order"&amp;'Defined Ranges'!$C$29),2,FALSE),"")</f>
        <v>36</v>
      </c>
      <c r="N167" s="353">
        <f ca="1">IFERROR(VLOOKUP(Master_Agent_HQs[[#This Row],[iWatch '#]],INDIRECT('Defined Ranges'!$C$28&amp;"Order"&amp;'Defined Ranges'!$C$29),3,FALSE),"")</f>
        <v>34</v>
      </c>
      <c r="O167" s="353">
        <f t="shared" si="12"/>
        <v>34</v>
      </c>
      <c r="P167" s="353" t="str" cm="1">
        <f t="array" ref="P167">_xlfn.IFS(LSelected="English",Master_Agent_HQs[[#This Row],[Verification Type English]],LSelected="Spanish",Master_Agent_HQs[[#This Row],[Verification Type Spanish]],LSelected="French",Master_Agent_HQs[[#This Row],[Verification Type French]],LSelected="Portuguese",Master_Agent_HQs[[#This Row],[Verification Type Portuguese]])</f>
        <v>Supervisión</v>
      </c>
      <c r="Q167" s="353" t="str" cm="1">
        <f t="array" ref="Q167">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DOCUMENT REQUIRED Monitoring Results Report: Answer by reviewing Agent's Monitoring document prior or during the call. (Refer to guidance)
1) Walk me through your transaction monitoring process.</v>
      </c>
      <c r="R167" s="353" t="s">
        <v>42</v>
      </c>
      <c r="S167" s="353" t="s">
        <v>42</v>
      </c>
      <c r="T167" s="353" t="s">
        <v>644</v>
      </c>
      <c r="U167" s="353" t="s">
        <v>181</v>
      </c>
      <c r="V167" s="461" t="s">
        <v>1729</v>
      </c>
      <c r="W167" s="355" t="str">
        <f>IF('Gen Info'!$E$4="Spain","Seguimiento","Supervisión")</f>
        <v>Supervisión</v>
      </c>
      <c r="X167" s="353" t="s">
        <v>1230</v>
      </c>
      <c r="Y167" s="353" t="s">
        <v>183</v>
      </c>
      <c r="Z167" s="353" t="s">
        <v>1231</v>
      </c>
      <c r="AA167" s="355" t="str">
        <f>IF('Gen Info'!$E$4="Portugal","Monitorização","Monitoramento")</f>
        <v>Monitoramento</v>
      </c>
      <c r="AB167" s="353" t="s">
        <v>1232</v>
      </c>
    </row>
    <row r="168" spans="4:28">
      <c r="D168" s="353" t="s">
        <v>926</v>
      </c>
      <c r="E168" s="353" t="s">
        <v>1238</v>
      </c>
      <c r="F168" s="353">
        <v>2</v>
      </c>
      <c r="G168" s="353" t="s">
        <v>609</v>
      </c>
      <c r="H168" s="353" t="s">
        <v>1730</v>
      </c>
      <c r="I168" s="353" t="s">
        <v>1240</v>
      </c>
      <c r="J168" s="353" t="s">
        <v>42</v>
      </c>
      <c r="K168" s="353" t="s">
        <v>42</v>
      </c>
      <c r="L168" s="353" t="s">
        <v>42</v>
      </c>
      <c r="M168" s="353">
        <f ca="1">IFERROR(VLOOKUP(Master_Agent_HQs[[#This Row],[iWatch '#]],INDIRECT('Defined Ranges'!$C$28&amp;"Order"&amp;'Defined Ranges'!$C$29),2,FALSE),"")</f>
        <v>37</v>
      </c>
      <c r="N168" s="353">
        <f ca="1">IFERROR(VLOOKUP(Master_Agent_HQs[[#This Row],[iWatch '#]],INDIRECT('Defined Ranges'!$C$28&amp;"Order"&amp;'Defined Ranges'!$C$29),3,FALSE),"")</f>
        <v>35</v>
      </c>
      <c r="O168" s="353">
        <f t="shared" si="12"/>
        <v>35</v>
      </c>
      <c r="P168" s="353" t="str" cm="1">
        <f t="array" ref="P168">_xlfn.IFS(LSelected="English",Master_Agent_HQs[[#This Row],[Verification Type English]],LSelected="Spanish",Master_Agent_HQs[[#This Row],[Verification Type Spanish]],LSelected="French",Master_Agent_HQs[[#This Row],[Verification Type French]],LSelected="Portuguese",Master_Agent_HQs[[#This Row],[Verification Type Portuguese]])</f>
        <v>Supervisión</v>
      </c>
      <c r="Q168" s="353" t="str" cm="1">
        <f t="array" ref="Q168">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 xml:space="preserve">DOCUMENT REQUIRED Monitoring Results Report: Answer by reviewing Agent's Monitoring document from the most recent full 30 days of available monitoring and confirms that it is complete and sufficiently documents either electronically, manually, or both, to create a comprehensive audit trail of the investigation prior or during the call. </v>
      </c>
      <c r="R168" s="353" t="s">
        <v>42</v>
      </c>
      <c r="S168" s="353" t="s">
        <v>42</v>
      </c>
      <c r="T168" s="353" t="s">
        <v>644</v>
      </c>
      <c r="U168" s="353" t="s">
        <v>181</v>
      </c>
      <c r="V168" s="353" t="s">
        <v>1731</v>
      </c>
      <c r="W168" s="355" t="str">
        <f>IF('Gen Info'!$E$4="Spain","Seguimiento","Supervisión")</f>
        <v>Supervisión</v>
      </c>
      <c r="X168" s="353" t="s">
        <v>1241</v>
      </c>
      <c r="Y168" s="353" t="s">
        <v>183</v>
      </c>
      <c r="Z168" s="353" t="s">
        <v>1241</v>
      </c>
      <c r="AA168" s="355" t="str">
        <f>IF('Gen Info'!$E$4="Portugal","Monitorização","Monitoramento")</f>
        <v>Monitoramento</v>
      </c>
      <c r="AB168" s="353" t="s">
        <v>1241</v>
      </c>
    </row>
    <row r="169" spans="4:28">
      <c r="D169" s="353" t="s">
        <v>932</v>
      </c>
      <c r="E169" s="353" t="s">
        <v>1313</v>
      </c>
      <c r="F169" s="353">
        <v>3</v>
      </c>
      <c r="G169" s="353" t="s">
        <v>679</v>
      </c>
      <c r="H169" s="353" t="s">
        <v>1732</v>
      </c>
      <c r="I169" s="353" t="s">
        <v>1733</v>
      </c>
      <c r="J169" s="353" t="s">
        <v>42</v>
      </c>
      <c r="K169" s="353" t="s">
        <v>1734</v>
      </c>
      <c r="L169" s="353" t="s">
        <v>42</v>
      </c>
      <c r="M169" s="353">
        <f ca="1">IFERROR(VLOOKUP(Master_Agent_HQs[[#This Row],[iWatch '#]],INDIRECT('Defined Ranges'!$C$28&amp;"Order"&amp;'Defined Ranges'!$C$29),2,FALSE),"")</f>
        <v>11</v>
      </c>
      <c r="N169" s="353">
        <f ca="1">IFERROR(VLOOKUP(Master_Agent_HQs[[#This Row],[iWatch '#]],INDIRECT('Defined Ranges'!$C$28&amp;"Order"&amp;'Defined Ranges'!$C$29),3,FALSE),"")</f>
        <v>37</v>
      </c>
      <c r="O169" s="353">
        <f t="shared" si="12"/>
        <v>36</v>
      </c>
      <c r="P169" s="353" t="str" cm="1">
        <f t="array" ref="P169">_xlfn.IFS(LSelected="English",Master_Agent_HQs[[#This Row],[Verification Type English]],LSelected="Spanish",Master_Agent_HQs[[#This Row],[Verification Type Spanish]],LSelected="French",Master_Agent_HQs[[#This Row],[Verification Type French]],LSelected="Portuguese",Master_Agent_HQs[[#This Row],[Verification Type Portuguese]])</f>
        <v>Revisión Independiente</v>
      </c>
      <c r="Q169" s="353" t="str" cm="1">
        <f t="array" ref="Q169">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DOCUMENT REQUIRED: AML/CFT and Anti-Fraud: (Independent Review Frequency): Answer by reviewing Agent's P&amp;Ps and confirm the IR frequency (Yearly, every 6 months, etc).</v>
      </c>
      <c r="R169" s="353" t="s">
        <v>42</v>
      </c>
      <c r="S169" s="353" t="s">
        <v>42</v>
      </c>
      <c r="T169" s="353" t="s">
        <v>644</v>
      </c>
      <c r="U169" s="353" t="s">
        <v>168</v>
      </c>
      <c r="V169" s="353" t="s">
        <v>1735</v>
      </c>
      <c r="W169" s="353" t="s">
        <v>169</v>
      </c>
      <c r="X169" s="353" t="s">
        <v>1317</v>
      </c>
      <c r="Y169" s="353" t="s">
        <v>172</v>
      </c>
      <c r="Z169" s="353" t="s">
        <v>1317</v>
      </c>
      <c r="AA169" s="355" t="str">
        <f>IF('Gen Info'!$E$4="Portugal","Análise Independente","Revisão Independente")</f>
        <v>Revisão Independente</v>
      </c>
      <c r="AB169" s="353" t="s">
        <v>1317</v>
      </c>
    </row>
    <row r="170" spans="4:28">
      <c r="D170" s="353" t="s">
        <v>941</v>
      </c>
      <c r="E170" s="353" t="s">
        <v>1344</v>
      </c>
      <c r="F170" s="353">
        <v>3</v>
      </c>
      <c r="G170" s="353" t="s">
        <v>679</v>
      </c>
      <c r="H170" s="353" t="s">
        <v>1345</v>
      </c>
      <c r="I170" s="353" t="s">
        <v>1346</v>
      </c>
      <c r="J170" s="353" t="s">
        <v>42</v>
      </c>
      <c r="K170" s="353" t="s">
        <v>1736</v>
      </c>
      <c r="L170" s="353" t="s">
        <v>42</v>
      </c>
      <c r="M170" s="353">
        <f ca="1">IFERROR(VLOOKUP(Master_Agent_HQs[[#This Row],[iWatch '#]],INDIRECT('Defined Ranges'!$C$28&amp;"Order"&amp;'Defined Ranges'!$C$29),2,FALSE),"")</f>
        <v>14</v>
      </c>
      <c r="N170" s="353">
        <f ca="1">IFERROR(VLOOKUP(Master_Agent_HQs[[#This Row],[iWatch '#]],INDIRECT('Defined Ranges'!$C$28&amp;"Order"&amp;'Defined Ranges'!$C$29),3,FALSE),"")</f>
        <v>38</v>
      </c>
      <c r="O170" s="353">
        <f t="shared" si="12"/>
        <v>37</v>
      </c>
      <c r="P170" s="353" t="str" cm="1">
        <f t="array" ref="P170">_xlfn.IFS(LSelected="English",Master_Agent_HQs[[#This Row],[Verification Type English]],LSelected="Spanish",Master_Agent_HQs[[#This Row],[Verification Type Spanish]],LSelected="French",Master_Agent_HQs[[#This Row],[Verification Type French]],LSelected="Portuguese",Master_Agent_HQs[[#This Row],[Verification Type Portuguese]])</f>
        <v>Revisión Independiente</v>
      </c>
      <c r="Q170" s="353" t="str" cm="1">
        <f t="array" ref="Q170">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 xml:space="preserve"> DOCUMENT REQUIRED Independent Review: Answer by reviewing Agent's Independent Review prior the call or during the review.
1) Were there any deficiencies identified in the previous IR that you needed to correct?
2) How were those deficiencies corrected?</v>
      </c>
      <c r="R170" s="353" t="s">
        <v>42</v>
      </c>
      <c r="S170" s="353" t="s">
        <v>42</v>
      </c>
      <c r="T170" s="353" t="s">
        <v>644</v>
      </c>
      <c r="U170" s="353" t="s">
        <v>168</v>
      </c>
      <c r="V170" s="353" t="s">
        <v>1737</v>
      </c>
      <c r="W170" s="353" t="s">
        <v>169</v>
      </c>
      <c r="X170" s="353" t="s">
        <v>1349</v>
      </c>
      <c r="Y170" s="353" t="s">
        <v>172</v>
      </c>
      <c r="Z170" s="353" t="s">
        <v>1350</v>
      </c>
      <c r="AA170" s="355" t="str">
        <f>IF('Gen Info'!$E$4="Portugal","Análise Independente","Revisão Independente")</f>
        <v>Revisão Independente</v>
      </c>
      <c r="AB170" s="353" t="s">
        <v>1351</v>
      </c>
    </row>
    <row r="171" spans="4:28">
      <c r="D171" s="353" t="s">
        <v>1568</v>
      </c>
      <c r="E171" s="353" t="s">
        <v>1738</v>
      </c>
      <c r="F171" s="353">
        <v>3</v>
      </c>
      <c r="G171" s="353" t="s">
        <v>679</v>
      </c>
      <c r="H171" s="353" t="s">
        <v>1739</v>
      </c>
      <c r="I171" s="353" t="s">
        <v>1247</v>
      </c>
      <c r="J171" s="353" t="s">
        <v>42</v>
      </c>
      <c r="K171" s="353" t="s">
        <v>1740</v>
      </c>
      <c r="L171" s="353" t="s">
        <v>42</v>
      </c>
      <c r="M171" s="353" t="str">
        <f ca="1">IFERROR(VLOOKUP(Master_Agent_HQs[[#This Row],[iWatch '#]],INDIRECT('Defined Ranges'!$C$28&amp;"Order"&amp;'Defined Ranges'!$C$29),2,FALSE),"")</f>
        <v/>
      </c>
      <c r="N171" s="353" t="str">
        <f ca="1">IFERROR(VLOOKUP(Master_Agent_HQs[[#This Row],[iWatch '#]],INDIRECT('Defined Ranges'!$C$28&amp;"Order"&amp;'Defined Ranges'!$C$29),3,FALSE),"")</f>
        <v/>
      </c>
      <c r="O171" s="353">
        <f t="shared" si="12"/>
        <v>38</v>
      </c>
      <c r="P171" s="353" t="str" cm="1">
        <f t="array" ref="P171">_xlfn.IFS(LSelected="English",Master_Agent_HQs[[#This Row],[Verification Type English]],LSelected="Spanish",Master_Agent_HQs[[#This Row],[Verification Type Spanish]],LSelected="French",Master_Agent_HQs[[#This Row],[Verification Type French]],LSelected="Portuguese",Master_Agent_HQs[[#This Row],[Verification Type Portuguese]])</f>
        <v>Requisitos de KYC</v>
      </c>
      <c r="Q171" s="353" t="str" cm="1">
        <f t="array" ref="Q171">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As part of the review, we run a report of the transactions completed in the last couple of months at the location. This to determine how customers' details are being entered into the system.</v>
      </c>
      <c r="R171" s="353" t="s">
        <v>42</v>
      </c>
      <c r="S171" s="353" t="s">
        <v>42</v>
      </c>
      <c r="T171" s="353" t="s">
        <v>698</v>
      </c>
      <c r="U171" s="353" t="s">
        <v>175</v>
      </c>
      <c r="V171" s="353" t="s">
        <v>1249</v>
      </c>
      <c r="W171" s="355" t="str">
        <f>IF('Gen Info'!$E$4="Spain","Requerimientos de KYC","Requisitos de KYC")</f>
        <v>Requisitos de KYC</v>
      </c>
      <c r="X171" s="353" t="s">
        <v>1250</v>
      </c>
      <c r="Y171" s="355" t="str">
        <f>IF('Gen Info'!$E$4="Canada","Exigences en Matière de Connaissance des Clients","Exigences en Matière de Connaissance Client")</f>
        <v>Exigences en Matière de Connaissance Client</v>
      </c>
      <c r="Z171" s="353" t="s">
        <v>1251</v>
      </c>
      <c r="AA171" s="353" t="s">
        <v>178</v>
      </c>
      <c r="AB171" s="353" t="s">
        <v>1252</v>
      </c>
    </row>
    <row r="172" spans="4:28">
      <c r="D172" s="353" t="s">
        <v>1576</v>
      </c>
      <c r="E172" s="353" t="s">
        <v>1741</v>
      </c>
      <c r="F172" s="353" t="s">
        <v>42</v>
      </c>
      <c r="G172" s="353" t="s">
        <v>42</v>
      </c>
      <c r="H172" s="353" t="s">
        <v>1742</v>
      </c>
      <c r="I172" s="353" t="s">
        <v>42</v>
      </c>
      <c r="J172" s="353" t="s">
        <v>42</v>
      </c>
      <c r="K172" s="353" t="s">
        <v>42</v>
      </c>
      <c r="L172" s="353" t="s">
        <v>1743</v>
      </c>
      <c r="M172" s="353" t="str">
        <f ca="1">IFERROR(VLOOKUP(Master_Agent_HQs[[#This Row],[iWatch '#]],INDIRECT('Defined Ranges'!$C$28&amp;"Order"&amp;'Defined Ranges'!$C$29),2,FALSE),"")</f>
        <v/>
      </c>
      <c r="N172" s="353" t="str">
        <f ca="1">IFERROR(VLOOKUP(Master_Agent_HQs[[#This Row],[iWatch '#]],INDIRECT('Defined Ranges'!$C$28&amp;"Order"&amp;'Defined Ranges'!$C$29),3,FALSE),"")</f>
        <v/>
      </c>
      <c r="O172" s="353">
        <f t="shared" si="12"/>
        <v>39</v>
      </c>
      <c r="P172" s="353" cm="1">
        <f t="array" ref="P172">_xlfn.IFS(LSelected="English",Master_Agent_HQs[[#This Row],[Verification Type English]],LSelected="Spanish",Master_Agent_HQs[[#This Row],[Verification Type Spanish]],LSelected="French",Master_Agent_HQs[[#This Row],[Verification Type French]],LSelected="Portuguese",Master_Agent_HQs[[#This Row],[Verification Type Portuguese]])</f>
        <v>0</v>
      </c>
      <c r="Q172" s="353" t="str" cm="1">
        <f t="array" ref="Q172">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 xml:space="preserve"> </v>
      </c>
      <c r="R172" s="353" t="s">
        <v>42</v>
      </c>
      <c r="S172" s="353" t="s">
        <v>42</v>
      </c>
      <c r="T172" s="353" t="s">
        <v>42</v>
      </c>
      <c r="U172" s="353"/>
      <c r="V172" s="353" t="s">
        <v>42</v>
      </c>
      <c r="W172" s="353"/>
      <c r="X172" s="353" t="s">
        <v>42</v>
      </c>
      <c r="Y172" s="353"/>
      <c r="Z172" s="353" t="s">
        <v>42</v>
      </c>
      <c r="AA172" s="353"/>
      <c r="AB172" s="353" t="s">
        <v>42</v>
      </c>
    </row>
    <row r="173" spans="4:28">
      <c r="D173" s="353" t="s">
        <v>1583</v>
      </c>
      <c r="E173" s="353" t="s">
        <v>1744</v>
      </c>
      <c r="F173" s="353">
        <v>3</v>
      </c>
      <c r="G173" s="353" t="s">
        <v>679</v>
      </c>
      <c r="H173" s="353" t="s">
        <v>1745</v>
      </c>
      <c r="I173" s="353" t="s">
        <v>1746</v>
      </c>
      <c r="J173" s="353" t="s">
        <v>42</v>
      </c>
      <c r="K173" s="353" t="s">
        <v>1747</v>
      </c>
      <c r="L173" s="353" t="s">
        <v>42</v>
      </c>
      <c r="M173" s="353" t="str">
        <f ca="1">IFERROR(VLOOKUP(Master_Agent_HQs[[#This Row],[iWatch '#]],INDIRECT('Defined Ranges'!$C$28&amp;"Order"&amp;'Defined Ranges'!$C$29),2,FALSE),"")</f>
        <v/>
      </c>
      <c r="N173" s="353" t="str">
        <f ca="1">IFERROR(VLOOKUP(Master_Agent_HQs[[#This Row],[iWatch '#]],INDIRECT('Defined Ranges'!$C$28&amp;"Order"&amp;'Defined Ranges'!$C$29),3,FALSE),"")</f>
        <v/>
      </c>
      <c r="O173" s="353">
        <f t="shared" si="12"/>
        <v>40</v>
      </c>
      <c r="P173" s="353" t="str" cm="1">
        <f t="array" ref="P173">_xlfn.IFS(LSelected="English",Master_Agent_HQs[[#This Row],[Verification Type English]],LSelected="Spanish",Master_Agent_HQs[[#This Row],[Verification Type Spanish]],LSelected="French",Master_Agent_HQs[[#This Row],[Verification Type French]],LSelected="Portuguese",Master_Agent_HQs[[#This Row],[Verification Type Portuguese]])</f>
        <v>Requisitos de KYC</v>
      </c>
      <c r="Q173" s="353" t="str" cm="1">
        <f t="array" ref="Q173">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DOCUMENTS REQUIRED AML P&amp;Ps or letter stating that CIP/KYC process is updated in P&amp;Ps: Answered by reviewing Agent's Policies and Procedures document received prior or during the call.</v>
      </c>
      <c r="R173" s="353" t="s">
        <v>42</v>
      </c>
      <c r="S173" s="353" t="s">
        <v>42</v>
      </c>
      <c r="T173" s="353" t="s">
        <v>644</v>
      </c>
      <c r="U173" s="353" t="s">
        <v>175</v>
      </c>
      <c r="V173" s="353" t="s">
        <v>1748</v>
      </c>
      <c r="W173" s="355" t="str">
        <f>IF('Gen Info'!$E$4="Spain","Requerimientos de KYC","Requisitos de KYC")</f>
        <v>Requisitos de KYC</v>
      </c>
      <c r="X173" s="353" t="s">
        <v>1749</v>
      </c>
      <c r="Y173" s="355" t="str">
        <f>IF('Gen Info'!$E$4="Canada","Exigences en Matière de Connaissance des Clients","Exigences en Matière de Connaissance Client")</f>
        <v>Exigences en Matière de Connaissance Client</v>
      </c>
      <c r="Z173" s="353" t="s">
        <v>1749</v>
      </c>
      <c r="AA173" s="353" t="s">
        <v>178</v>
      </c>
      <c r="AB173" s="353" t="s">
        <v>1749</v>
      </c>
    </row>
    <row r="174" spans="4:28">
      <c r="D174" s="353" t="s">
        <v>1216</v>
      </c>
      <c r="E174" s="353" t="s">
        <v>1750</v>
      </c>
      <c r="F174" s="353" t="s">
        <v>42</v>
      </c>
      <c r="G174" s="353" t="s">
        <v>42</v>
      </c>
      <c r="H174" s="353" t="s">
        <v>42</v>
      </c>
      <c r="I174" s="353" t="s">
        <v>42</v>
      </c>
      <c r="J174" s="353" t="s">
        <v>42</v>
      </c>
      <c r="K174" s="353" t="s">
        <v>42</v>
      </c>
      <c r="L174" s="353" t="s">
        <v>1751</v>
      </c>
      <c r="M174" s="353" t="str">
        <f ca="1">IFERROR(VLOOKUP(Master_Agent_HQs[[#This Row],[iWatch '#]],INDIRECT('Defined Ranges'!$C$28&amp;"Order"&amp;'Defined Ranges'!$C$29),2,FALSE),"")</f>
        <v/>
      </c>
      <c r="N174" s="353" t="str">
        <f ca="1">IFERROR(VLOOKUP(Master_Agent_HQs[[#This Row],[iWatch '#]],INDIRECT('Defined Ranges'!$C$28&amp;"Order"&amp;'Defined Ranges'!$C$29),3,FALSE),"")</f>
        <v/>
      </c>
      <c r="O174" s="353">
        <f t="shared" si="12"/>
        <v>41</v>
      </c>
      <c r="P174" s="353" cm="1">
        <f t="array" ref="P174">_xlfn.IFS(LSelected="English",Master_Agent_HQs[[#This Row],[Verification Type English]],LSelected="Spanish",Master_Agent_HQs[[#This Row],[Verification Type Spanish]],LSelected="French",Master_Agent_HQs[[#This Row],[Verification Type French]],LSelected="Portuguese",Master_Agent_HQs[[#This Row],[Verification Type Portuguese]])</f>
        <v>0</v>
      </c>
      <c r="Q174" s="353" t="str" cm="1">
        <f t="array" ref="Q174">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 xml:space="preserve"> </v>
      </c>
      <c r="R174" s="353" t="s">
        <v>42</v>
      </c>
      <c r="S174" s="353" t="s">
        <v>42</v>
      </c>
      <c r="T174" s="353" t="s">
        <v>42</v>
      </c>
      <c r="U174" s="353"/>
      <c r="V174" s="353" t="s">
        <v>42</v>
      </c>
      <c r="W174" s="353"/>
      <c r="X174" s="353" t="s">
        <v>42</v>
      </c>
      <c r="Y174" s="353"/>
      <c r="Z174" s="353" t="s">
        <v>42</v>
      </c>
      <c r="AA174" s="353"/>
      <c r="AB174" s="353" t="s">
        <v>42</v>
      </c>
    </row>
    <row r="175" spans="4:28">
      <c r="D175" s="353" t="s">
        <v>1312</v>
      </c>
      <c r="E175" s="353" t="s">
        <v>1752</v>
      </c>
      <c r="F175" s="353">
        <v>2</v>
      </c>
      <c r="G175" s="353" t="s">
        <v>609</v>
      </c>
      <c r="H175" s="353" t="s">
        <v>42</v>
      </c>
      <c r="I175" s="353" t="s">
        <v>42</v>
      </c>
      <c r="J175" s="353" t="s">
        <v>42</v>
      </c>
      <c r="K175" s="353" t="s">
        <v>42</v>
      </c>
      <c r="L175" s="353" t="s">
        <v>42</v>
      </c>
      <c r="M175" s="353" t="str">
        <f ca="1">IFERROR(VLOOKUP(Master_Agent_HQs[[#This Row],[iWatch '#]],INDIRECT('Defined Ranges'!$C$28&amp;"Order"&amp;'Defined Ranges'!$C$29),2,FALSE),"")</f>
        <v/>
      </c>
      <c r="N175" s="353" t="str">
        <f ca="1">IFERROR(VLOOKUP(Master_Agent_HQs[[#This Row],[iWatch '#]],INDIRECT('Defined Ranges'!$C$28&amp;"Order"&amp;'Defined Ranges'!$C$29),3,FALSE),"")</f>
        <v/>
      </c>
      <c r="O175" s="353">
        <f t="shared" si="12"/>
        <v>42</v>
      </c>
      <c r="P175" s="353" cm="1">
        <f t="array" ref="P175">_xlfn.IFS(LSelected="English",Master_Agent_HQs[[#This Row],[Verification Type English]],LSelected="Spanish",Master_Agent_HQs[[#This Row],[Verification Type Spanish]],LSelected="French",Master_Agent_HQs[[#This Row],[Verification Type French]],LSelected="Portuguese",Master_Agent_HQs[[#This Row],[Verification Type Portuguese]])</f>
        <v>0</v>
      </c>
      <c r="Q175" s="353" t="str" cm="1">
        <f t="array" ref="Q175">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Do you have any sub-agent under your organization?</v>
      </c>
      <c r="R175" s="353" t="s">
        <v>42</v>
      </c>
      <c r="S175" s="353" t="s">
        <v>42</v>
      </c>
      <c r="T175" s="353" t="s">
        <v>42</v>
      </c>
      <c r="U175" s="353"/>
      <c r="V175" s="353" t="s">
        <v>1753</v>
      </c>
      <c r="W175" s="353"/>
      <c r="X175" s="353" t="s">
        <v>1754</v>
      </c>
      <c r="Y175" s="353"/>
      <c r="Z175" s="353" t="s">
        <v>1755</v>
      </c>
      <c r="AA175" s="353"/>
      <c r="AB175" s="353" t="s">
        <v>1756</v>
      </c>
    </row>
    <row r="176" spans="4:28" ht="15" customHeight="1">
      <c r="D176" s="353" t="s">
        <v>1326</v>
      </c>
      <c r="E176" s="353" t="s">
        <v>1757</v>
      </c>
      <c r="F176" s="353">
        <v>2</v>
      </c>
      <c r="G176" s="353" t="s">
        <v>609</v>
      </c>
      <c r="H176" s="353" t="s">
        <v>1758</v>
      </c>
      <c r="I176" s="353" t="s">
        <v>1759</v>
      </c>
      <c r="J176" s="353" t="s">
        <v>42</v>
      </c>
      <c r="K176" s="353" t="s">
        <v>42</v>
      </c>
      <c r="L176" s="353" t="s">
        <v>42</v>
      </c>
      <c r="M176" s="353" t="str">
        <f ca="1">IFERROR(VLOOKUP(Master_Agent_HQs[[#This Row],[iWatch '#]],INDIRECT('Defined Ranges'!$C$28&amp;"Order"&amp;'Defined Ranges'!$C$29),2,FALSE),"")</f>
        <v/>
      </c>
      <c r="N176" s="353" t="str">
        <f ca="1">IFERROR(VLOOKUP(Master_Agent_HQs[[#This Row],[iWatch '#]],INDIRECT('Defined Ranges'!$C$28&amp;"Order"&amp;'Defined Ranges'!$C$29),3,FALSE),"")</f>
        <v/>
      </c>
      <c r="O176" s="353">
        <f t="shared" si="12"/>
        <v>43</v>
      </c>
      <c r="P176" s="353" t="str" cm="1">
        <f t="array" ref="P176">_xlfn.IFS(LSelected="English",Master_Agent_HQs[[#This Row],[Verification Type English]],LSelected="Spanish",Master_Agent_HQs[[#This Row],[Verification Type Spanish]],LSelected="French",Master_Agent_HQs[[#This Row],[Verification Type French]],LSelected="Portuguese",Master_Agent_HQs[[#This Row],[Verification Type Portuguese]])</f>
        <v>Administración y Supervisión de Subagentes</v>
      </c>
      <c r="Q176" s="353" t="str" cm="1">
        <f t="array" ref="Q176">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DOCUMENTS REQUIRED: 
1. Official letter confirming the distribution of the latest compliance manual to sub-agents.
2. Copy of the email/communication showing the copy of the latest manual attached to it.
Answered by reviewing Agent's Policies and Procedures document received prior or during the call.</v>
      </c>
      <c r="R176" s="353" t="s">
        <v>42</v>
      </c>
      <c r="S176" s="353" t="s">
        <v>42</v>
      </c>
      <c r="T176" s="353" t="s">
        <v>644</v>
      </c>
      <c r="U176" s="353" t="s">
        <v>206</v>
      </c>
      <c r="V176" s="461" t="s">
        <v>1760</v>
      </c>
      <c r="W176" s="355" t="str">
        <f>IF('Gen Info'!$E$4="Spain","Gestión y Supervisión de los Subagentes","Administración y Supervisión de Subagentes")</f>
        <v>Administración y Supervisión de Subagentes</v>
      </c>
      <c r="X176" s="353" t="s">
        <v>1749</v>
      </c>
      <c r="Y176" s="355" t="str">
        <f>IF('Gen Info'!$E$4="Canada","Gestion et Surveillance des Sous-Agents","Gestion et Surveillance des sous agents")</f>
        <v>Gestion et Surveillance des sous agents</v>
      </c>
      <c r="Z176" s="353" t="s">
        <v>1749</v>
      </c>
      <c r="AA176" s="355" t="str">
        <f>IF('Gen Info'!$E$4="Portugal","Gestão e Supervisão de subagentes","Gerenciamento e supervisão de subagente")</f>
        <v>Gerenciamento e supervisão de subagente</v>
      </c>
      <c r="AB176" s="353" t="s">
        <v>1749</v>
      </c>
    </row>
    <row r="177" spans="4:28" ht="48.5">
      <c r="D177" s="353" t="s">
        <v>1343</v>
      </c>
      <c r="E177" s="461" t="s">
        <v>1761</v>
      </c>
      <c r="F177" s="353">
        <v>2</v>
      </c>
      <c r="G177" s="353" t="s">
        <v>609</v>
      </c>
      <c r="H177" s="353" t="s">
        <v>1762</v>
      </c>
      <c r="I177" s="353" t="s">
        <v>1763</v>
      </c>
      <c r="J177" s="353" t="s">
        <v>42</v>
      </c>
      <c r="K177" s="353" t="s">
        <v>42</v>
      </c>
      <c r="L177" s="353" t="s">
        <v>42</v>
      </c>
      <c r="M177" s="353" t="str">
        <f ca="1">IFERROR(VLOOKUP(Master_Agent_HQs[[#This Row],[iWatch '#]],INDIRECT('Defined Ranges'!$C$28&amp;"Order"&amp;'Defined Ranges'!$C$29),2,FALSE),"")</f>
        <v/>
      </c>
      <c r="N177" s="353" t="str">
        <f ca="1">IFERROR(VLOOKUP(Master_Agent_HQs[[#This Row],[iWatch '#]],INDIRECT('Defined Ranges'!$C$28&amp;"Order"&amp;'Defined Ranges'!$C$29),3,FALSE),"")</f>
        <v/>
      </c>
      <c r="O177" s="353">
        <f t="shared" si="12"/>
        <v>44</v>
      </c>
      <c r="P177" s="353" t="str" cm="1">
        <f t="array" ref="P177">_xlfn.IFS(LSelected="English",Master_Agent_HQs[[#This Row],[Verification Type English]],LSelected="Spanish",Master_Agent_HQs[[#This Row],[Verification Type Spanish]],LSelected="French",Master_Agent_HQs[[#This Row],[Verification Type French]],LSelected="Portuguese",Master_Agent_HQs[[#This Row],[Verification Type Portuguese]])</f>
        <v>Administración y Supervisión de Subagentes</v>
      </c>
      <c r="Q177" s="353" t="str" cm="1">
        <f t="array" ref="Q177">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DOCUMENTS REQUIRED Sub agent's AML/CFT and Anti-Fraud P&amp;Ps: Answered by reviewing Sub Agent's Policies and Procedures document received prior or during the call.</v>
      </c>
      <c r="R177" s="353" t="s">
        <v>42</v>
      </c>
      <c r="S177" s="353" t="s">
        <v>42</v>
      </c>
      <c r="T177" s="353" t="s">
        <v>644</v>
      </c>
      <c r="U177" s="353" t="s">
        <v>206</v>
      </c>
      <c r="V177" s="353" t="s">
        <v>1764</v>
      </c>
      <c r="W177" s="355" t="str">
        <f>IF('Gen Info'!$E$4="Spain","Gestión y Supervisión de los Subagentes","Administración y Supervisión de Subagentes")</f>
        <v>Administración y Supervisión de Subagentes</v>
      </c>
      <c r="X177" s="353" t="s">
        <v>1765</v>
      </c>
      <c r="Y177" s="355" t="str">
        <f>IF('Gen Info'!$E$4="Canada","Gestion et Surveillance des Sous-Agents","Gestion et Surveillance des sous agents")</f>
        <v>Gestion et Surveillance des sous agents</v>
      </c>
      <c r="Z177" s="353" t="s">
        <v>1765</v>
      </c>
      <c r="AA177" s="355" t="str">
        <f>IF('Gen Info'!$E$4="Portugal","Gestão e Supervisão de subagentes","Gerenciamento e supervisão de subagente")</f>
        <v>Gerenciamento e supervisão de subagente</v>
      </c>
      <c r="AB177" s="353" t="s">
        <v>1765</v>
      </c>
    </row>
    <row r="178" spans="4:28">
      <c r="D178" s="353" t="s">
        <v>1766</v>
      </c>
      <c r="E178" s="353" t="s">
        <v>1767</v>
      </c>
      <c r="F178" s="353" t="s">
        <v>42</v>
      </c>
      <c r="G178" s="353" t="s">
        <v>42</v>
      </c>
      <c r="H178" s="353" t="s">
        <v>1768</v>
      </c>
      <c r="I178" s="353" t="s">
        <v>42</v>
      </c>
      <c r="J178" s="353" t="s">
        <v>42</v>
      </c>
      <c r="K178" s="353" t="s">
        <v>42</v>
      </c>
      <c r="L178" s="353" t="s">
        <v>1769</v>
      </c>
      <c r="M178" s="353" t="str">
        <f ca="1">IFERROR(VLOOKUP(Master_Agent_HQs[[#This Row],[iWatch '#]],INDIRECT('Defined Ranges'!$C$28&amp;"Order"&amp;'Defined Ranges'!$C$29),2,FALSE),"")</f>
        <v/>
      </c>
      <c r="N178" s="353" t="str">
        <f ca="1">IFERROR(VLOOKUP(Master_Agent_HQs[[#This Row],[iWatch '#]],INDIRECT('Defined Ranges'!$C$28&amp;"Order"&amp;'Defined Ranges'!$C$29),3,FALSE),"")</f>
        <v/>
      </c>
      <c r="O178" s="353">
        <f t="shared" si="12"/>
        <v>45</v>
      </c>
      <c r="P178" s="353" cm="1">
        <f t="array" ref="P178">_xlfn.IFS(LSelected="English",Master_Agent_HQs[[#This Row],[Verification Type English]],LSelected="Spanish",Master_Agent_HQs[[#This Row],[Verification Type Spanish]],LSelected="French",Master_Agent_HQs[[#This Row],[Verification Type French]],LSelected="Portuguese",Master_Agent_HQs[[#This Row],[Verification Type Portuguese]])</f>
        <v>0</v>
      </c>
      <c r="Q178" s="353" t="str" cm="1">
        <f t="array" ref="Q178">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 xml:space="preserve"> </v>
      </c>
      <c r="R178" s="353" t="s">
        <v>42</v>
      </c>
      <c r="S178" s="353" t="s">
        <v>42</v>
      </c>
      <c r="T178" s="353" t="s">
        <v>42</v>
      </c>
      <c r="U178" s="353"/>
      <c r="V178" s="353" t="s">
        <v>42</v>
      </c>
      <c r="W178" s="353"/>
      <c r="X178" s="353" t="s">
        <v>42</v>
      </c>
      <c r="Y178" s="353"/>
      <c r="Z178" s="353" t="s">
        <v>42</v>
      </c>
      <c r="AA178" s="353"/>
      <c r="AB178" s="353" t="s">
        <v>42</v>
      </c>
    </row>
    <row r="179" spans="4:28">
      <c r="D179" s="353" t="s">
        <v>1770</v>
      </c>
      <c r="E179" s="353" t="s">
        <v>1771</v>
      </c>
      <c r="F179" s="353" t="s">
        <v>42</v>
      </c>
      <c r="G179" s="353" t="s">
        <v>42</v>
      </c>
      <c r="H179" s="353" t="s">
        <v>1772</v>
      </c>
      <c r="I179" s="353" t="s">
        <v>42</v>
      </c>
      <c r="J179" s="353" t="s">
        <v>42</v>
      </c>
      <c r="K179" s="353" t="s">
        <v>42</v>
      </c>
      <c r="L179" s="353" t="s">
        <v>1773</v>
      </c>
      <c r="M179" s="353" t="str">
        <f ca="1">IFERROR(VLOOKUP(Master_Agent_HQs[[#This Row],[iWatch '#]],INDIRECT('Defined Ranges'!$C$28&amp;"Order"&amp;'Defined Ranges'!$C$29),2,FALSE),"")</f>
        <v/>
      </c>
      <c r="N179" s="353" t="str">
        <f ca="1">IFERROR(VLOOKUP(Master_Agent_HQs[[#This Row],[iWatch '#]],INDIRECT('Defined Ranges'!$C$28&amp;"Order"&amp;'Defined Ranges'!$C$29),3,FALSE),"")</f>
        <v/>
      </c>
      <c r="O179" s="353">
        <f t="shared" si="12"/>
        <v>46</v>
      </c>
      <c r="P179" s="353" cm="1">
        <f t="array" ref="P179">_xlfn.IFS(LSelected="English",Master_Agent_HQs[[#This Row],[Verification Type English]],LSelected="Spanish",Master_Agent_HQs[[#This Row],[Verification Type Spanish]],LSelected="French",Master_Agent_HQs[[#This Row],[Verification Type French]],LSelected="Portuguese",Master_Agent_HQs[[#This Row],[Verification Type Portuguese]])</f>
        <v>0</v>
      </c>
      <c r="Q179" s="353" t="str" cm="1">
        <f t="array" ref="Q179">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 xml:space="preserve"> </v>
      </c>
      <c r="R179" s="353" t="s">
        <v>42</v>
      </c>
      <c r="S179" s="353" t="s">
        <v>42</v>
      </c>
      <c r="T179" s="353" t="s">
        <v>42</v>
      </c>
      <c r="U179" s="353"/>
      <c r="V179" s="353" t="s">
        <v>42</v>
      </c>
      <c r="W179" s="353"/>
      <c r="X179" s="353" t="s">
        <v>42</v>
      </c>
      <c r="Y179" s="353"/>
      <c r="Z179" s="353" t="s">
        <v>42</v>
      </c>
      <c r="AA179" s="353"/>
      <c r="AB179" s="353" t="s">
        <v>42</v>
      </c>
    </row>
    <row r="180" spans="4:28">
      <c r="D180" s="353" t="s">
        <v>1774</v>
      </c>
      <c r="E180" s="353" t="s">
        <v>1775</v>
      </c>
      <c r="F180" s="353">
        <v>2</v>
      </c>
      <c r="G180" s="353" t="s">
        <v>609</v>
      </c>
      <c r="H180" s="353" t="s">
        <v>1776</v>
      </c>
      <c r="I180" s="353" t="s">
        <v>1777</v>
      </c>
      <c r="J180" s="353" t="s">
        <v>42</v>
      </c>
      <c r="K180" s="353" t="s">
        <v>42</v>
      </c>
      <c r="L180" s="353" t="s">
        <v>42</v>
      </c>
      <c r="M180" s="353" t="str">
        <f ca="1">IFERROR(VLOOKUP(Master_Agent_HQs[[#This Row],[iWatch '#]],INDIRECT('Defined Ranges'!$C$28&amp;"Order"&amp;'Defined Ranges'!$C$29),2,FALSE),"")</f>
        <v/>
      </c>
      <c r="N180" s="353" t="str">
        <f ca="1">IFERROR(VLOOKUP(Master_Agent_HQs[[#This Row],[iWatch '#]],INDIRECT('Defined Ranges'!$C$28&amp;"Order"&amp;'Defined Ranges'!$C$29),3,FALSE),"")</f>
        <v/>
      </c>
      <c r="O180" s="353">
        <f t="shared" si="12"/>
        <v>47</v>
      </c>
      <c r="P180" s="353" t="str" cm="1">
        <f t="array" ref="P180">_xlfn.IFS(LSelected="English",Master_Agent_HQs[[#This Row],[Verification Type English]],LSelected="Spanish",Master_Agent_HQs[[#This Row],[Verification Type Spanish]],LSelected="French",Master_Agent_HQs[[#This Row],[Verification Type French]],LSelected="Portuguese",Master_Agent_HQs[[#This Row],[Verification Type Portuguese]])</f>
        <v>Administración y Supervisión de Subagentes</v>
      </c>
      <c r="Q180" s="353" t="str" cm="1">
        <f t="array" ref="Q180">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DOCUMENTS REQUIRED Sub Agent's AML/CFT and Anti-Fraud P&amp;Ps: Answered by reviewing Sub Agent's Policies and Procedures document received prior or during the call.</v>
      </c>
      <c r="R180" s="353" t="s">
        <v>42</v>
      </c>
      <c r="S180" s="353" t="s">
        <v>42</v>
      </c>
      <c r="T180" s="353" t="s">
        <v>644</v>
      </c>
      <c r="U180" s="353" t="s">
        <v>206</v>
      </c>
      <c r="V180" s="353" t="s">
        <v>1778</v>
      </c>
      <c r="W180" s="355" t="str">
        <f>IF('Gen Info'!$E$4="Spain","Gestión y Supervisión de los Subagentes","Administración y Supervisión de Subagentes")</f>
        <v>Administración y Supervisión de Subagentes</v>
      </c>
      <c r="X180" s="353" t="s">
        <v>1765</v>
      </c>
      <c r="Y180" s="355" t="str">
        <f>IF('Gen Info'!$E$4="Canada","Gestion et Surveillance des Sous-Agents","Gestion et Surveillance des sous agents")</f>
        <v>Gestion et Surveillance des sous agents</v>
      </c>
      <c r="Z180" s="353" t="s">
        <v>1765</v>
      </c>
      <c r="AA180" s="355" t="str">
        <f>IF('Gen Info'!$E$4="Portugal","Gestão e Supervisão de subagentes","Gerenciamento e supervisão de subagente")</f>
        <v>Gerenciamento e supervisão de subagente</v>
      </c>
      <c r="AB180" s="353" t="s">
        <v>1765</v>
      </c>
    </row>
    <row r="181" spans="4:28">
      <c r="D181" s="353" t="s">
        <v>1779</v>
      </c>
      <c r="E181" s="353" t="s">
        <v>1780</v>
      </c>
      <c r="F181" s="353" t="s">
        <v>42</v>
      </c>
      <c r="G181" s="353" t="s">
        <v>42</v>
      </c>
      <c r="H181" s="353" t="s">
        <v>1781</v>
      </c>
      <c r="I181" s="353" t="s">
        <v>42</v>
      </c>
      <c r="J181" s="353" t="s">
        <v>42</v>
      </c>
      <c r="K181" s="353" t="s">
        <v>42</v>
      </c>
      <c r="L181" s="353" t="s">
        <v>1782</v>
      </c>
      <c r="M181" s="353" t="str">
        <f ca="1">IFERROR(VLOOKUP(Master_Agent_HQs[[#This Row],[iWatch '#]],INDIRECT('Defined Ranges'!$C$28&amp;"Order"&amp;'Defined Ranges'!$C$29),2,FALSE),"")</f>
        <v/>
      </c>
      <c r="N181" s="353" t="str">
        <f ca="1">IFERROR(VLOOKUP(Master_Agent_HQs[[#This Row],[iWatch '#]],INDIRECT('Defined Ranges'!$C$28&amp;"Order"&amp;'Defined Ranges'!$C$29),3,FALSE),"")</f>
        <v/>
      </c>
      <c r="O181" s="353">
        <f t="shared" si="12"/>
        <v>48</v>
      </c>
      <c r="P181" s="353" cm="1">
        <f t="array" ref="P181">_xlfn.IFS(LSelected="English",Master_Agent_HQs[[#This Row],[Verification Type English]],LSelected="Spanish",Master_Agent_HQs[[#This Row],[Verification Type Spanish]],LSelected="French",Master_Agent_HQs[[#This Row],[Verification Type French]],LSelected="Portuguese",Master_Agent_HQs[[#This Row],[Verification Type Portuguese]])</f>
        <v>0</v>
      </c>
      <c r="Q181" s="353" t="str" cm="1">
        <f t="array" ref="Q181">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 xml:space="preserve"> </v>
      </c>
      <c r="R181" s="353" t="s">
        <v>42</v>
      </c>
      <c r="S181" s="353" t="s">
        <v>42</v>
      </c>
      <c r="T181" s="353" t="s">
        <v>42</v>
      </c>
      <c r="U181" s="353"/>
      <c r="V181" s="353" t="s">
        <v>42</v>
      </c>
      <c r="W181" s="353"/>
      <c r="X181" s="353" t="s">
        <v>42</v>
      </c>
      <c r="Y181" s="353"/>
      <c r="Z181" s="353" t="s">
        <v>42</v>
      </c>
      <c r="AA181" s="353"/>
      <c r="AB181" s="353" t="s">
        <v>42</v>
      </c>
    </row>
    <row r="182" spans="4:28" ht="108.5">
      <c r="D182" s="353" t="s">
        <v>1783</v>
      </c>
      <c r="E182" s="353" t="s">
        <v>1784</v>
      </c>
      <c r="F182" s="353">
        <v>3</v>
      </c>
      <c r="G182" s="353" t="s">
        <v>679</v>
      </c>
      <c r="H182" s="353" t="s">
        <v>1785</v>
      </c>
      <c r="I182" s="353" t="s">
        <v>1786</v>
      </c>
      <c r="J182" s="353" t="s">
        <v>42</v>
      </c>
      <c r="K182" s="353" t="s">
        <v>1787</v>
      </c>
      <c r="L182" s="353" t="s">
        <v>42</v>
      </c>
      <c r="M182" s="353" t="str">
        <f ca="1">IFERROR(VLOOKUP(Master_Agent_HQs[[#This Row],[iWatch '#]],INDIRECT('Defined Ranges'!$C$28&amp;"Order"&amp;'Defined Ranges'!$C$29),2,FALSE),"")</f>
        <v/>
      </c>
      <c r="N182" s="353" t="str">
        <f ca="1">IFERROR(VLOOKUP(Master_Agent_HQs[[#This Row],[iWatch '#]],INDIRECT('Defined Ranges'!$C$28&amp;"Order"&amp;'Defined Ranges'!$C$29),3,FALSE),"")</f>
        <v/>
      </c>
      <c r="O182" s="353">
        <f t="shared" si="12"/>
        <v>49</v>
      </c>
      <c r="P182" s="353" t="str" cm="1">
        <f t="array" ref="P182">_xlfn.IFS(LSelected="English",Master_Agent_HQs[[#This Row],[Verification Type English]],LSelected="Spanish",Master_Agent_HQs[[#This Row],[Verification Type Spanish]],LSelected="French",Master_Agent_HQs[[#This Row],[Verification Type French]],LSelected="Portuguese",Master_Agent_HQs[[#This Row],[Verification Type Portuguese]])</f>
        <v>Administración y Supervisión de Subagentes</v>
      </c>
      <c r="Q182" s="353" t="str" cm="1">
        <f t="array" ref="Q182">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DOCUMENTS REQUIRED AML/CFT and Anti-Fraud policies and procedures or a written statement confirming that their policy for Sub-Agent Oversight includes all requirements: 
Answered by reviewing Agent's Policies and Procedures document received prior or during the call.</v>
      </c>
      <c r="R182" s="353" t="s">
        <v>42</v>
      </c>
      <c r="S182" s="353" t="s">
        <v>42</v>
      </c>
      <c r="T182" s="353" t="s">
        <v>644</v>
      </c>
      <c r="U182" s="353" t="s">
        <v>206</v>
      </c>
      <c r="V182" s="461" t="s">
        <v>1788</v>
      </c>
      <c r="W182" s="355" t="str">
        <f>IF('Gen Info'!$E$4="Spain","Gestión y Supervisión de los Subagentes","Administración y Supervisión de Subagentes")</f>
        <v>Administración y Supervisión de Subagentes</v>
      </c>
      <c r="X182" s="353" t="s">
        <v>1765</v>
      </c>
      <c r="Y182" s="355" t="str">
        <f>IF('Gen Info'!$E$4="Canada","Gestion et Surveillance des Sous-Agents","Gestion et Surveillance des sous agents")</f>
        <v>Gestion et Surveillance des sous agents</v>
      </c>
      <c r="Z182" s="353" t="s">
        <v>1765</v>
      </c>
      <c r="AA182" s="355" t="str">
        <f>IF('Gen Info'!$E$4="Portugal","Gestão e Supervisão de subagentes","Gerenciamento e supervisão de subagente")</f>
        <v>Gerenciamento e supervisão de subagente</v>
      </c>
      <c r="AB182" s="353" t="s">
        <v>1765</v>
      </c>
    </row>
    <row r="183" spans="4:28">
      <c r="D183" s="353" t="s">
        <v>1789</v>
      </c>
      <c r="E183" s="353" t="s">
        <v>1790</v>
      </c>
      <c r="F183" s="353">
        <v>2</v>
      </c>
      <c r="G183" s="353" t="s">
        <v>609</v>
      </c>
      <c r="H183" s="353" t="s">
        <v>1791</v>
      </c>
      <c r="I183" s="353" t="s">
        <v>1792</v>
      </c>
      <c r="J183" s="353" t="s">
        <v>42</v>
      </c>
      <c r="K183" s="353" t="s">
        <v>42</v>
      </c>
      <c r="L183" s="353" t="s">
        <v>42</v>
      </c>
      <c r="M183" s="353" t="str">
        <f ca="1">IFERROR(VLOOKUP(Master_Agent_HQs[[#This Row],[iWatch '#]],INDIRECT('Defined Ranges'!$C$28&amp;"Order"&amp;'Defined Ranges'!$C$29),2,FALSE),"")</f>
        <v/>
      </c>
      <c r="N183" s="353" t="str">
        <f ca="1">IFERROR(VLOOKUP(Master_Agent_HQs[[#This Row],[iWatch '#]],INDIRECT('Defined Ranges'!$C$28&amp;"Order"&amp;'Defined Ranges'!$C$29),3,FALSE),"")</f>
        <v/>
      </c>
      <c r="O183" s="353">
        <f t="shared" si="12"/>
        <v>50</v>
      </c>
      <c r="P183" s="353" t="str" cm="1">
        <f t="array" ref="P183">_xlfn.IFS(LSelected="English",Master_Agent_HQs[[#This Row],[Verification Type English]],LSelected="Spanish",Master_Agent_HQs[[#This Row],[Verification Type Spanish]],LSelected="French",Master_Agent_HQs[[#This Row],[Verification Type French]],LSelected="Portuguese",Master_Agent_HQs[[#This Row],[Verification Type Portuguese]])</f>
        <v>Administración y Supervisión de Subagentes</v>
      </c>
      <c r="Q183" s="353" t="str" cm="1">
        <f t="array" ref="Q183">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DOCUMENTS REQUIRED Program Reviews / Visits Cronogram to Sub-Agents: Answered by reviewing the documents prior or during the call.</v>
      </c>
      <c r="R183" s="353" t="s">
        <v>42</v>
      </c>
      <c r="S183" s="353" t="s">
        <v>42</v>
      </c>
      <c r="T183" s="353" t="s">
        <v>644</v>
      </c>
      <c r="U183" s="353" t="s">
        <v>206</v>
      </c>
      <c r="V183" s="353" t="s">
        <v>1793</v>
      </c>
      <c r="W183" s="355" t="str">
        <f>IF('Gen Info'!$E$4="Spain","Gestión y Supervisión de los Subagentes","Administración y Supervisión de Subagentes")</f>
        <v>Administración y Supervisión de Subagentes</v>
      </c>
      <c r="X183" s="353" t="s">
        <v>1794</v>
      </c>
      <c r="Y183" s="355" t="str">
        <f>IF('Gen Info'!$E$4="Canada","Gestion et Surveillance des Sous-Agents","Gestion et Surveillance des sous agents")</f>
        <v>Gestion et Surveillance des sous agents</v>
      </c>
      <c r="Z183" s="353" t="s">
        <v>1794</v>
      </c>
      <c r="AA183" s="355" t="str">
        <f>IF('Gen Info'!$E$4="Portugal","Gestão e Supervisão de subagentes","Gerenciamento e supervisão de subagente")</f>
        <v>Gerenciamento e supervisão de subagente</v>
      </c>
      <c r="AB183" s="353" t="s">
        <v>1794</v>
      </c>
    </row>
    <row r="184" spans="4:28">
      <c r="D184" s="353" t="s">
        <v>1795</v>
      </c>
      <c r="E184" s="353" t="s">
        <v>1796</v>
      </c>
      <c r="F184" s="353" t="s">
        <v>42</v>
      </c>
      <c r="G184" s="353" t="s">
        <v>42</v>
      </c>
      <c r="H184" s="353" t="s">
        <v>1797</v>
      </c>
      <c r="I184" s="353" t="s">
        <v>42</v>
      </c>
      <c r="J184" s="353" t="s">
        <v>42</v>
      </c>
      <c r="K184" s="353" t="s">
        <v>42</v>
      </c>
      <c r="L184" s="353" t="s">
        <v>1798</v>
      </c>
      <c r="M184" s="353" t="str">
        <f ca="1">IFERROR(VLOOKUP(Master_Agent_HQs[[#This Row],[iWatch '#]],INDIRECT('Defined Ranges'!$C$28&amp;"Order"&amp;'Defined Ranges'!$C$29),2,FALSE),"")</f>
        <v/>
      </c>
      <c r="N184" s="353" t="str">
        <f ca="1">IFERROR(VLOOKUP(Master_Agent_HQs[[#This Row],[iWatch '#]],INDIRECT('Defined Ranges'!$C$28&amp;"Order"&amp;'Defined Ranges'!$C$29),3,FALSE),"")</f>
        <v/>
      </c>
      <c r="O184" s="353">
        <f t="shared" si="12"/>
        <v>51</v>
      </c>
      <c r="P184" s="353" cm="1">
        <f t="array" ref="P184">_xlfn.IFS(LSelected="English",Master_Agent_HQs[[#This Row],[Verification Type English]],LSelected="Spanish",Master_Agent_HQs[[#This Row],[Verification Type Spanish]],LSelected="French",Master_Agent_HQs[[#This Row],[Verification Type French]],LSelected="Portuguese",Master_Agent_HQs[[#This Row],[Verification Type Portuguese]])</f>
        <v>0</v>
      </c>
      <c r="Q184" s="353" t="str" cm="1">
        <f t="array" ref="Q184">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 xml:space="preserve"> </v>
      </c>
      <c r="R184" s="353" t="s">
        <v>42</v>
      </c>
      <c r="S184" s="353" t="s">
        <v>42</v>
      </c>
      <c r="T184" s="353" t="s">
        <v>42</v>
      </c>
      <c r="U184" s="353"/>
      <c r="V184" s="353" t="s">
        <v>42</v>
      </c>
      <c r="W184" s="353"/>
      <c r="X184" s="353" t="s">
        <v>42</v>
      </c>
      <c r="Y184" s="353"/>
      <c r="Z184" s="353" t="s">
        <v>42</v>
      </c>
      <c r="AA184" s="353"/>
      <c r="AB184" s="353" t="s">
        <v>42</v>
      </c>
    </row>
    <row r="185" spans="4:28">
      <c r="D185" s="353" t="s">
        <v>1799</v>
      </c>
      <c r="E185" s="353" t="s">
        <v>1800</v>
      </c>
      <c r="F185" s="353" t="s">
        <v>42</v>
      </c>
      <c r="G185" s="353" t="s">
        <v>42</v>
      </c>
      <c r="H185" s="353" t="s">
        <v>42</v>
      </c>
      <c r="I185" s="353" t="s">
        <v>42</v>
      </c>
      <c r="J185" s="353" t="s">
        <v>42</v>
      </c>
      <c r="K185" s="353" t="s">
        <v>42</v>
      </c>
      <c r="L185" s="353" t="s">
        <v>1801</v>
      </c>
      <c r="M185" s="353" t="str">
        <f ca="1">IFERROR(VLOOKUP(Master_Agent_HQs[[#This Row],[iWatch '#]],INDIRECT('Defined Ranges'!$C$28&amp;"Order"&amp;'Defined Ranges'!$C$29),2,FALSE),"")</f>
        <v/>
      </c>
      <c r="N185" s="353" t="str">
        <f ca="1">IFERROR(VLOOKUP(Master_Agent_HQs[[#This Row],[iWatch '#]],INDIRECT('Defined Ranges'!$C$28&amp;"Order"&amp;'Defined Ranges'!$C$29),3,FALSE),"")</f>
        <v/>
      </c>
      <c r="O185" s="353">
        <f t="shared" si="12"/>
        <v>52</v>
      </c>
      <c r="P185" s="353" cm="1">
        <f t="array" ref="P185">_xlfn.IFS(LSelected="English",Master_Agent_HQs[[#This Row],[Verification Type English]],LSelected="Spanish",Master_Agent_HQs[[#This Row],[Verification Type Spanish]],LSelected="French",Master_Agent_HQs[[#This Row],[Verification Type French]],LSelected="Portuguese",Master_Agent_HQs[[#This Row],[Verification Type Portuguese]])</f>
        <v>0</v>
      </c>
      <c r="Q185" s="353" t="str" cm="1">
        <f t="array" ref="Q185">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 xml:space="preserve"> </v>
      </c>
      <c r="R185" s="353" t="s">
        <v>42</v>
      </c>
      <c r="S185" s="353" t="s">
        <v>42</v>
      </c>
      <c r="T185" s="353" t="s">
        <v>42</v>
      </c>
      <c r="U185" s="353"/>
      <c r="V185" s="353" t="s">
        <v>42</v>
      </c>
      <c r="W185" s="353"/>
      <c r="X185" s="353" t="s">
        <v>42</v>
      </c>
      <c r="Y185" s="353"/>
      <c r="Z185" s="353" t="s">
        <v>42</v>
      </c>
      <c r="AA185" s="353"/>
      <c r="AB185" s="353" t="s">
        <v>42</v>
      </c>
    </row>
    <row r="186" spans="4:28">
      <c r="D186" s="353" t="s">
        <v>1802</v>
      </c>
      <c r="E186" s="353" t="s">
        <v>1803</v>
      </c>
      <c r="F186" s="353">
        <v>2</v>
      </c>
      <c r="G186" s="353" t="s">
        <v>609</v>
      </c>
      <c r="H186" s="353" t="s">
        <v>1804</v>
      </c>
      <c r="I186" s="353" t="s">
        <v>1805</v>
      </c>
      <c r="J186" s="353" t="s">
        <v>42</v>
      </c>
      <c r="K186" s="353" t="s">
        <v>42</v>
      </c>
      <c r="L186" s="353" t="s">
        <v>42</v>
      </c>
      <c r="M186" s="353" t="str">
        <f ca="1">IFERROR(VLOOKUP(Master_Agent_HQs[[#This Row],[iWatch '#]],INDIRECT('Defined Ranges'!$C$28&amp;"Order"&amp;'Defined Ranges'!$C$29),2,FALSE),"")</f>
        <v/>
      </c>
      <c r="N186" s="353" t="str">
        <f ca="1">IFERROR(VLOOKUP(Master_Agent_HQs[[#This Row],[iWatch '#]],INDIRECT('Defined Ranges'!$C$28&amp;"Order"&amp;'Defined Ranges'!$C$29),3,FALSE),"")</f>
        <v/>
      </c>
      <c r="O186" s="353">
        <f t="shared" si="12"/>
        <v>53</v>
      </c>
      <c r="P186" s="353" t="str" cm="1">
        <f t="array" ref="P186">_xlfn.IFS(LSelected="English",Master_Agent_HQs[[#This Row],[Verification Type English]],LSelected="Spanish",Master_Agent_HQs[[#This Row],[Verification Type Spanish]],LSelected="French",Master_Agent_HQs[[#This Row],[Verification Type French]],LSelected="Portuguese",Master_Agent_HQs[[#This Row],[Verification Type Portuguese]])</f>
        <v>Administración y Supervisión de Subagentes</v>
      </c>
      <c r="Q186" s="353" t="str" cm="1">
        <f t="array" ref="Q186">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DOCUMENTS REQUIRED AML/CFT P&amp;Ps include suspension and termination guidelines for non-compliant Sub-Agents.: Answer by reviewing the documents prior or during the call.</v>
      </c>
      <c r="R186" s="353" t="s">
        <v>42</v>
      </c>
      <c r="S186" s="353" t="s">
        <v>42</v>
      </c>
      <c r="T186" s="353" t="s">
        <v>644</v>
      </c>
      <c r="U186" s="353" t="s">
        <v>206</v>
      </c>
      <c r="V186" s="353" t="s">
        <v>1806</v>
      </c>
      <c r="W186" s="355" t="str">
        <f>IF('Gen Info'!$E$4="Spain","Gestión y Supervisión de los Subagentes","Administración y Supervisión de Subagentes")</f>
        <v>Administración y Supervisión de Subagentes</v>
      </c>
      <c r="X186" s="353" t="s">
        <v>1807</v>
      </c>
      <c r="Y186" s="355" t="str">
        <f>IF('Gen Info'!$E$4="Canada","Gestion et Surveillance des Sous-Agents","Gestion et Surveillance des sous agents")</f>
        <v>Gestion et Surveillance des sous agents</v>
      </c>
      <c r="Z186" s="353" t="s">
        <v>1807</v>
      </c>
      <c r="AA186" s="355" t="str">
        <f>IF('Gen Info'!$E$4="Portugal","Gestão e Supervisão de subagentes","Gerenciamento e supervisão de subagente")</f>
        <v>Gerenciamento e supervisão de subagente</v>
      </c>
      <c r="AB186" s="353" t="s">
        <v>1807</v>
      </c>
    </row>
    <row r="187" spans="4:28">
      <c r="D187" s="353" t="s">
        <v>1808</v>
      </c>
      <c r="E187" s="353" t="s">
        <v>1809</v>
      </c>
      <c r="F187" s="353">
        <v>3</v>
      </c>
      <c r="G187" s="353" t="s">
        <v>679</v>
      </c>
      <c r="H187" s="353" t="s">
        <v>1810</v>
      </c>
      <c r="I187" s="353" t="s">
        <v>1811</v>
      </c>
      <c r="J187" s="353" t="s">
        <v>42</v>
      </c>
      <c r="K187" s="353" t="s">
        <v>1812</v>
      </c>
      <c r="L187" s="353" t="s">
        <v>42</v>
      </c>
      <c r="M187" s="353" t="str">
        <f ca="1">IFERROR(VLOOKUP(Master_Agent_HQs[[#This Row],[iWatch '#]],INDIRECT('Defined Ranges'!$C$28&amp;"Order"&amp;'Defined Ranges'!$C$29),2,FALSE),"")</f>
        <v/>
      </c>
      <c r="N187" s="353" t="str">
        <f ca="1">IFERROR(VLOOKUP(Master_Agent_HQs[[#This Row],[iWatch '#]],INDIRECT('Defined Ranges'!$C$28&amp;"Order"&amp;'Defined Ranges'!$C$29),3,FALSE),"")</f>
        <v/>
      </c>
      <c r="O187" s="353">
        <f t="shared" si="12"/>
        <v>54</v>
      </c>
      <c r="P187" s="353" t="str" cm="1">
        <f t="array" ref="P187">_xlfn.IFS(LSelected="English",Master_Agent_HQs[[#This Row],[Verification Type English]],LSelected="Spanish",Master_Agent_HQs[[#This Row],[Verification Type Spanish]],LSelected="French",Master_Agent_HQs[[#This Row],[Verification Type French]],LSelected="Portuguese",Master_Agent_HQs[[#This Row],[Verification Type Portuguese]])</f>
        <v>Administración y Supervisión de Subagentes</v>
      </c>
      <c r="Q187" s="353" t="str" cm="1">
        <f t="array" ref="Q187">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DOCUMENTS REQUIRED AML/CTF policies and procedures include licensing and registration requirements for Sub-Agents, or a confirmation stating that this process is performed by Western Union: Answer by reviewing the documents prior or during the call.</v>
      </c>
      <c r="R187" s="353" t="s">
        <v>42</v>
      </c>
      <c r="S187" s="353" t="s">
        <v>42</v>
      </c>
      <c r="T187" s="353" t="s">
        <v>644</v>
      </c>
      <c r="U187" s="353" t="s">
        <v>206</v>
      </c>
      <c r="V187" s="353" t="s">
        <v>1813</v>
      </c>
      <c r="W187" s="355" t="str">
        <f>IF('Gen Info'!$E$4="Spain","Gestión y Supervisión de los Subagentes","Administración y Supervisión de Subagentes")</f>
        <v>Administración y Supervisión de Subagentes</v>
      </c>
      <c r="X187" s="353" t="s">
        <v>1814</v>
      </c>
      <c r="Y187" s="355" t="str">
        <f>IF('Gen Info'!$E$4="Canada","Gestion et Surveillance des Sous-Agents","Gestion et Surveillance des sous agents")</f>
        <v>Gestion et Surveillance des sous agents</v>
      </c>
      <c r="Z187" s="353" t="s">
        <v>1814</v>
      </c>
      <c r="AA187" s="355" t="str">
        <f>IF('Gen Info'!$E$4="Portugal","Gestão e Supervisão de subagentes","Gerenciamento e supervisão de subagente")</f>
        <v>Gerenciamento e supervisão de subagente</v>
      </c>
      <c r="AB187" s="353" t="s">
        <v>1814</v>
      </c>
    </row>
    <row r="188" spans="4:28">
      <c r="D188" s="353" t="s">
        <v>1815</v>
      </c>
      <c r="E188" s="353" t="s">
        <v>1816</v>
      </c>
      <c r="F188" s="353">
        <v>2</v>
      </c>
      <c r="G188" s="353" t="s">
        <v>609</v>
      </c>
      <c r="H188" s="353" t="s">
        <v>1817</v>
      </c>
      <c r="I188" s="353" t="s">
        <v>1818</v>
      </c>
      <c r="J188" s="353" t="s">
        <v>42</v>
      </c>
      <c r="K188" s="353" t="s">
        <v>42</v>
      </c>
      <c r="L188" s="353" t="s">
        <v>42</v>
      </c>
      <c r="M188" s="353" t="str">
        <f ca="1">IFERROR(VLOOKUP(Master_Agent_HQs[[#This Row],[iWatch '#]],INDIRECT('Defined Ranges'!$C$28&amp;"Order"&amp;'Defined Ranges'!$C$29),2,FALSE),"")</f>
        <v/>
      </c>
      <c r="N188" s="353" t="str">
        <f ca="1">IFERROR(VLOOKUP(Master_Agent_HQs[[#This Row],[iWatch '#]],INDIRECT('Defined Ranges'!$C$28&amp;"Order"&amp;'Defined Ranges'!$C$29),3,FALSE),"")</f>
        <v/>
      </c>
      <c r="O188" s="353">
        <f t="shared" si="12"/>
        <v>55</v>
      </c>
      <c r="P188" s="353" t="str" cm="1">
        <f t="array" ref="P188">_xlfn.IFS(LSelected="English",Master_Agent_HQs[[#This Row],[Verification Type English]],LSelected="Spanish",Master_Agent_HQs[[#This Row],[Verification Type Spanish]],LSelected="French",Master_Agent_HQs[[#This Row],[Verification Type French]],LSelected="Portuguese",Master_Agent_HQs[[#This Row],[Verification Type Portuguese]])</f>
        <v>Administración y Supervisión de Subagentes</v>
      </c>
      <c r="Q188" s="353" t="str" cm="1">
        <f t="array" ref="Q188">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DOCUMENTS REQUIRED Due Diligence process on Sub-Agents: Answer by reviewing the documents prior or during the call.</v>
      </c>
      <c r="R188" s="353" t="s">
        <v>42</v>
      </c>
      <c r="S188" s="353" t="s">
        <v>42</v>
      </c>
      <c r="T188" s="353" t="s">
        <v>644</v>
      </c>
      <c r="U188" s="353" t="s">
        <v>206</v>
      </c>
      <c r="V188" s="353" t="s">
        <v>1819</v>
      </c>
      <c r="W188" s="355" t="str">
        <f>IF('Gen Info'!$E$4="Spain","Gestión y Supervisión de los Subagentes","Administración y Supervisión de Subagentes")</f>
        <v>Administración y Supervisión de Subagentes</v>
      </c>
      <c r="X188" s="353" t="s">
        <v>1819</v>
      </c>
      <c r="Y188" s="355" t="str">
        <f>IF('Gen Info'!$E$4="Canada","Gestion et Surveillance des Sous-Agents","Gestion et Surveillance des sous agents")</f>
        <v>Gestion et Surveillance des sous agents</v>
      </c>
      <c r="Z188" s="353" t="s">
        <v>1819</v>
      </c>
      <c r="AA188" s="355" t="str">
        <f>IF('Gen Info'!$E$4="Portugal","Gestão e Supervisão de subagentes","Gerenciamento e supervisão de subagente")</f>
        <v>Gerenciamento e supervisão de subagente</v>
      </c>
      <c r="AB188" s="353" t="s">
        <v>1819</v>
      </c>
    </row>
    <row r="189" spans="4:28">
      <c r="D189" s="353" t="s">
        <v>1244</v>
      </c>
      <c r="E189" s="353" t="s">
        <v>882</v>
      </c>
      <c r="F189" s="353">
        <v>3</v>
      </c>
      <c r="G189" s="353" t="s">
        <v>679</v>
      </c>
      <c r="H189" s="353" t="s">
        <v>1426</v>
      </c>
      <c r="I189" s="353" t="s">
        <v>1427</v>
      </c>
      <c r="J189" s="353" t="s">
        <v>42</v>
      </c>
      <c r="K189" s="353" t="s">
        <v>1820</v>
      </c>
      <c r="L189" s="353" t="s">
        <v>42</v>
      </c>
      <c r="M189" s="353" t="str">
        <f ca="1">IFERROR(VLOOKUP(Master_Agent_HQs[[#This Row],[iWatch '#]],INDIRECT('Defined Ranges'!$C$28&amp;"Order"&amp;'Defined Ranges'!$C$29),2,FALSE),"")</f>
        <v/>
      </c>
      <c r="N189" s="353" t="str">
        <f ca="1">IFERROR(VLOOKUP(Master_Agent_HQs[[#This Row],[iWatch '#]],INDIRECT('Defined Ranges'!$C$28&amp;"Order"&amp;'Defined Ranges'!$C$29),3,FALSE),"")</f>
        <v/>
      </c>
      <c r="O189" s="353">
        <f t="shared" si="12"/>
        <v>56</v>
      </c>
      <c r="P189" s="353" t="str" cm="1">
        <f t="array" ref="P189">_xlfn.IFS(LSelected="English",Master_Agent_HQs[[#This Row],[Verification Type English]],LSelected="Spanish",Master_Agent_HQs[[#This Row],[Verification Type Spanish]],LSelected="French",Master_Agent_HQs[[#This Row],[Verification Type French]],LSelected="Portuguese",Master_Agent_HQs[[#This Row],[Verification Type Portuguese]])</f>
        <v>Protección del Consumidor</v>
      </c>
      <c r="Q189" s="353" t="str" cm="1">
        <f t="array" ref="Q189">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1. How do you know or where do you see how much to charge a customer for a send transaction? 
2. Is there any additional fees?</v>
      </c>
      <c r="R189" s="353" t="s">
        <v>42</v>
      </c>
      <c r="S189" s="353" t="s">
        <v>42</v>
      </c>
      <c r="T189" s="353" t="s">
        <v>585</v>
      </c>
      <c r="U189" s="353" t="s">
        <v>159</v>
      </c>
      <c r="V189" s="353" t="s">
        <v>1821</v>
      </c>
      <c r="W189" s="353" t="s">
        <v>160</v>
      </c>
      <c r="X189" s="353" t="s">
        <v>1430</v>
      </c>
      <c r="Y189" s="353" t="s">
        <v>161</v>
      </c>
      <c r="Z189" s="353" t="s">
        <v>1431</v>
      </c>
      <c r="AA189" s="355" t="str">
        <f>IF('Gen Info'!$E$4="Portugal","Proteção dos Consumidores","Proteção ao consumidor")</f>
        <v>Proteção ao consumidor</v>
      </c>
      <c r="AB189" s="353" t="s">
        <v>1822</v>
      </c>
    </row>
    <row r="190" spans="4:28">
      <c r="D190" s="353" t="s">
        <v>1541</v>
      </c>
      <c r="E190" s="353" t="s">
        <v>894</v>
      </c>
      <c r="F190" s="353">
        <v>3</v>
      </c>
      <c r="G190" s="353" t="s">
        <v>679</v>
      </c>
      <c r="H190" s="353" t="s">
        <v>1437</v>
      </c>
      <c r="I190" s="353" t="s">
        <v>1438</v>
      </c>
      <c r="J190" s="353" t="s">
        <v>42</v>
      </c>
      <c r="K190" s="353" t="s">
        <v>1823</v>
      </c>
      <c r="L190" s="353" t="s">
        <v>42</v>
      </c>
      <c r="M190" s="353" t="str">
        <f ca="1">IFERROR(VLOOKUP(Master_Agent_HQs[[#This Row],[iWatch '#]],INDIRECT('Defined Ranges'!$C$28&amp;"Order"&amp;'Defined Ranges'!$C$29),2,FALSE),"")</f>
        <v/>
      </c>
      <c r="N190" s="353" t="str">
        <f ca="1">IFERROR(VLOOKUP(Master_Agent_HQs[[#This Row],[iWatch '#]],INDIRECT('Defined Ranges'!$C$28&amp;"Order"&amp;'Defined Ranges'!$C$29),3,FALSE),"")</f>
        <v/>
      </c>
      <c r="O190" s="353">
        <f t="shared" si="12"/>
        <v>57</v>
      </c>
      <c r="P190" s="353" t="str" cm="1">
        <f t="array" ref="P190">_xlfn.IFS(LSelected="English",Master_Agent_HQs[[#This Row],[Verification Type English]],LSelected="Spanish",Master_Agent_HQs[[#This Row],[Verification Type Spanish]],LSelected="French",Master_Agent_HQs[[#This Row],[Verification Type French]],LSelected="Portuguese",Master_Agent_HQs[[#This Row],[Verification Type Portuguese]])</f>
        <v>Protección del Consumidor</v>
      </c>
      <c r="Q190" s="353" t="str" cm="1">
        <f t="array" ref="Q190">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1. How do you know how much to pay a customer when paying out a money transfer? 
2. Is there any additional fees to charge?</v>
      </c>
      <c r="R190" s="353" t="s">
        <v>42</v>
      </c>
      <c r="S190" s="353" t="s">
        <v>42</v>
      </c>
      <c r="T190" s="353" t="s">
        <v>585</v>
      </c>
      <c r="U190" s="353" t="s">
        <v>159</v>
      </c>
      <c r="V190" s="353" t="s">
        <v>1824</v>
      </c>
      <c r="W190" s="353" t="s">
        <v>160</v>
      </c>
      <c r="X190" s="353" t="s">
        <v>1441</v>
      </c>
      <c r="Y190" s="353" t="s">
        <v>161</v>
      </c>
      <c r="Z190" s="353" t="s">
        <v>1442</v>
      </c>
      <c r="AA190" s="355" t="str">
        <f>IF('Gen Info'!$E$4="Portugal","Proteção dos Consumidores","Proteção ao consumidor")</f>
        <v>Proteção ao consumidor</v>
      </c>
      <c r="AB190" s="353" t="s">
        <v>1825</v>
      </c>
    </row>
    <row r="191" spans="4:28" ht="16.399999999999999" customHeight="1">
      <c r="D191" s="353" t="s">
        <v>1425</v>
      </c>
      <c r="E191" s="353" t="s">
        <v>1826</v>
      </c>
      <c r="F191" s="353">
        <v>2</v>
      </c>
      <c r="G191" s="353" t="s">
        <v>609</v>
      </c>
      <c r="H191" s="353" t="s">
        <v>1827</v>
      </c>
      <c r="I191" s="353" t="s">
        <v>1828</v>
      </c>
      <c r="J191" s="353" t="s">
        <v>42</v>
      </c>
      <c r="K191" s="353" t="s">
        <v>42</v>
      </c>
      <c r="L191" s="353" t="s">
        <v>42</v>
      </c>
      <c r="M191" s="353" t="str">
        <f ca="1">IFERROR(VLOOKUP(Master_Agent_HQs[[#This Row],[iWatch '#]],INDIRECT('Defined Ranges'!$C$28&amp;"Order"&amp;'Defined Ranges'!$C$29),2,FALSE),"")</f>
        <v/>
      </c>
      <c r="N191" s="353" t="str">
        <f ca="1">IFERROR(VLOOKUP(Master_Agent_HQs[[#This Row],[iWatch '#]],INDIRECT('Defined Ranges'!$C$28&amp;"Order"&amp;'Defined Ranges'!$C$29),3,FALSE),"")</f>
        <v/>
      </c>
      <c r="O191" s="353">
        <f>O190+1</f>
        <v>58</v>
      </c>
      <c r="P191" s="353" t="str" cm="1">
        <f t="array" ref="P191">_xlfn.IFS(LSelected="English",Master_Agent_HQs[[#This Row],[Verification Type English]],LSelected="Spanish",Master_Agent_HQs[[#This Row],[Verification Type Spanish]],LSelected="French",Master_Agent_HQs[[#This Row],[Verification Type French]],LSelected="Portuguese",Master_Agent_HQs[[#This Row],[Verification Type Portuguese]])</f>
        <v>Conservación de Registros</v>
      </c>
      <c r="Q191" s="353" t="str" cm="1">
        <f t="array" ref="Q191">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DOCUMENTS REQUIRED: Evidence that the Agent and Sub-Agents, if any, have implemented policies and procedures that include the collection, maintenance of Agent and any Sub-Agent FLA identities
Answered by reviewing Agent's Policies and Procedures and/or ID Policy Addendum received prior or during the call.</v>
      </c>
      <c r="R191" s="353" t="s">
        <v>42</v>
      </c>
      <c r="S191" s="353" t="s">
        <v>42</v>
      </c>
      <c r="T191" s="353" t="s">
        <v>644</v>
      </c>
      <c r="U191" s="353" t="s">
        <v>197</v>
      </c>
      <c r="V191" s="461" t="s">
        <v>1829</v>
      </c>
      <c r="W191" s="355" t="str">
        <f>IF('Gen Info'!$E$4="Spain","Mantenimiento de Registros","Conservación de Registros")</f>
        <v>Conservación de Registros</v>
      </c>
      <c r="X191" s="353" t="s">
        <v>1830</v>
      </c>
      <c r="Y191" s="355" t="str">
        <f>IF('Gen Info'!$E$4="Canada","Tenue de Documents","Archivage")</f>
        <v>Archivage</v>
      </c>
      <c r="Z191" s="353" t="s">
        <v>1830</v>
      </c>
      <c r="AA191" s="355" t="str">
        <f>IF('Gen Info'!$E$4="Portugal","Manutenção de registos","Manutenção de registros")</f>
        <v>Manutenção de registros</v>
      </c>
      <c r="AB191" s="353" t="s">
        <v>1830</v>
      </c>
    </row>
    <row r="192" spans="4:28">
      <c r="D192" s="353" t="s">
        <v>1436</v>
      </c>
      <c r="E192" s="353" t="s">
        <v>1831</v>
      </c>
      <c r="F192" s="353">
        <v>2</v>
      </c>
      <c r="G192" s="353" t="s">
        <v>609</v>
      </c>
      <c r="H192" s="353" t="s">
        <v>1832</v>
      </c>
      <c r="I192" s="353" t="s">
        <v>1833</v>
      </c>
      <c r="J192" s="353" t="s">
        <v>42</v>
      </c>
      <c r="K192" s="353" t="s">
        <v>42</v>
      </c>
      <c r="L192" s="353" t="s">
        <v>42</v>
      </c>
      <c r="M192" s="353" t="str">
        <f ca="1">IFERROR(VLOOKUP(Master_Agent_HQs[[#This Row],[iWatch '#]],INDIRECT('Defined Ranges'!$C$28&amp;"Order"&amp;'Defined Ranges'!$C$29),2,FALSE),"")</f>
        <v/>
      </c>
      <c r="N192" s="353" t="str">
        <f ca="1">IFERROR(VLOOKUP(Master_Agent_HQs[[#This Row],[iWatch '#]],INDIRECT('Defined Ranges'!$C$28&amp;"Order"&amp;'Defined Ranges'!$C$29),3,FALSE),"")</f>
        <v/>
      </c>
      <c r="O192" s="353">
        <f t="shared" si="12"/>
        <v>59</v>
      </c>
      <c r="P192" s="353" t="str" cm="1">
        <f t="array" ref="P192">_xlfn.IFS(LSelected="English",Master_Agent_HQs[[#This Row],[Verification Type English]],LSelected="Spanish",Master_Agent_HQs[[#This Row],[Verification Type Spanish]],LSelected="French",Master_Agent_HQs[[#This Row],[Verification Type French]],LSelected="Portuguese",Master_Agent_HQs[[#This Row],[Verification Type Portuguese]])</f>
        <v>Conservación de Registros</v>
      </c>
      <c r="Q192" s="353" t="str" cm="1">
        <f t="array" ref="Q192">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1) For how long do you keep documents at the store? (Forms and/or Compliance Documents)</v>
      </c>
      <c r="R192" s="353" t="s">
        <v>42</v>
      </c>
      <c r="S192" s="353" t="s">
        <v>42</v>
      </c>
      <c r="T192" s="353" t="s">
        <v>644</v>
      </c>
      <c r="U192" s="353" t="s">
        <v>197</v>
      </c>
      <c r="V192" s="353" t="s">
        <v>937</v>
      </c>
      <c r="W192" s="355" t="str">
        <f>IF('Gen Info'!$E$4="Spain","Mantenimiento de Registros","Conservación de Registros")</f>
        <v>Conservación de Registros</v>
      </c>
      <c r="X192" s="353" t="s">
        <v>938</v>
      </c>
      <c r="Y192" s="355" t="str">
        <f>IF('Gen Info'!$E$4="Canada","Tenue de Documents","Archivage")</f>
        <v>Archivage</v>
      </c>
      <c r="Z192" s="353" t="s">
        <v>939</v>
      </c>
      <c r="AA192" s="355" t="str">
        <f>IF('Gen Info'!$E$4="Portugal","Manutenção de registos","Manutenção de registros")</f>
        <v>Manutenção de registros</v>
      </c>
      <c r="AB192" s="353" t="s">
        <v>42</v>
      </c>
    </row>
    <row r="193" spans="4:56" ht="17.149999999999999" customHeight="1">
      <c r="D193" s="353" t="s">
        <v>1257</v>
      </c>
      <c r="E193" s="353" t="s">
        <v>1834</v>
      </c>
      <c r="F193" s="353">
        <v>3</v>
      </c>
      <c r="G193" s="353" t="s">
        <v>679</v>
      </c>
      <c r="H193" s="353" t="s">
        <v>1835</v>
      </c>
      <c r="I193" s="353" t="s">
        <v>1836</v>
      </c>
      <c r="J193" s="353"/>
      <c r="K193" s="353" t="s">
        <v>1837</v>
      </c>
      <c r="L193" s="353"/>
      <c r="M193" s="353" t="str">
        <f ca="1">IFERROR(VLOOKUP(Master_Agent_HQs[[#This Row],[iWatch '#]],INDIRECT('Defined Ranges'!$C$28&amp;"Order"&amp;'Defined Ranges'!$C$29),2,FALSE),"")</f>
        <v/>
      </c>
      <c r="N193" s="353" t="str">
        <f ca="1">IFERROR(VLOOKUP(Master_Agent_HQs[[#This Row],[iWatch '#]],INDIRECT('Defined Ranges'!$C$28&amp;"Order"&amp;'Defined Ranges'!$C$29),3,FALSE),"")</f>
        <v/>
      </c>
      <c r="O193" s="353">
        <f>O192+1</f>
        <v>60</v>
      </c>
      <c r="P193" s="353" cm="1">
        <f t="array" ref="P193">_xlfn.IFS(LSelected="English",Master_Agent_HQs[[#This Row],[Verification Type English]],LSelected="Spanish",Master_Agent_HQs[[#This Row],[Verification Type Spanish]],LSelected="French",Master_Agent_HQs[[#This Row],[Verification Type French]],LSelected="Portuguese",Master_Agent_HQs[[#This Row],[Verification Type Portuguese]])</f>
        <v>0</v>
      </c>
      <c r="Q193" s="353" t="str" cm="1">
        <f t="array" ref="Q193">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DOCUMENT REQUIRED IF YES: Documentation that includes a description of the requirement and reference to the regulation or law to confirm the impact on paid transactions.  
Have there been any new changes in regulatory requirements affecting the payout process that may impact the amount paid to costumers? (i.e. new tax, new fees or payout amount split)</v>
      </c>
      <c r="R193" s="353"/>
      <c r="S193" s="353"/>
      <c r="T193" s="353"/>
      <c r="U193" s="353"/>
      <c r="V193" s="461" t="s">
        <v>1838</v>
      </c>
      <c r="W193" s="353"/>
      <c r="X193" s="353" t="s">
        <v>1839</v>
      </c>
      <c r="Y193" s="353"/>
      <c r="Z193" s="353" t="s">
        <v>1840</v>
      </c>
      <c r="AA193" s="353"/>
      <c r="AB193" s="353" t="s">
        <v>42</v>
      </c>
    </row>
    <row r="194" spans="4:56">
      <c r="D194" s="353" t="s">
        <v>1264</v>
      </c>
      <c r="E194" s="353" t="s">
        <v>1449</v>
      </c>
      <c r="F194" s="353">
        <v>3</v>
      </c>
      <c r="G194" s="353" t="s">
        <v>679</v>
      </c>
      <c r="H194" s="353" t="s">
        <v>1841</v>
      </c>
      <c r="I194" s="353" t="s">
        <v>1842</v>
      </c>
      <c r="J194" s="353"/>
      <c r="K194" s="353" t="s">
        <v>1843</v>
      </c>
      <c r="L194" s="353"/>
      <c r="M194" s="353" t="str">
        <f ca="1">IFERROR(VLOOKUP(Master_Agent_HQs[[#This Row],[iWatch '#]],INDIRECT('Defined Ranges'!$C$28&amp;"Order"&amp;'Defined Ranges'!$C$29),2,FALSE),"")</f>
        <v/>
      </c>
      <c r="N194" s="353" t="str">
        <f ca="1">IFERROR(VLOOKUP(Master_Agent_HQs[[#This Row],[iWatch '#]],INDIRECT('Defined Ranges'!$C$28&amp;"Order"&amp;'Defined Ranges'!$C$29),3,FALSE),"")</f>
        <v/>
      </c>
      <c r="O194" s="353">
        <f>O193+1</f>
        <v>61</v>
      </c>
      <c r="P194" s="353" t="str" cm="1">
        <f t="array" ref="P194">_xlfn.IFS(LSelected="English",Master_Agent_HQs[[#This Row],[Verification Type English]],LSelected="Spanish",Master_Agent_HQs[[#This Row],[Verification Type Spanish]],LSelected="French",Master_Agent_HQs[[#This Row],[Verification Type French]],LSelected="Portuguese",Master_Agent_HQs[[#This Row],[Verification Type Portuguese]])</f>
        <v>Protección del Consumidor</v>
      </c>
      <c r="Q194" s="353" t="str" cm="1">
        <f t="array" ref="Q194">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DOCUMENTS REQUIRED Consumer Protection Program: Answer by reviewing Agent's Policies and Procedures document received prior or during the call.</v>
      </c>
      <c r="R194" s="353"/>
      <c r="S194" s="353"/>
      <c r="T194" s="353" t="s">
        <v>698</v>
      </c>
      <c r="U194" s="353" t="s">
        <v>159</v>
      </c>
      <c r="V194" s="353" t="s">
        <v>1844</v>
      </c>
      <c r="W194" s="353" t="s">
        <v>160</v>
      </c>
      <c r="X194" s="353" t="s">
        <v>1453</v>
      </c>
      <c r="Y194" s="353" t="s">
        <v>161</v>
      </c>
      <c r="Z194" s="353" t="s">
        <v>1453</v>
      </c>
      <c r="AA194" s="355" t="str">
        <f>IF('Gen Info'!$E$4="Portugal","Proteção dos Consumidores","Proteção ao consumidor")</f>
        <v>Proteção ao consumidor</v>
      </c>
      <c r="AB194" s="353" t="s">
        <v>1453</v>
      </c>
    </row>
    <row r="195" spans="4:56">
      <c r="D195" s="353" t="s">
        <v>1448</v>
      </c>
      <c r="E195" s="353" t="s">
        <v>1845</v>
      </c>
      <c r="F195" s="353">
        <v>2</v>
      </c>
      <c r="G195" s="353" t="s">
        <v>609</v>
      </c>
      <c r="H195" s="353" t="s">
        <v>1846</v>
      </c>
      <c r="I195" s="353" t="s">
        <v>1847</v>
      </c>
      <c r="J195" s="353"/>
      <c r="K195" s="353"/>
      <c r="L195" s="353"/>
      <c r="M195" s="353" t="str">
        <f ca="1">IFERROR(VLOOKUP(Master_Agent_HQs[[#This Row],[iWatch '#]],INDIRECT('Defined Ranges'!$C$28&amp;"Order"&amp;'Defined Ranges'!$C$29),2,FALSE),"")</f>
        <v/>
      </c>
      <c r="N195" s="353" t="str">
        <f ca="1">IFERROR(VLOOKUP(Master_Agent_HQs[[#This Row],[iWatch '#]],INDIRECT('Defined Ranges'!$C$28&amp;"Order"&amp;'Defined Ranges'!$C$29),3,FALSE),"")</f>
        <v/>
      </c>
      <c r="O195" s="353">
        <f>O194+1</f>
        <v>62</v>
      </c>
      <c r="P195" s="353" t="str" cm="1">
        <f t="array" ref="P195">_xlfn.IFS(LSelected="English",Master_Agent_HQs[[#This Row],[Verification Type English]],LSelected="Spanish",Master_Agent_HQs[[#This Row],[Verification Type Spanish]],LSelected="French",Master_Agent_HQs[[#This Row],[Verification Type French]],LSelected="Portuguese",Master_Agent_HQs[[#This Row],[Verification Type Portuguese]])</f>
        <v>Conservación de Registros</v>
      </c>
      <c r="Q195" s="353" t="str" cm="1">
        <f t="array" ref="Q195">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 xml:space="preserve">Once the documents reach the required retention period, what do you do with them? How do you get rid of the AML documents? </v>
      </c>
      <c r="R195" s="353"/>
      <c r="S195" s="353"/>
      <c r="T195" s="353" t="s">
        <v>644</v>
      </c>
      <c r="U195" s="353" t="s">
        <v>197</v>
      </c>
      <c r="V195" s="353" t="s">
        <v>946</v>
      </c>
      <c r="W195" s="355" t="str">
        <f>IF('Gen Info'!$E$4="Spain","Mantenimiento de Registros","Conservación de Registros")</f>
        <v>Conservación de Registros</v>
      </c>
      <c r="X195" s="353" t="s">
        <v>947</v>
      </c>
      <c r="Y195" s="355" t="str">
        <f>IF('Gen Info'!$E$4="Canada","Tenue de Documents","Archivage")</f>
        <v>Archivage</v>
      </c>
      <c r="Z195" s="353" t="s">
        <v>948</v>
      </c>
      <c r="AA195" s="355" t="str">
        <f>IF('Gen Info'!$E$4="Portugal","Manutenção de registos","Manutenção de registros")</f>
        <v>Manutenção de registros</v>
      </c>
      <c r="AB195" s="353" t="s">
        <v>42</v>
      </c>
    </row>
    <row r="196" spans="4:56">
      <c r="D196" s="353" t="s">
        <v>1848</v>
      </c>
      <c r="E196" s="353" t="s">
        <v>1849</v>
      </c>
      <c r="F196" s="353">
        <v>3</v>
      </c>
      <c r="G196" s="353" t="s">
        <v>679</v>
      </c>
      <c r="H196" s="353" t="s">
        <v>1850</v>
      </c>
      <c r="I196" s="353" t="s">
        <v>1851</v>
      </c>
      <c r="J196" s="353"/>
      <c r="K196" s="353" t="s">
        <v>1852</v>
      </c>
      <c r="L196" s="353"/>
      <c r="M196" s="353" t="str">
        <f ca="1">IFERROR(VLOOKUP(Master_Agent_HQs[[#This Row],[iWatch '#]],INDIRECT('Defined Ranges'!$C$28&amp;"Order"&amp;'Defined Ranges'!$C$29),2,FALSE),"")</f>
        <v/>
      </c>
      <c r="N196" s="353" t="str">
        <f ca="1">IFERROR(VLOOKUP(Master_Agent_HQs[[#This Row],[iWatch '#]],INDIRECT('Defined Ranges'!$C$28&amp;"Order"&amp;'Defined Ranges'!$C$29),3,FALSE),"")</f>
        <v/>
      </c>
      <c r="O196" s="353">
        <f t="shared" si="12"/>
        <v>63</v>
      </c>
      <c r="P196" s="353" t="str" cm="1">
        <f t="array" ref="P196">_xlfn.IFS(LSelected="English",Master_Agent_HQs[[#This Row],[Verification Type English]],LSelected="Spanish",Master_Agent_HQs[[#This Row],[Verification Type Spanish]],LSelected="French",Master_Agent_HQs[[#This Row],[Verification Type French]],LSelected="Portuguese",Master_Agent_HQs[[#This Row],[Verification Type Portuguese]])</f>
        <v>Conservación de Registros</v>
      </c>
      <c r="Q196" s="353" t="str" cm="1">
        <f t="array" ref="Q196">_xlfn.IFS('Defined Ranges'!$C$27="English",Master_Agent_HQs[[#This Row],[Suggested script English]],'Defined Ranges'!$C$27="Spanish",Master_Agent_HQs[[#This Row],[Suggested script Spanish]],'Defined Ranges'!$C$27="French",Master_Agent_HQs[[#This Row],[Suggested script French]],'Defined Ranges'!$C$27="Portuguese",Master_Agent_HQs[[#This Row],[Suggested script Portuguese]])</f>
        <v>Once the electronic records reach the required retention period, what do you do with them?</v>
      </c>
      <c r="R196" s="353"/>
      <c r="S196" s="353"/>
      <c r="T196" s="353" t="s">
        <v>644</v>
      </c>
      <c r="U196" s="353" t="s">
        <v>197</v>
      </c>
      <c r="V196" s="353" t="s">
        <v>972</v>
      </c>
      <c r="W196" s="355" t="str">
        <f>IF('Gen Info'!$E$4="Spain","Mantenimiento de Registros","Conservación de Registros")</f>
        <v>Conservación de Registros</v>
      </c>
      <c r="X196" s="353" t="s">
        <v>973</v>
      </c>
      <c r="Y196" s="355" t="str">
        <f>IF('Gen Info'!$E$4="Canada","Tenue de Documents","Archivage")</f>
        <v>Archivage</v>
      </c>
      <c r="Z196" s="353" t="s">
        <v>974</v>
      </c>
      <c r="AA196" s="355" t="str">
        <f>IF('Gen Info'!$E$4="Portugal","Manutenção de registos","Manutenção de registros")</f>
        <v>Manutenção de registros</v>
      </c>
      <c r="AB196" s="353" t="s">
        <v>42</v>
      </c>
    </row>
    <row r="197" spans="4:56" ht="29">
      <c r="AF197" s="392" t="s">
        <v>69</v>
      </c>
      <c r="AG197" s="393" t="s">
        <v>120</v>
      </c>
      <c r="AH197" s="393" t="s">
        <v>552</v>
      </c>
      <c r="AI197" s="393" t="s">
        <v>553</v>
      </c>
      <c r="AJ197" s="393" t="s">
        <v>573</v>
      </c>
      <c r="AK197" s="393" t="s">
        <v>574</v>
      </c>
      <c r="AL197" s="393" t="s">
        <v>575</v>
      </c>
      <c r="AM197" s="393" t="s">
        <v>557</v>
      </c>
      <c r="AN197" s="393" t="s">
        <v>558</v>
      </c>
      <c r="AO197" s="394" t="s">
        <v>559</v>
      </c>
      <c r="AP197" s="394" t="s">
        <v>115</v>
      </c>
      <c r="AQ197" s="394" t="s">
        <v>68</v>
      </c>
      <c r="AR197" s="394" t="s">
        <v>560</v>
      </c>
      <c r="AS197" s="394" t="s">
        <v>561</v>
      </c>
      <c r="AT197" s="393" t="s">
        <v>562</v>
      </c>
      <c r="AU197" s="393" t="s">
        <v>563</v>
      </c>
      <c r="AV197" s="393" t="s">
        <v>564</v>
      </c>
      <c r="AW197" s="393" t="s">
        <v>565</v>
      </c>
      <c r="AX197" s="393" t="s">
        <v>566</v>
      </c>
      <c r="AY197" s="393" t="s">
        <v>567</v>
      </c>
      <c r="AZ197" s="393" t="s">
        <v>568</v>
      </c>
      <c r="BA197" s="393" t="s">
        <v>569</v>
      </c>
      <c r="BB197" s="393" t="s">
        <v>570</v>
      </c>
      <c r="BC197" s="393" t="s">
        <v>571</v>
      </c>
      <c r="BD197" s="395" t="s">
        <v>572</v>
      </c>
    </row>
    <row r="198" spans="4:56">
      <c r="AF198" s="103" t="s">
        <v>1853</v>
      </c>
      <c r="AG198" s="103" t="s">
        <v>976</v>
      </c>
      <c r="AH198" s="103">
        <v>3</v>
      </c>
      <c r="AI198" s="103" t="s">
        <v>581</v>
      </c>
      <c r="AJ198" s="103" t="s">
        <v>632</v>
      </c>
      <c r="AK198" s="103" t="s">
        <v>633</v>
      </c>
      <c r="AM198" s="103" t="s">
        <v>634</v>
      </c>
      <c r="AO198" s="103" t="str">
        <f ca="1">IFERROR(VLOOKUP(Independent_MO_Only_United_States[[#This Row],[iWatch '#]],INDIRECT('Defined Ranges'!$C$28&amp;"ROrder"&amp;'Defined Ranges'!$C$29),2,FALSE),"")</f>
        <v/>
      </c>
      <c r="AP198" s="103" t="str">
        <f ca="1">IFERROR(VLOOKUP(Independent_MO_Only_United_States[[#This Row],[iWatch '#]],INDIRECT('Defined Ranges'!$C$28&amp;"ROrder"&amp;'Defined Ranges'!$C$29),3,FALSE),"")</f>
        <v/>
      </c>
      <c r="AQ198" s="103">
        <f ca="1">'Defined Ranges'!$D$23+1</f>
        <v>42</v>
      </c>
      <c r="AR198" s="103" cm="1">
        <f t="array" ref="AR198">_xlfn.IFS(LSelected="English",Independent_MO_Only_United_States[[#This Row],[Verification Type English]],LSelected="Spanish",Independent_MO_Only_United_States[[#This Row],[Verification Type Spanish]],LSelected="French",Independent_MO_Only_United_States[[#This Row],[Verification Type French]],LSelected="Portuguese",Independent_MO_Only_United_States[[#This Row],[Verification Type Portuguese]])</f>
        <v>0</v>
      </c>
      <c r="AS198" s="103" t="str" cm="1">
        <f t="array" ref="AS198">_xlfn.IFS(SScript="English",Independent_MO_Only_United_States[[#This Row],[Suggested script English]],SScript="Spanish",Independent_MO_Only_United_States[[#This Row],[Suggested script Spanish]],SScript="French",Independent_MO_Only_United_States[[#This Row],[Suggested script French]],SScript="Portuguese",Independent_MO_Only_United_States[[#This Row],[Suggested script Portuguese]])</f>
        <v>For the state of XXX there are some state requirements you need to have.
Do you have them?
Can you please read what the notices states?
OR IF AGENT IS AT THE STORE, can you read to me what the sign says?</v>
      </c>
      <c r="AV198" s="103" t="s">
        <v>585</v>
      </c>
      <c r="AW198" s="103" t="s">
        <v>1854</v>
      </c>
      <c r="AX198" s="103" t="s">
        <v>1855</v>
      </c>
      <c r="AZ198" s="103" t="s">
        <v>42</v>
      </c>
      <c r="BB198" s="103" t="s">
        <v>42</v>
      </c>
      <c r="BD198" s="103" t="s">
        <v>42</v>
      </c>
    </row>
    <row r="199" spans="4:56">
      <c r="AF199" s="103" t="s">
        <v>823</v>
      </c>
      <c r="AG199" s="103" t="s">
        <v>647</v>
      </c>
      <c r="AH199" s="103">
        <v>2</v>
      </c>
      <c r="AI199" s="103" t="s">
        <v>609</v>
      </c>
      <c r="AJ199" s="103" t="s">
        <v>648</v>
      </c>
      <c r="AK199" s="103" t="s">
        <v>649</v>
      </c>
      <c r="AO199" s="103" t="str">
        <f ca="1">IFERROR(VLOOKUP(Independent_MO_Only_United_States[[#This Row],[iWatch '#]],INDIRECT('Defined Ranges'!$C$28&amp;"ROrder"&amp;'Defined Ranges'!$C$29),2,FALSE),"")</f>
        <v/>
      </c>
      <c r="AP199" s="103" t="str">
        <f ca="1">IFERROR(VLOOKUP(Independent_MO_Only_United_States[[#This Row],[iWatch '#]],INDIRECT('Defined Ranges'!$C$28&amp;"ROrder"&amp;'Defined Ranges'!$C$29),3,FALSE),"")</f>
        <v/>
      </c>
      <c r="AQ199" s="103">
        <f ca="1">AQ198+1</f>
        <v>43</v>
      </c>
      <c r="AR199" s="103" cm="1">
        <f t="array" ref="AR199">_xlfn.IFS(LSelected="English",Independent_MO_Only_United_States[[#This Row],[Verification Type English]],LSelected="Spanish",Independent_MO_Only_United_States[[#This Row],[Verification Type Spanish]],LSelected="French",Independent_MO_Only_United_States[[#This Row],[Verification Type French]],LSelected="Portuguese",Independent_MO_Only_United_States[[#This Row],[Verification Type Portuguese]])</f>
        <v>0</v>
      </c>
      <c r="AS199" s="103" t="str" cm="1">
        <f t="array" ref="AS199">_xlfn.IFS(SScript="English",Independent_MO_Only_United_States[[#This Row],[Suggested script English]],SScript="Spanish",Independent_MO_Only_United_States[[#This Row],[Suggested script Spanish]],SScript="French",Independent_MO_Only_United_States[[#This Row],[Suggested script French]],SScript="Portuguese",Independent_MO_Only_United_States[[#This Row],[Suggested script Portuguese]])</f>
        <v xml:space="preserve">Let’s say something happens and the documents get damaged,stolen, or lost before they reach the 5 year period. Do you know who to contact to report this?                                                                                                                                                  (they have to contact either agent support or the AE) </v>
      </c>
      <c r="AV199" s="103" t="s">
        <v>585</v>
      </c>
      <c r="AW199" s="103" t="s">
        <v>1856</v>
      </c>
      <c r="AX199" s="103" t="s">
        <v>1857</v>
      </c>
      <c r="AZ199" s="103" t="s">
        <v>42</v>
      </c>
      <c r="BB199" s="103" t="s">
        <v>42</v>
      </c>
      <c r="BD199" s="103" t="s">
        <v>42</v>
      </c>
    </row>
    <row r="200" spans="4:56">
      <c r="AF200" s="103" t="s">
        <v>1591</v>
      </c>
      <c r="AG200" s="103" t="s">
        <v>1858</v>
      </c>
      <c r="AH200" s="103">
        <v>2</v>
      </c>
      <c r="AI200" s="103" t="s">
        <v>609</v>
      </c>
      <c r="AJ200" s="103" t="s">
        <v>657</v>
      </c>
      <c r="AK200" s="103" t="s">
        <v>658</v>
      </c>
      <c r="AO200" s="103" t="str">
        <f ca="1">IFERROR(VLOOKUP(Independent_MO_Only_United_States[[#This Row],[iWatch '#]],INDIRECT('Defined Ranges'!$C$28&amp;"ROrder"&amp;'Defined Ranges'!$C$29),2,FALSE),"")</f>
        <v/>
      </c>
      <c r="AP200" s="103" t="str">
        <f ca="1">IFERROR(VLOOKUP(Independent_MO_Only_United_States[[#This Row],[iWatch '#]],INDIRECT('Defined Ranges'!$C$28&amp;"ROrder"&amp;'Defined Ranges'!$C$29),3,FALSE),"")</f>
        <v/>
      </c>
      <c r="AQ200" s="103">
        <f t="shared" ref="AQ200:AQ205" ca="1" si="13">AQ199+1</f>
        <v>44</v>
      </c>
      <c r="AR200" s="103" cm="1">
        <f t="array" ref="AR200">_xlfn.IFS(LSelected="English",Independent_MO_Only_United_States[[#This Row],[Verification Type English]],LSelected="Spanish",Independent_MO_Only_United_States[[#This Row],[Verification Type Spanish]],LSelected="French",Independent_MO_Only_United_States[[#This Row],[Verification Type French]],LSelected="Portuguese",Independent_MO_Only_United_States[[#This Row],[Verification Type Portuguese]])</f>
        <v>0</v>
      </c>
      <c r="AS200" s="103" t="str" cm="1">
        <f t="array" ref="AS200">_xlfn.IFS(SScript="English",Independent_MO_Only_United_States[[#This Row],[Suggested script English]],SScript="Spanish",Independent_MO_Only_United_States[[#This Row],[Suggested script Spanish]],SScript="French",Independent_MO_Only_United_States[[#This Row],[Suggested script French]],SScript="Portuguese",Independent_MO_Only_United_States[[#This Row],[Suggested script Portuguese]])</f>
        <v>How would you respond to a consumer’s question about their privacy, for example: “How do I know you will not sell or provide my personal information to a third party (such as my SSN or ID information)?”
(Correct answer: Visit WU website, calling WU # on the receipt)</v>
      </c>
      <c r="AV200" s="103" t="s">
        <v>585</v>
      </c>
      <c r="AW200" s="103" t="s">
        <v>1856</v>
      </c>
      <c r="AX200" s="103" t="s">
        <v>1104</v>
      </c>
      <c r="AZ200" s="103" t="s">
        <v>42</v>
      </c>
      <c r="BB200" s="103" t="s">
        <v>42</v>
      </c>
      <c r="BD200" s="103" t="s">
        <v>42</v>
      </c>
    </row>
    <row r="201" spans="4:56">
      <c r="AF201" s="103" t="s">
        <v>1859</v>
      </c>
      <c r="AG201" s="103" t="s">
        <v>1116</v>
      </c>
      <c r="AH201" s="103">
        <v>3</v>
      </c>
      <c r="AI201" s="103" t="s">
        <v>581</v>
      </c>
      <c r="AJ201" s="103" t="s">
        <v>1860</v>
      </c>
      <c r="AK201" s="103" t="s">
        <v>1861</v>
      </c>
      <c r="AM201" s="103" t="s">
        <v>1862</v>
      </c>
      <c r="AO201" s="103" t="str">
        <f ca="1">IFERROR(VLOOKUP(Independent_MO_Only_United_States[[#This Row],[iWatch '#]],INDIRECT('Defined Ranges'!$C$28&amp;"ROrder"&amp;'Defined Ranges'!$C$29),2,FALSE),"")</f>
        <v/>
      </c>
      <c r="AP201" s="103" t="str">
        <f ca="1">IFERROR(VLOOKUP(Independent_MO_Only_United_States[[#This Row],[iWatch '#]],INDIRECT('Defined Ranges'!$C$28&amp;"ROrder"&amp;'Defined Ranges'!$C$29),3,FALSE),"")</f>
        <v/>
      </c>
      <c r="AQ201" s="103">
        <f t="shared" ca="1" si="13"/>
        <v>45</v>
      </c>
      <c r="AR201" s="103" cm="1">
        <f t="array" ref="AR201">_xlfn.IFS(LSelected="English",Independent_MO_Only_United_States[[#This Row],[Verification Type English]],LSelected="Spanish",Independent_MO_Only_United_States[[#This Row],[Verification Type Spanish]],LSelected="French",Independent_MO_Only_United_States[[#This Row],[Verification Type French]],LSelected="Portuguese",Independent_MO_Only_United_States[[#This Row],[Verification Type Portuguese]])</f>
        <v>0</v>
      </c>
      <c r="AS201" s="103" t="str" cm="1">
        <f t="array" ref="AS201">_xlfn.IFS(SScript="English",Independent_MO_Only_United_States[[#This Row],[Suggested script English]],SScript="Spanish",Independent_MO_Only_United_States[[#This Row],[Suggested script Spanish]],SScript="French",Independent_MO_Only_United_States[[#This Row],[Suggested script French]],SScript="Portuguese",Independent_MO_Only_United_States[[#This Row],[Suggested script Portuguese]])</f>
        <v xml:space="preserve">DOCUMENTS REQUIRED Updated (Yearly) P&amp;Ps: Answer by reviewing Agent's Policies and Procedures prior or during the call. </v>
      </c>
      <c r="AV201" s="103" t="s">
        <v>585</v>
      </c>
      <c r="AW201" s="103" t="s">
        <v>1856</v>
      </c>
      <c r="AX201" s="103" t="s">
        <v>1863</v>
      </c>
      <c r="AZ201" s="103" t="s">
        <v>42</v>
      </c>
      <c r="BB201" s="103" t="s">
        <v>42</v>
      </c>
      <c r="BD201" s="103" t="s">
        <v>42</v>
      </c>
    </row>
    <row r="202" spans="4:56">
      <c r="AF202" s="103" t="s">
        <v>579</v>
      </c>
      <c r="AG202" s="103" t="s">
        <v>1864</v>
      </c>
      <c r="AH202" s="103">
        <v>2</v>
      </c>
      <c r="AI202" s="103" t="s">
        <v>609</v>
      </c>
      <c r="AJ202" s="103" t="s">
        <v>1865</v>
      </c>
      <c r="AK202" s="103" t="s">
        <v>1866</v>
      </c>
      <c r="AO202" s="103" t="str">
        <f ca="1">IFERROR(VLOOKUP(Independent_MO_Only_United_States[[#This Row],[iWatch '#]],INDIRECT('Defined Ranges'!$C$28&amp;"ROrder"&amp;'Defined Ranges'!$C$29),2,FALSE),"")</f>
        <v/>
      </c>
      <c r="AP202" s="103" t="str">
        <f ca="1">IFERROR(VLOOKUP(Independent_MO_Only_United_States[[#This Row],[iWatch '#]],INDIRECT('Defined Ranges'!$C$28&amp;"ROrder"&amp;'Defined Ranges'!$C$29),3,FALSE),"")</f>
        <v/>
      </c>
      <c r="AQ202" s="103">
        <f t="shared" ca="1" si="13"/>
        <v>46</v>
      </c>
      <c r="AR202" s="103" cm="1">
        <f t="array" ref="AR202">_xlfn.IFS(LSelected="English",Independent_MO_Only_United_States[[#This Row],[Verification Type English]],LSelected="Spanish",Independent_MO_Only_United_States[[#This Row],[Verification Type Spanish]],LSelected="French",Independent_MO_Only_United_States[[#This Row],[Verification Type French]],LSelected="Portuguese",Independent_MO_Only_United_States[[#This Row],[Verification Type Portuguese]])</f>
        <v>0</v>
      </c>
      <c r="AS202" s="103" t="str" cm="1">
        <f t="array" ref="AS202">_xlfn.IFS(SScript="English",Independent_MO_Only_United_States[[#This Row],[Suggested script English]],SScript="Spanish",Independent_MO_Only_United_States[[#This Row],[Suggested script Spanish]],SScript="French",Independent_MO_Only_United_States[[#This Row],[Suggested script French]],SScript="Portuguese",Independent_MO_Only_United_States[[#This Row],[Suggested script Portuguese]])</f>
        <v xml:space="preserve">DOCUMENT REQUIRED Training Log/LMS: This question will be answered based on training records (training logs, copies of completed/graded quizzes and/or Training Log documentation. </v>
      </c>
      <c r="AV202" s="103" t="s">
        <v>698</v>
      </c>
      <c r="AW202" s="103" t="s">
        <v>1867</v>
      </c>
      <c r="AX202" s="103" t="s">
        <v>1868</v>
      </c>
      <c r="AZ202" s="103" t="s">
        <v>42</v>
      </c>
      <c r="BB202" s="103" t="s">
        <v>42</v>
      </c>
      <c r="BD202" s="103" t="s">
        <v>42</v>
      </c>
    </row>
    <row r="203" spans="4:56" ht="29">
      <c r="D203" s="409" t="s">
        <v>69</v>
      </c>
      <c r="E203" s="385" t="s">
        <v>120</v>
      </c>
      <c r="F203" s="385" t="s">
        <v>552</v>
      </c>
      <c r="G203" s="385" t="s">
        <v>553</v>
      </c>
      <c r="H203" s="385" t="s">
        <v>554</v>
      </c>
      <c r="I203" s="385" t="s">
        <v>555</v>
      </c>
      <c r="J203" s="385" t="s">
        <v>556</v>
      </c>
      <c r="K203" s="385" t="s">
        <v>557</v>
      </c>
      <c r="L203" s="385" t="s">
        <v>558</v>
      </c>
      <c r="M203" s="385" t="s">
        <v>559</v>
      </c>
      <c r="N203" s="385" t="s">
        <v>115</v>
      </c>
      <c r="O203" s="385" t="s">
        <v>68</v>
      </c>
      <c r="P203" s="385" t="s">
        <v>560</v>
      </c>
      <c r="Q203" s="385" t="s">
        <v>561</v>
      </c>
      <c r="R203" s="410" t="s">
        <v>562</v>
      </c>
      <c r="S203" s="410" t="s">
        <v>563</v>
      </c>
      <c r="T203" s="385" t="s">
        <v>564</v>
      </c>
      <c r="U203" s="385" t="s">
        <v>565</v>
      </c>
      <c r="V203" s="385" t="s">
        <v>566</v>
      </c>
      <c r="W203" s="385" t="s">
        <v>567</v>
      </c>
      <c r="X203" s="385" t="s">
        <v>568</v>
      </c>
      <c r="Y203" s="385" t="s">
        <v>569</v>
      </c>
      <c r="Z203" s="385" t="s">
        <v>570</v>
      </c>
      <c r="AA203" s="385" t="s">
        <v>571</v>
      </c>
      <c r="AB203" s="411" t="s">
        <v>572</v>
      </c>
      <c r="AF203" s="103" t="s">
        <v>1869</v>
      </c>
      <c r="AG203" s="103" t="s">
        <v>1167</v>
      </c>
      <c r="AH203" s="103">
        <v>2</v>
      </c>
      <c r="AI203" s="103" t="s">
        <v>609</v>
      </c>
      <c r="AJ203" s="103" t="s">
        <v>1870</v>
      </c>
      <c r="AK203" s="103" t="s">
        <v>1871</v>
      </c>
      <c r="AO203" s="103" t="str">
        <f ca="1">IFERROR(VLOOKUP(Independent_MO_Only_United_States[[#This Row],[iWatch '#]],INDIRECT('Defined Ranges'!$C$28&amp;"ROrder"&amp;'Defined Ranges'!$C$29),2,FALSE),"")</f>
        <v/>
      </c>
      <c r="AP203" s="103" t="str">
        <f ca="1">IFERROR(VLOOKUP(Independent_MO_Only_United_States[[#This Row],[iWatch '#]],INDIRECT('Defined Ranges'!$C$28&amp;"ROrder"&amp;'Defined Ranges'!$C$29),3,FALSE),"")</f>
        <v/>
      </c>
      <c r="AQ203" s="103">
        <f t="shared" ca="1" si="13"/>
        <v>47</v>
      </c>
      <c r="AR203" s="103" cm="1">
        <f t="array" ref="AR203">_xlfn.IFS(LSelected="English",Independent_MO_Only_United_States[[#This Row],[Verification Type English]],LSelected="Spanish",Independent_MO_Only_United_States[[#This Row],[Verification Type Spanish]],LSelected="French",Independent_MO_Only_United_States[[#This Row],[Verification Type French]],LSelected="Portuguese",Independent_MO_Only_United_States[[#This Row],[Verification Type Portuguese]])</f>
        <v>0</v>
      </c>
      <c r="AS203" s="103" t="str" cm="1">
        <f t="array" ref="AS203">_xlfn.IFS(SScript="English",Independent_MO_Only_United_States[[#This Row],[Suggested script English]],SScript="Spanish",Independent_MO_Only_United_States[[#This Row],[Suggested script Spanish]],SScript="French",Independent_MO_Only_United_States[[#This Row],[Suggested script French]],SScript="Portuguese",Independent_MO_Only_United_States[[#This Row],[Suggested script Portuguese]])</f>
        <v xml:space="preserve">Do you have access to the BSA E-Filling system?
IF NO, I will send the steps you need to follow for registration and send me proof.
IF YES, Could you please send registration proof?
 Like the confirmation  email you got when you registered
OR access the system and send a screen shot showing you are logged in. </v>
      </c>
      <c r="AV203" s="103" t="s">
        <v>644</v>
      </c>
      <c r="AW203" s="103" t="s">
        <v>1872</v>
      </c>
      <c r="AX203" s="103" t="s">
        <v>1873</v>
      </c>
      <c r="AZ203" s="103" t="s">
        <v>42</v>
      </c>
      <c r="BB203" s="103" t="s">
        <v>42</v>
      </c>
      <c r="BD203" s="103" t="s">
        <v>42</v>
      </c>
    </row>
    <row r="204" spans="4:56">
      <c r="D204" s="103" t="s">
        <v>576</v>
      </c>
      <c r="E204" s="103" t="s">
        <v>577</v>
      </c>
      <c r="L204" s="355" t="str" cm="1">
        <f t="array" ref="L204">LocationInfo[WUCO
Name]</f>
        <v>enter manually</v>
      </c>
      <c r="M204" s="103">
        <f ca="1">IFERROR(VLOOKUP(Independent_MO_Only[[#This Row],[iWatch '#]],INDIRECT('Defined Ranges'!$C$28&amp;"Order"&amp;'Defined Ranges'!$C$29),2,FALSE),"")</f>
        <v>1</v>
      </c>
      <c r="N204" s="103">
        <f ca="1">IFERROR(VLOOKUP(Independent_MO_Only[[#This Row],[iWatch '#]],INDIRECT('Defined Ranges'!$C$28&amp;"Order"&amp;'Defined Ranges'!$C$29),3,FALSE),"")</f>
        <v>1</v>
      </c>
      <c r="O204" s="103">
        <v>1</v>
      </c>
      <c r="P204" s="103" cm="1">
        <f t="array" ref="P204">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04" s="103" t="str" cm="1">
        <f t="array" ref="Q204">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Who conducted the interview (WUCO)?</v>
      </c>
      <c r="V204" s="103" t="s">
        <v>577</v>
      </c>
      <c r="X204" s="103" t="s">
        <v>42</v>
      </c>
      <c r="Z204" s="103" t="s">
        <v>42</v>
      </c>
      <c r="AB204" s="103" t="s">
        <v>42</v>
      </c>
      <c r="AF204" s="103" t="s">
        <v>1178</v>
      </c>
      <c r="AG204" s="103" t="s">
        <v>1874</v>
      </c>
      <c r="AH204" s="103">
        <v>2</v>
      </c>
      <c r="AI204" s="103" t="s">
        <v>609</v>
      </c>
      <c r="AJ204" s="103" t="s">
        <v>1875</v>
      </c>
      <c r="AK204" s="103" t="s">
        <v>1876</v>
      </c>
      <c r="AO204" s="103" t="str">
        <f ca="1">IFERROR(VLOOKUP(Independent_MO_Only_United_States[[#This Row],[iWatch '#]],INDIRECT('Defined Ranges'!$C$28&amp;"ROrder"&amp;'Defined Ranges'!$C$29),2,FALSE),"")</f>
        <v/>
      </c>
      <c r="AP204" s="103" t="str">
        <f ca="1">IFERROR(VLOOKUP(Independent_MO_Only_United_States[[#This Row],[iWatch '#]],INDIRECT('Defined Ranges'!$C$28&amp;"ROrder"&amp;'Defined Ranges'!$C$29),3,FALSE),"")</f>
        <v/>
      </c>
      <c r="AQ204" s="103">
        <f t="shared" ca="1" si="13"/>
        <v>48</v>
      </c>
      <c r="AR204" s="103" cm="1">
        <f t="array" ref="AR204">_xlfn.IFS(LSelected="English",Independent_MO_Only_United_States[[#This Row],[Verification Type English]],LSelected="Spanish",Independent_MO_Only_United_States[[#This Row],[Verification Type Spanish]],LSelected="French",Independent_MO_Only_United_States[[#This Row],[Verification Type French]],LSelected="Portuguese",Independent_MO_Only_United_States[[#This Row],[Verification Type Portuguese]])</f>
        <v>0</v>
      </c>
      <c r="AS204" s="103" t="str" cm="1">
        <f t="array" ref="AS204">_xlfn.IFS(SScript="English",Independent_MO_Only_United_States[[#This Row],[Suggested script English]],SScript="Spanish",Independent_MO_Only_United_States[[#This Row],[Suggested script Spanish]],SScript="French",Independent_MO_Only_United_States[[#This Row],[Suggested script French]],SScript="Portuguese",Independent_MO_Only_United_States[[#This Row],[Suggested script Portuguese]])</f>
        <v>Once the documents reach the 5 year period, what do you do with them? How do you get rid of the AML documents?</v>
      </c>
      <c r="AV204" s="103" t="s">
        <v>585</v>
      </c>
      <c r="AW204" s="103" t="s">
        <v>1877</v>
      </c>
      <c r="AX204" s="103" t="s">
        <v>1878</v>
      </c>
      <c r="AZ204" s="103" t="s">
        <v>42</v>
      </c>
      <c r="BB204" s="103" t="s">
        <v>42</v>
      </c>
      <c r="BD204" s="103" t="s">
        <v>42</v>
      </c>
    </row>
    <row r="205" spans="4:56">
      <c r="D205" s="103" t="s">
        <v>589</v>
      </c>
      <c r="E205" s="103" t="s">
        <v>1879</v>
      </c>
      <c r="L205" s="400">
        <f>IF('Gen Info'!$B$7=0,"",'Gen Info'!$B$7)</f>
        <v>45902</v>
      </c>
      <c r="M205" s="103">
        <f ca="1">IFERROR(VLOOKUP(Independent_MO_Only[[#This Row],[iWatch '#]],INDIRECT('Defined Ranges'!$C$28&amp;"Order"&amp;'Defined Ranges'!$C$29),2,FALSE),"")</f>
        <v>2</v>
      </c>
      <c r="N205" s="103">
        <f ca="1">IFERROR(VLOOKUP(Independent_MO_Only[[#This Row],[iWatch '#]],INDIRECT('Defined Ranges'!$C$28&amp;"Order"&amp;'Defined Ranges'!$C$29),3,FALSE),"")</f>
        <v>2</v>
      </c>
      <c r="O205" s="103">
        <f>O204+1</f>
        <v>2</v>
      </c>
      <c r="P205" s="103" cm="1">
        <f t="array" ref="P205">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05" s="103" t="str" cm="1">
        <f t="array" ref="Q205">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Date of Interview</v>
      </c>
      <c r="V205" s="103" t="s">
        <v>1879</v>
      </c>
      <c r="X205" s="103" t="s">
        <v>42</v>
      </c>
      <c r="Z205" s="103" t="s">
        <v>42</v>
      </c>
      <c r="AB205" s="103" t="s">
        <v>42</v>
      </c>
      <c r="AF205" s="103" t="s">
        <v>1880</v>
      </c>
      <c r="AG205" s="103" t="s">
        <v>732</v>
      </c>
      <c r="AH205" s="103">
        <v>3</v>
      </c>
      <c r="AI205" s="103" t="s">
        <v>581</v>
      </c>
      <c r="AJ205" s="103" t="s">
        <v>733</v>
      </c>
      <c r="AK205" s="103" t="s">
        <v>1881</v>
      </c>
      <c r="AM205" s="103" t="s">
        <v>1882</v>
      </c>
      <c r="AO205" s="103" t="str">
        <f ca="1">IFERROR(VLOOKUP(Independent_MO_Only_United_States[[#This Row],[iWatch '#]],INDIRECT('Defined Ranges'!$C$28&amp;"ROrder"&amp;'Defined Ranges'!$C$29),2,FALSE),"")</f>
        <v/>
      </c>
      <c r="AP205" s="103" t="str">
        <f ca="1">IFERROR(VLOOKUP(Independent_MO_Only_United_States[[#This Row],[iWatch '#]],INDIRECT('Defined Ranges'!$C$28&amp;"ROrder"&amp;'Defined Ranges'!$C$29),3,FALSE),"")</f>
        <v/>
      </c>
      <c r="AQ205" s="103">
        <f t="shared" ca="1" si="13"/>
        <v>49</v>
      </c>
      <c r="AR205" s="103" cm="1">
        <f t="array" ref="AR205">_xlfn.IFS(LSelected="English",Independent_MO_Only_United_States[[#This Row],[Verification Type English]],LSelected="Spanish",Independent_MO_Only_United_States[[#This Row],[Verification Type Spanish]],LSelected="French",Independent_MO_Only_United_States[[#This Row],[Verification Type French]],LSelected="Portuguese",Independent_MO_Only_United_States[[#This Row],[Verification Type Portuguese]])</f>
        <v>0</v>
      </c>
      <c r="AS205" s="103" t="str" cm="1">
        <f t="array" ref="AS205">_xlfn.IFS(SScript="English",Independent_MO_Only_United_States[[#This Row],[Suggested script English]],SScript="Spanish",Independent_MO_Only_United_States[[#This Row],[Suggested script Spanish]],SScript="French",Independent_MO_Only_United_States[[#This Row],[Suggested script French]],SScript="Portuguese",Independent_MO_Only_United_States[[#This Row],[Suggested script Portuguese]])</f>
        <v xml:space="preserve">DOCUMENT REQUIRED CMOR or No Results Template created by WUCO. </v>
      </c>
      <c r="AV205" s="103" t="s">
        <v>585</v>
      </c>
      <c r="AW205" s="103" t="s">
        <v>1877</v>
      </c>
      <c r="AX205" s="103" t="s">
        <v>1883</v>
      </c>
      <c r="AZ205" s="103" t="s">
        <v>42</v>
      </c>
      <c r="BB205" s="103" t="s">
        <v>42</v>
      </c>
      <c r="BD205" s="103" t="s">
        <v>42</v>
      </c>
    </row>
    <row r="206" spans="4:56">
      <c r="D206" s="103" t="s">
        <v>598</v>
      </c>
      <c r="E206" s="103" t="s">
        <v>1884</v>
      </c>
      <c r="L206" s="402" t="str">
        <f>'Call Flow'!$L$5</f>
        <v>Carlos Eduardo
carlos.cedillo@progressa.mx</v>
      </c>
      <c r="M206" s="103">
        <f ca="1">IFERROR(VLOOKUP(Independent_MO_Only[[#This Row],[iWatch '#]],INDIRECT('Defined Ranges'!$C$28&amp;"Order"&amp;'Defined Ranges'!$C$29),2,FALSE),"")</f>
        <v>3</v>
      </c>
      <c r="N206" s="103">
        <f ca="1">IFERROR(VLOOKUP(Independent_MO_Only[[#This Row],[iWatch '#]],INDIRECT('Defined Ranges'!$C$28&amp;"Order"&amp;'Defined Ranges'!$C$29),3,FALSE),"")</f>
        <v>3</v>
      </c>
      <c r="O206" s="103">
        <f t="shared" ref="O206:O259" si="14">O205+1</f>
        <v>3</v>
      </c>
      <c r="P206" s="103" cm="1">
        <f t="array" ref="P206">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06" s="103" t="str" cm="1">
        <f t="array" ref="Q206">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Interviewee Name and email address and/or Fax</v>
      </c>
      <c r="V206" s="103" t="s">
        <v>1884</v>
      </c>
      <c r="X206" s="103" t="s">
        <v>42</v>
      </c>
      <c r="Z206" s="103" t="s">
        <v>42</v>
      </c>
      <c r="AB206" s="103" t="s">
        <v>42</v>
      </c>
    </row>
    <row r="207" spans="4:56">
      <c r="D207" s="103" t="s">
        <v>607</v>
      </c>
      <c r="E207" s="103" t="s">
        <v>1885</v>
      </c>
      <c r="F207" s="103">
        <v>2</v>
      </c>
      <c r="G207" s="103" t="s">
        <v>78</v>
      </c>
      <c r="H207" s="103" t="s">
        <v>1886</v>
      </c>
      <c r="I207" s="103" t="s">
        <v>1887</v>
      </c>
      <c r="M207" s="103">
        <f ca="1">IFERROR(VLOOKUP(Independent_MO_Only[[#This Row],[iWatch '#]],INDIRECT('Defined Ranges'!$C$28&amp;"Order"&amp;'Defined Ranges'!$C$29),2,FALSE),"")</f>
        <v>39</v>
      </c>
      <c r="N207" s="103">
        <f ca="1">IFERROR(VLOOKUP(Independent_MO_Only[[#This Row],[iWatch '#]],INDIRECT('Defined Ranges'!$C$28&amp;"Order"&amp;'Defined Ranges'!$C$29),3,FALSE),"")</f>
        <v>4</v>
      </c>
      <c r="O207" s="103">
        <f t="shared" si="14"/>
        <v>4</v>
      </c>
      <c r="P207" s="103" cm="1">
        <f t="array" ref="P207">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07" s="103" t="str" cm="1">
        <f t="array" ref="Q207">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Attach Finding Letter when the overall level assigned to the case is "With Findings or higher".
Note:  If no findings are assessed in the interview, please attach the email sent to the GFO manager explaining that there were no findings.</v>
      </c>
      <c r="V207" s="103" t="s">
        <v>1885</v>
      </c>
      <c r="X207" s="103" t="s">
        <v>42</v>
      </c>
      <c r="Z207" s="103" t="s">
        <v>42</v>
      </c>
      <c r="AB207" s="103" t="s">
        <v>42</v>
      </c>
    </row>
    <row r="208" spans="4:56">
      <c r="D208" s="103" t="s">
        <v>618</v>
      </c>
      <c r="E208" s="103" t="s">
        <v>1888</v>
      </c>
      <c r="F208" s="103">
        <v>2</v>
      </c>
      <c r="G208" s="103" t="s">
        <v>78</v>
      </c>
      <c r="H208" s="103" t="s">
        <v>1889</v>
      </c>
      <c r="I208" s="103" t="s">
        <v>1890</v>
      </c>
      <c r="M208" s="103">
        <f ca="1">IFERROR(VLOOKUP(Independent_MO_Only[[#This Row],[iWatch '#]],INDIRECT('Defined Ranges'!$C$28&amp;"Order"&amp;'Defined Ranges'!$C$29),2,FALSE),"")</f>
        <v>40</v>
      </c>
      <c r="N208" s="103">
        <f ca="1">IFERROR(VLOOKUP(Independent_MO_Only[[#This Row],[iWatch '#]],INDIRECT('Defined Ranges'!$C$28&amp;"Order"&amp;'Defined Ranges'!$C$29),3,FALSE),"")</f>
        <v>5</v>
      </c>
      <c r="O208" s="103">
        <f t="shared" si="14"/>
        <v>5</v>
      </c>
      <c r="P208" s="103" cm="1">
        <f t="array" ref="P208">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08" s="103" t="str" cm="1">
        <f t="array" ref="Q208">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Attach Finding Letter email sent to the agent or proof of mailing  (i.e. photo of envelope) that was sent to the agent when the overall level assigned to the case is "With Findings or higher".
If no findings are assessed in the interview, please attach the email sent to the GFO manager explaining that there were no findings.</v>
      </c>
      <c r="V208" s="103" t="s">
        <v>1888</v>
      </c>
      <c r="X208" s="103" t="s">
        <v>42</v>
      </c>
      <c r="Z208" s="103" t="s">
        <v>42</v>
      </c>
      <c r="AB208" s="103" t="s">
        <v>42</v>
      </c>
    </row>
    <row r="209" spans="4:56">
      <c r="D209" s="103" t="s">
        <v>638</v>
      </c>
      <c r="E209" s="103" t="s">
        <v>1891</v>
      </c>
      <c r="F209" s="103">
        <v>3</v>
      </c>
      <c r="G209" s="103" t="s">
        <v>581</v>
      </c>
      <c r="H209" s="103" t="s">
        <v>1892</v>
      </c>
      <c r="I209" s="103" t="s">
        <v>1893</v>
      </c>
      <c r="K209" s="103" t="s">
        <v>1894</v>
      </c>
      <c r="M209" s="103">
        <f ca="1">IFERROR(VLOOKUP(Independent_MO_Only[[#This Row],[iWatch '#]],INDIRECT('Defined Ranges'!$C$28&amp;"Order"&amp;'Defined Ranges'!$C$29),2,FALSE),"")</f>
        <v>4</v>
      </c>
      <c r="N209" s="103">
        <f ca="1">IFERROR(VLOOKUP(Independent_MO_Only[[#This Row],[iWatch '#]],INDIRECT('Defined Ranges'!$C$28&amp;"Order"&amp;'Defined Ranges'!$C$29),3,FALSE),"")</f>
        <v>7</v>
      </c>
      <c r="O209" s="103">
        <f t="shared" si="14"/>
        <v>6</v>
      </c>
      <c r="P209" s="103" cm="1">
        <f t="array" ref="P209">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09" s="103" t="str" cm="1">
        <f t="array" ref="Q209">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 xml:space="preserve"> </v>
      </c>
      <c r="T209" s="103" t="s">
        <v>585</v>
      </c>
      <c r="U209" s="387"/>
      <c r="V209" s="103" t="s">
        <v>42</v>
      </c>
      <c r="X209" s="103" t="s">
        <v>42</v>
      </c>
      <c r="Z209" s="103" t="s">
        <v>42</v>
      </c>
      <c r="AB209" s="103" t="s">
        <v>42</v>
      </c>
    </row>
    <row r="210" spans="4:56">
      <c r="D210" s="103" t="s">
        <v>652</v>
      </c>
      <c r="E210" s="103" t="s">
        <v>1895</v>
      </c>
      <c r="L210" s="103" t="s">
        <v>1896</v>
      </c>
      <c r="M210" s="103">
        <f ca="1">IFERROR(VLOOKUP(Independent_MO_Only[[#This Row],[iWatch '#]],INDIRECT('Defined Ranges'!$C$28&amp;"Order"&amp;'Defined Ranges'!$C$29),2,FALSE),"")</f>
        <v>5</v>
      </c>
      <c r="N210" s="103">
        <f ca="1">IFERROR(VLOOKUP(Independent_MO_Only[[#This Row],[iWatch '#]],INDIRECT('Defined Ranges'!$C$28&amp;"Order"&amp;'Defined Ranges'!$C$29),3,FALSE),"")</f>
        <v>8</v>
      </c>
      <c r="O210" s="103">
        <f t="shared" si="14"/>
        <v>7</v>
      </c>
      <c r="P210" s="103" cm="1">
        <f t="array" ref="P210">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10" s="103" t="str" cm="1">
        <f t="array" ref="Q210">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FREE TEXT</v>
      </c>
      <c r="V210" s="103" t="s">
        <v>809</v>
      </c>
      <c r="X210" s="103" t="s">
        <v>42</v>
      </c>
      <c r="Z210" s="103" t="s">
        <v>42</v>
      </c>
      <c r="AB210" s="103" t="s">
        <v>42</v>
      </c>
    </row>
    <row r="211" spans="4:56">
      <c r="D211" s="103" t="s">
        <v>1897</v>
      </c>
      <c r="E211" s="103" t="s">
        <v>1898</v>
      </c>
      <c r="F211" s="103">
        <v>3</v>
      </c>
      <c r="G211" s="103" t="s">
        <v>581</v>
      </c>
      <c r="H211" s="103" t="s">
        <v>1899</v>
      </c>
      <c r="I211" s="103" t="s">
        <v>1900</v>
      </c>
      <c r="K211" s="103" t="s">
        <v>1901</v>
      </c>
      <c r="M211" s="103" t="str">
        <f ca="1">IFERROR(VLOOKUP(Independent_MO_Only[[#This Row],[iWatch '#]],INDIRECT('Defined Ranges'!$C$28&amp;"Order"&amp;'Defined Ranges'!$C$29),2,FALSE),"")</f>
        <v/>
      </c>
      <c r="N211" s="103" t="str">
        <f ca="1">IFERROR(VLOOKUP(Independent_MO_Only[[#This Row],[iWatch '#]],INDIRECT('Defined Ranges'!$C$28&amp;"Order"&amp;'Defined Ranges'!$C$29),3,FALSE),"")</f>
        <v/>
      </c>
      <c r="O211" s="103">
        <f t="shared" si="14"/>
        <v>8</v>
      </c>
      <c r="P211" s="103" cm="1">
        <f t="array" ref="P211">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11" s="103" t="str" cm="1">
        <f t="array" ref="Q211">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 xml:space="preserve"> </v>
      </c>
      <c r="T211" s="103" t="s">
        <v>585</v>
      </c>
      <c r="U211" s="387"/>
      <c r="V211" s="103" t="s">
        <v>42</v>
      </c>
      <c r="X211" s="103" t="s">
        <v>42</v>
      </c>
      <c r="Z211" s="103" t="s">
        <v>42</v>
      </c>
      <c r="AB211" s="103" t="s">
        <v>42</v>
      </c>
    </row>
    <row r="212" spans="4:56">
      <c r="D212" s="103" t="s">
        <v>1902</v>
      </c>
      <c r="E212" s="103" t="s">
        <v>1903</v>
      </c>
      <c r="L212" s="103" t="s">
        <v>1904</v>
      </c>
      <c r="M212" s="103" t="str">
        <f ca="1">IFERROR(VLOOKUP(Independent_MO_Only[[#This Row],[iWatch '#]],INDIRECT('Defined Ranges'!$C$28&amp;"Order"&amp;'Defined Ranges'!$C$29),2,FALSE),"")</f>
        <v/>
      </c>
      <c r="N212" s="103" t="str">
        <f ca="1">IFERROR(VLOOKUP(Independent_MO_Only[[#This Row],[iWatch '#]],INDIRECT('Defined Ranges'!$C$28&amp;"Order"&amp;'Defined Ranges'!$C$29),3,FALSE),"")</f>
        <v/>
      </c>
      <c r="O212" s="103">
        <f t="shared" si="14"/>
        <v>9</v>
      </c>
      <c r="P212" s="103" cm="1">
        <f t="array" ref="P212">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12" s="103" t="str" cm="1">
        <f t="array" ref="Q212">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FREE TEXT</v>
      </c>
      <c r="V212" s="103" t="s">
        <v>809</v>
      </c>
      <c r="X212" s="103" t="s">
        <v>42</v>
      </c>
      <c r="Z212" s="103" t="s">
        <v>42</v>
      </c>
      <c r="AB212" s="103" t="s">
        <v>42</v>
      </c>
    </row>
    <row r="213" spans="4:56">
      <c r="D213" s="103" t="s">
        <v>1905</v>
      </c>
      <c r="E213" s="103" t="s">
        <v>1906</v>
      </c>
      <c r="F213" s="103">
        <v>3</v>
      </c>
      <c r="G213" s="103" t="s">
        <v>581</v>
      </c>
      <c r="H213" s="103" t="s">
        <v>1907</v>
      </c>
      <c r="I213" s="103" t="s">
        <v>1908</v>
      </c>
      <c r="K213" s="103" t="s">
        <v>1909</v>
      </c>
      <c r="M213" s="103" t="str">
        <f ca="1">IFERROR(VLOOKUP(Independent_MO_Only[[#This Row],[iWatch '#]],INDIRECT('Defined Ranges'!$C$28&amp;"Order"&amp;'Defined Ranges'!$C$29),2,FALSE),"")</f>
        <v/>
      </c>
      <c r="N213" s="103" t="str">
        <f ca="1">IFERROR(VLOOKUP(Independent_MO_Only[[#This Row],[iWatch '#]],INDIRECT('Defined Ranges'!$C$28&amp;"Order"&amp;'Defined Ranges'!$C$29),3,FALSE),"")</f>
        <v/>
      </c>
      <c r="O213" s="103">
        <f t="shared" si="14"/>
        <v>10</v>
      </c>
      <c r="P213" s="103" cm="1">
        <f t="array" ref="P213">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13" s="103" t="str" cm="1">
        <f t="array" ref="Q213">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 xml:space="preserve"> </v>
      </c>
      <c r="T213" s="103" t="s">
        <v>585</v>
      </c>
      <c r="U213" s="387"/>
      <c r="V213" s="103" t="s">
        <v>42</v>
      </c>
      <c r="X213" s="103" t="s">
        <v>42</v>
      </c>
      <c r="Z213" s="103" t="s">
        <v>42</v>
      </c>
      <c r="AB213" s="103" t="s">
        <v>42</v>
      </c>
    </row>
    <row r="214" spans="4:56">
      <c r="D214" s="103" t="s">
        <v>1910</v>
      </c>
      <c r="E214" s="103" t="s">
        <v>1911</v>
      </c>
      <c r="L214" s="103" t="s">
        <v>1912</v>
      </c>
      <c r="M214" s="103" t="str">
        <f ca="1">IFERROR(VLOOKUP(Independent_MO_Only[[#This Row],[iWatch '#]],INDIRECT('Defined Ranges'!$C$28&amp;"Order"&amp;'Defined Ranges'!$C$29),2,FALSE),"")</f>
        <v/>
      </c>
      <c r="N214" s="103" t="str">
        <f ca="1">IFERROR(VLOOKUP(Independent_MO_Only[[#This Row],[iWatch '#]],INDIRECT('Defined Ranges'!$C$28&amp;"Order"&amp;'Defined Ranges'!$C$29),3,FALSE),"")</f>
        <v/>
      </c>
      <c r="O214" s="103">
        <f t="shared" si="14"/>
        <v>11</v>
      </c>
      <c r="P214" s="103" cm="1">
        <f t="array" ref="P214">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14" s="103" t="str" cm="1">
        <f t="array" ref="Q214">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FREE TEXT</v>
      </c>
      <c r="V214" s="103" t="s">
        <v>809</v>
      </c>
      <c r="X214" s="103" t="s">
        <v>42</v>
      </c>
      <c r="Z214" s="103" t="s">
        <v>42</v>
      </c>
      <c r="AB214" s="103" t="s">
        <v>42</v>
      </c>
    </row>
    <row r="215" spans="4:56" ht="29">
      <c r="D215" s="103" t="s">
        <v>1913</v>
      </c>
      <c r="E215" s="103" t="s">
        <v>662</v>
      </c>
      <c r="F215" s="103">
        <v>2</v>
      </c>
      <c r="G215" s="103" t="s">
        <v>609</v>
      </c>
      <c r="H215" s="103" t="s">
        <v>1914</v>
      </c>
      <c r="I215" s="103" t="s">
        <v>1915</v>
      </c>
      <c r="M215" s="103" t="str">
        <f ca="1">IFERROR(VLOOKUP(Independent_MO_Only[[#This Row],[iWatch '#]],INDIRECT('Defined Ranges'!$C$28&amp;"Order"&amp;'Defined Ranges'!$C$29),2,FALSE),"")</f>
        <v/>
      </c>
      <c r="N215" s="103" t="str">
        <f ca="1">IFERROR(VLOOKUP(Independent_MO_Only[[#This Row],[iWatch '#]],INDIRECT('Defined Ranges'!$C$28&amp;"Order"&amp;'Defined Ranges'!$C$29),3,FALSE),"")</f>
        <v/>
      </c>
      <c r="O215" s="103">
        <f t="shared" si="14"/>
        <v>12</v>
      </c>
      <c r="P215" s="103" cm="1">
        <f t="array" ref="P215">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15" s="103" t="str" cm="1">
        <f t="array" ref="Q215">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 xml:space="preserve">Please confirm the locations' name and address? </v>
      </c>
      <c r="T215" s="103" t="s">
        <v>585</v>
      </c>
      <c r="U215" s="103" t="s">
        <v>216</v>
      </c>
      <c r="V215" s="103" t="s">
        <v>1916</v>
      </c>
      <c r="X215" s="103" t="s">
        <v>42</v>
      </c>
      <c r="Z215" s="103" t="s">
        <v>42</v>
      </c>
      <c r="AB215" s="103" t="s">
        <v>42</v>
      </c>
      <c r="AF215" s="392" t="s">
        <v>69</v>
      </c>
      <c r="AG215" s="393" t="s">
        <v>120</v>
      </c>
      <c r="AH215" s="393" t="s">
        <v>552</v>
      </c>
      <c r="AI215" s="393" t="s">
        <v>553</v>
      </c>
      <c r="AJ215" s="393" t="s">
        <v>573</v>
      </c>
      <c r="AK215" s="393" t="s">
        <v>574</v>
      </c>
      <c r="AL215" s="393" t="s">
        <v>575</v>
      </c>
      <c r="AM215" s="393" t="s">
        <v>557</v>
      </c>
      <c r="AN215" s="393" t="s">
        <v>558</v>
      </c>
      <c r="AO215" s="394" t="s">
        <v>559</v>
      </c>
      <c r="AP215" s="394" t="s">
        <v>115</v>
      </c>
      <c r="AQ215" s="394" t="s">
        <v>68</v>
      </c>
      <c r="AR215" s="394" t="s">
        <v>560</v>
      </c>
      <c r="AS215" s="394" t="s">
        <v>561</v>
      </c>
      <c r="AT215" s="393" t="s">
        <v>562</v>
      </c>
      <c r="AU215" s="393" t="s">
        <v>563</v>
      </c>
      <c r="AV215" s="393" t="s">
        <v>564</v>
      </c>
      <c r="AW215" s="393" t="s">
        <v>565</v>
      </c>
      <c r="AX215" s="393" t="s">
        <v>566</v>
      </c>
      <c r="AY215" s="393" t="s">
        <v>567</v>
      </c>
      <c r="AZ215" s="393" t="s">
        <v>568</v>
      </c>
      <c r="BA215" s="393" t="s">
        <v>569</v>
      </c>
      <c r="BB215" s="393" t="s">
        <v>570</v>
      </c>
      <c r="BC215" s="393" t="s">
        <v>571</v>
      </c>
      <c r="BD215" s="395" t="s">
        <v>572</v>
      </c>
    </row>
    <row r="216" spans="4:56">
      <c r="D216" s="103" t="s">
        <v>1917</v>
      </c>
      <c r="E216" s="103" t="s">
        <v>1510</v>
      </c>
      <c r="F216" s="103">
        <v>2</v>
      </c>
      <c r="G216" s="103" t="s">
        <v>609</v>
      </c>
      <c r="H216" s="103" t="s">
        <v>1918</v>
      </c>
      <c r="I216" s="103" t="s">
        <v>1919</v>
      </c>
      <c r="M216" s="103" t="str">
        <f ca="1">IFERROR(VLOOKUP(Independent_MO_Only[[#This Row],[iWatch '#]],INDIRECT('Defined Ranges'!$C$28&amp;"Order"&amp;'Defined Ranges'!$C$29),2,FALSE),"")</f>
        <v/>
      </c>
      <c r="N216" s="103" t="str">
        <f ca="1">IFERROR(VLOOKUP(Independent_MO_Only[[#This Row],[iWatch '#]],INDIRECT('Defined Ranges'!$C$28&amp;"Order"&amp;'Defined Ranges'!$C$29),3,FALSE),"")</f>
        <v/>
      </c>
      <c r="O216" s="103">
        <f t="shared" si="14"/>
        <v>13</v>
      </c>
      <c r="P216" s="103" cm="1">
        <f t="array" ref="P216">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16" s="103" t="str" cm="1">
        <f t="array" ref="Q216">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Please confirm the ownership details of the location?</v>
      </c>
      <c r="T216" s="103" t="s">
        <v>853</v>
      </c>
      <c r="U216" s="103" t="s">
        <v>216</v>
      </c>
      <c r="V216" s="103" t="s">
        <v>1920</v>
      </c>
      <c r="X216" s="103" t="s">
        <v>42</v>
      </c>
      <c r="Z216" s="103" t="s">
        <v>42</v>
      </c>
      <c r="AB216" s="103" t="s">
        <v>42</v>
      </c>
      <c r="AF216" s="103" t="s">
        <v>1853</v>
      </c>
      <c r="AG216" s="103" t="s">
        <v>1921</v>
      </c>
      <c r="AH216" s="103">
        <v>3</v>
      </c>
      <c r="AI216" s="103" t="s">
        <v>581</v>
      </c>
      <c r="AJ216" s="103" t="s">
        <v>1922</v>
      </c>
      <c r="AK216" s="103" t="s">
        <v>1923</v>
      </c>
      <c r="AM216" s="103" t="s">
        <v>1924</v>
      </c>
      <c r="AO216" s="103" t="str">
        <f ca="1">IFERROR(VLOOKUP(Independent_MO_Only_Canada[[#This Row],[iWatch '#]],INDIRECT('Defined Ranges'!$C$28&amp;"ROrder"&amp;'Defined Ranges'!$C$29),2,FALSE),"")</f>
        <v/>
      </c>
      <c r="AP216" s="103" t="str">
        <f ca="1">IFERROR(VLOOKUP(Independent_MO_Only_Canada[[#This Row],[iWatch '#]],INDIRECT('Defined Ranges'!$C$28&amp;"ROrder"&amp;'Defined Ranges'!$C$29),3,FALSE),"")</f>
        <v/>
      </c>
      <c r="AQ216" s="103">
        <f ca="1">'Defined Ranges'!$D$23+1</f>
        <v>42</v>
      </c>
      <c r="AR216" s="103" cm="1">
        <f t="array" ref="AR216">_xlfn.IFS(LSelected="English",Independent_MO_Only_Canada[[#This Row],[Verification Type English]],LSelected="Spanish",Independent_MO_Only_Canada[[#This Row],[Verification Type Spanish]],LSelected="French",Independent_MO_Only_Canada[[#This Row],[Verification Type French]],LSelected="Portuguese",Independent_MO_Only_Canada[[#This Row],[Verification Type Portuguese]])</f>
        <v>0</v>
      </c>
      <c r="AS216" s="103" cm="1">
        <f t="array" ref="AS216">_xlfn.IFS(SScript="English",Independent_MO_Only_Canada[[#This Row],[Suggested script English]],SScript="Spanish",Independent_MO_Only_Canada[[#This Row],[Suggested script Spanish]],SScript="French",Independent_MO_Only_Canada[[#This Row],[Suggested script French]],SScript="Portuguese",Independent_MO_Only_Canada[[#This Row],[Suggested script Portuguese]])</f>
        <v>0</v>
      </c>
      <c r="AV216" s="103" t="s">
        <v>828</v>
      </c>
      <c r="AW216" s="103" t="s">
        <v>1854</v>
      </c>
    </row>
    <row r="217" spans="4:56">
      <c r="D217" s="103" t="s">
        <v>1925</v>
      </c>
      <c r="E217" s="103" t="s">
        <v>1926</v>
      </c>
      <c r="L217" s="103" t="s">
        <v>1927</v>
      </c>
      <c r="M217" s="103" t="str">
        <f ca="1">IFERROR(VLOOKUP(Independent_MO_Only[[#This Row],[iWatch '#]],INDIRECT('Defined Ranges'!$C$28&amp;"Order"&amp;'Defined Ranges'!$C$29),2,FALSE),"")</f>
        <v/>
      </c>
      <c r="N217" s="103" t="str">
        <f ca="1">IFERROR(VLOOKUP(Independent_MO_Only[[#This Row],[iWatch '#]],INDIRECT('Defined Ranges'!$C$28&amp;"Order"&amp;'Defined Ranges'!$C$29),3,FALSE),"")</f>
        <v/>
      </c>
      <c r="O217" s="103">
        <f t="shared" si="14"/>
        <v>14</v>
      </c>
      <c r="P217" s="103" cm="1">
        <f t="array" ref="P217">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17" s="103" t="str" cm="1">
        <f t="array" ref="Q217">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FREE TEXT</v>
      </c>
      <c r="V217" s="103" t="s">
        <v>809</v>
      </c>
      <c r="X217" s="103" t="s">
        <v>42</v>
      </c>
      <c r="Z217" s="103" t="s">
        <v>42</v>
      </c>
      <c r="AB217" s="103" t="s">
        <v>42</v>
      </c>
      <c r="AF217" s="103" t="s">
        <v>1928</v>
      </c>
      <c r="AG217" s="103" t="s">
        <v>1929</v>
      </c>
      <c r="AH217" s="103">
        <v>3</v>
      </c>
      <c r="AI217" s="103" t="s">
        <v>581</v>
      </c>
      <c r="AJ217" s="103" t="s">
        <v>1930</v>
      </c>
      <c r="AK217" s="103" t="s">
        <v>1931</v>
      </c>
      <c r="AM217" s="103" t="s">
        <v>1924</v>
      </c>
      <c r="AO217" s="103" t="str">
        <f ca="1">IFERROR(VLOOKUP(Independent_MO_Only_Canada[[#This Row],[iWatch '#]],INDIRECT('Defined Ranges'!$C$28&amp;"ROrder"&amp;'Defined Ranges'!$C$29),2,FALSE),"")</f>
        <v/>
      </c>
      <c r="AP217" s="103" t="str">
        <f ca="1">IFERROR(VLOOKUP(Independent_MO_Only_Canada[[#This Row],[iWatch '#]],INDIRECT('Defined Ranges'!$C$28&amp;"ROrder"&amp;'Defined Ranges'!$C$29),3,FALSE),"")</f>
        <v/>
      </c>
      <c r="AQ217" s="103">
        <f ca="1">AQ216+1</f>
        <v>43</v>
      </c>
      <c r="AR217" s="103" cm="1">
        <f t="array" ref="AR217">_xlfn.IFS(LSelected="English",Independent_MO_Only_Canada[[#This Row],[Verification Type English]],LSelected="Spanish",Independent_MO_Only_Canada[[#This Row],[Verification Type Spanish]],LSelected="French",Independent_MO_Only_Canada[[#This Row],[Verification Type French]],LSelected="Portuguese",Independent_MO_Only_Canada[[#This Row],[Verification Type Portuguese]])</f>
        <v>0</v>
      </c>
      <c r="AS217" s="103" cm="1">
        <f t="array" ref="AS217">_xlfn.IFS(SScript="English",Independent_MO_Only_Canada[[#This Row],[Suggested script English]],SScript="Spanish",Independent_MO_Only_Canada[[#This Row],[Suggested script Spanish]],SScript="French",Independent_MO_Only_Canada[[#This Row],[Suggested script French]],SScript="Portuguese",Independent_MO_Only_Canada[[#This Row],[Suggested script Portuguese]])</f>
        <v>0</v>
      </c>
      <c r="AV217" s="103" t="s">
        <v>828</v>
      </c>
      <c r="AW217" s="103" t="s">
        <v>1854</v>
      </c>
    </row>
    <row r="218" spans="4:56">
      <c r="D218" s="103" t="s">
        <v>1932</v>
      </c>
      <c r="E218" s="103" t="s">
        <v>1502</v>
      </c>
      <c r="F218" s="103">
        <v>2</v>
      </c>
      <c r="G218" s="103" t="s">
        <v>609</v>
      </c>
      <c r="H218" s="103" t="s">
        <v>1933</v>
      </c>
      <c r="I218" s="103" t="s">
        <v>1934</v>
      </c>
      <c r="M218" s="103" t="str">
        <f ca="1">IFERROR(VLOOKUP(Independent_MO_Only[[#This Row],[iWatch '#]],INDIRECT('Defined Ranges'!$C$28&amp;"Order"&amp;'Defined Ranges'!$C$29),2,FALSE),"")</f>
        <v/>
      </c>
      <c r="N218" s="103" t="str">
        <f ca="1">IFERROR(VLOOKUP(Independent_MO_Only[[#This Row],[iWatch '#]],INDIRECT('Defined Ranges'!$C$28&amp;"Order"&amp;'Defined Ranges'!$C$29),3,FALSE),"")</f>
        <v/>
      </c>
      <c r="O218" s="103">
        <f t="shared" si="14"/>
        <v>15</v>
      </c>
      <c r="P218" s="103" cm="1">
        <f t="array" ref="P218">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18" s="103" t="str" cm="1">
        <f t="array" ref="Q218">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Can you please confirm what type of business is this?</v>
      </c>
      <c r="T218" s="103" t="s">
        <v>1505</v>
      </c>
      <c r="U218" s="103" t="s">
        <v>216</v>
      </c>
      <c r="V218" s="103" t="s">
        <v>1506</v>
      </c>
      <c r="X218" s="103" t="s">
        <v>42</v>
      </c>
      <c r="Z218" s="103" t="s">
        <v>42</v>
      </c>
      <c r="AB218" s="103" t="s">
        <v>42</v>
      </c>
      <c r="AF218" s="103" t="s">
        <v>1935</v>
      </c>
      <c r="AG218" s="103" t="s">
        <v>1936</v>
      </c>
      <c r="AH218" s="103">
        <v>3</v>
      </c>
      <c r="AI218" s="103" t="s">
        <v>581</v>
      </c>
      <c r="AJ218" s="103" t="s">
        <v>1937</v>
      </c>
      <c r="AK218" s="103" t="s">
        <v>795</v>
      </c>
      <c r="AM218" s="103" t="s">
        <v>796</v>
      </c>
      <c r="AO218" s="103" t="str">
        <f ca="1">IFERROR(VLOOKUP(Independent_MO_Only_Canada[[#This Row],[iWatch '#]],INDIRECT('Defined Ranges'!$C$28&amp;"ROrder"&amp;'Defined Ranges'!$C$29),2,FALSE),"")</f>
        <v/>
      </c>
      <c r="AP218" s="103" t="str">
        <f ca="1">IFERROR(VLOOKUP(Independent_MO_Only_Canada[[#This Row],[iWatch '#]],INDIRECT('Defined Ranges'!$C$28&amp;"ROrder"&amp;'Defined Ranges'!$C$29),3,FALSE),"")</f>
        <v/>
      </c>
      <c r="AQ218" s="103">
        <f t="shared" ref="AQ218:AQ225" ca="1" si="15">AQ217+1</f>
        <v>44</v>
      </c>
      <c r="AR218" s="103" cm="1">
        <f t="array" ref="AR218">_xlfn.IFS(LSelected="English",Independent_MO_Only_Canada[[#This Row],[Verification Type English]],LSelected="Spanish",Independent_MO_Only_Canada[[#This Row],[Verification Type Spanish]],LSelected="French",Independent_MO_Only_Canada[[#This Row],[Verification Type French]],LSelected="Portuguese",Independent_MO_Only_Canada[[#This Row],[Verification Type Portuguese]])</f>
        <v>0</v>
      </c>
      <c r="AS218" s="103" cm="1">
        <f t="array" ref="AS218">_xlfn.IFS(SScript="English",Independent_MO_Only_Canada[[#This Row],[Suggested script English]],SScript="Spanish",Independent_MO_Only_Canada[[#This Row],[Suggested script Spanish]],SScript="French",Independent_MO_Only_Canada[[#This Row],[Suggested script French]],SScript="Portuguese",Independent_MO_Only_Canada[[#This Row],[Suggested script Portuguese]])</f>
        <v>0</v>
      </c>
      <c r="AV218" s="103" t="s">
        <v>585</v>
      </c>
      <c r="AW218" s="103" t="s">
        <v>1854</v>
      </c>
    </row>
    <row r="219" spans="4:56">
      <c r="D219" s="103" t="s">
        <v>1938</v>
      </c>
      <c r="E219" s="103" t="s">
        <v>1939</v>
      </c>
      <c r="F219" s="103">
        <v>3</v>
      </c>
      <c r="G219" s="103" t="s">
        <v>581</v>
      </c>
      <c r="H219" s="103" t="s">
        <v>1940</v>
      </c>
      <c r="I219" s="103" t="s">
        <v>1941</v>
      </c>
      <c r="K219" s="103" t="s">
        <v>1942</v>
      </c>
      <c r="M219" s="103" t="str">
        <f ca="1">IFERROR(VLOOKUP(Independent_MO_Only[[#This Row],[iWatch '#]],INDIRECT('Defined Ranges'!$C$28&amp;"Order"&amp;'Defined Ranges'!$C$29),2,FALSE),"")</f>
        <v/>
      </c>
      <c r="N219" s="103" t="str">
        <f ca="1">IFERROR(VLOOKUP(Independent_MO_Only[[#This Row],[iWatch '#]],INDIRECT('Defined Ranges'!$C$28&amp;"Order"&amp;'Defined Ranges'!$C$29),3,FALSE),"")</f>
        <v/>
      </c>
      <c r="O219" s="103">
        <f t="shared" si="14"/>
        <v>16</v>
      </c>
      <c r="P219" s="103" cm="1">
        <f t="array" ref="P219">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19" s="103" t="str" cm="1">
        <f t="array" ref="Q219">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 xml:space="preserve">Document Required P&amp;Ps: Collect evidence that the compliance policies and procedures adopted by the agent reflect all appropriate independent review guidelines. Independent Review Frequency. </v>
      </c>
      <c r="T219" s="103" t="s">
        <v>698</v>
      </c>
      <c r="U219" s="103" t="s">
        <v>217</v>
      </c>
      <c r="V219" s="103" t="s">
        <v>1943</v>
      </c>
      <c r="X219" s="103" t="s">
        <v>42</v>
      </c>
      <c r="Z219" s="103" t="s">
        <v>42</v>
      </c>
      <c r="AB219" s="103" t="s">
        <v>42</v>
      </c>
      <c r="AF219" s="103" t="s">
        <v>1944</v>
      </c>
      <c r="AG219" s="103" t="s">
        <v>1945</v>
      </c>
      <c r="AH219" s="103">
        <v>3</v>
      </c>
      <c r="AI219" s="103" t="s">
        <v>581</v>
      </c>
      <c r="AJ219" s="103" t="s">
        <v>1946</v>
      </c>
      <c r="AK219" s="103" t="s">
        <v>1947</v>
      </c>
      <c r="AM219" s="103" t="s">
        <v>1948</v>
      </c>
      <c r="AO219" s="103" t="str">
        <f ca="1">IFERROR(VLOOKUP(Independent_MO_Only_Canada[[#This Row],[iWatch '#]],INDIRECT('Defined Ranges'!$C$28&amp;"ROrder"&amp;'Defined Ranges'!$C$29),2,FALSE),"")</f>
        <v/>
      </c>
      <c r="AP219" s="103" t="str">
        <f ca="1">IFERROR(VLOOKUP(Independent_MO_Only_Canada[[#This Row],[iWatch '#]],INDIRECT('Defined Ranges'!$C$28&amp;"ROrder"&amp;'Defined Ranges'!$C$29),3,FALSE),"")</f>
        <v/>
      </c>
      <c r="AQ219" s="103">
        <f t="shared" ca="1" si="15"/>
        <v>45</v>
      </c>
      <c r="AR219" s="103" cm="1">
        <f t="array" ref="AR219">_xlfn.IFS(LSelected="English",Independent_MO_Only_Canada[[#This Row],[Verification Type English]],LSelected="Spanish",Independent_MO_Only_Canada[[#This Row],[Verification Type Spanish]],LSelected="French",Independent_MO_Only_Canada[[#This Row],[Verification Type French]],LSelected="Portuguese",Independent_MO_Only_Canada[[#This Row],[Verification Type Portuguese]])</f>
        <v>0</v>
      </c>
      <c r="AS219" s="103" cm="1">
        <f t="array" ref="AS219">_xlfn.IFS(SScript="English",Independent_MO_Only_Canada[[#This Row],[Suggested script English]],SScript="Spanish",Independent_MO_Only_Canada[[#This Row],[Suggested script Spanish]],SScript="French",Independent_MO_Only_Canada[[#This Row],[Suggested script French]],SScript="Portuguese",Independent_MO_Only_Canada[[#This Row],[Suggested script Portuguese]])</f>
        <v>0</v>
      </c>
      <c r="AV219" s="103" t="s">
        <v>828</v>
      </c>
      <c r="AW219" s="103" t="s">
        <v>1854</v>
      </c>
    </row>
    <row r="220" spans="4:56">
      <c r="D220" s="103" t="s">
        <v>1949</v>
      </c>
      <c r="E220" s="103" t="s">
        <v>1950</v>
      </c>
      <c r="L220" s="103" t="s">
        <v>1951</v>
      </c>
      <c r="M220" s="103" t="str">
        <f ca="1">IFERROR(VLOOKUP(Independent_MO_Only[[#This Row],[iWatch '#]],INDIRECT('Defined Ranges'!$C$28&amp;"Order"&amp;'Defined Ranges'!$C$29),2,FALSE),"")</f>
        <v/>
      </c>
      <c r="N220" s="103" t="str">
        <f ca="1">IFERROR(VLOOKUP(Independent_MO_Only[[#This Row],[iWatch '#]],INDIRECT('Defined Ranges'!$C$28&amp;"Order"&amp;'Defined Ranges'!$C$29),3,FALSE),"")</f>
        <v/>
      </c>
      <c r="O220" s="103">
        <f t="shared" si="14"/>
        <v>17</v>
      </c>
      <c r="P220" s="103" cm="1">
        <f t="array" ref="P220">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20" s="103" t="str" cm="1">
        <f t="array" ref="Q220">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FREE TEXT if GS2.GQ11 is answered N/A.</v>
      </c>
      <c r="V220" s="103" t="s">
        <v>1952</v>
      </c>
      <c r="X220" s="103" t="s">
        <v>42</v>
      </c>
      <c r="Z220" s="103" t="s">
        <v>42</v>
      </c>
      <c r="AB220" s="103" t="s">
        <v>42</v>
      </c>
      <c r="AF220" s="103" t="s">
        <v>1953</v>
      </c>
      <c r="AG220" s="103" t="s">
        <v>1954</v>
      </c>
      <c r="AH220" s="103">
        <v>3</v>
      </c>
      <c r="AI220" s="103" t="s">
        <v>581</v>
      </c>
      <c r="AJ220" s="103" t="s">
        <v>1955</v>
      </c>
      <c r="AK220" s="103" t="s">
        <v>1956</v>
      </c>
      <c r="AM220" s="103" t="s">
        <v>1948</v>
      </c>
      <c r="AO220" s="103" t="str">
        <f ca="1">IFERROR(VLOOKUP(Independent_MO_Only_Canada[[#This Row],[iWatch '#]],INDIRECT('Defined Ranges'!$C$28&amp;"ROrder"&amp;'Defined Ranges'!$C$29),2,FALSE),"")</f>
        <v/>
      </c>
      <c r="AP220" s="103" t="str">
        <f ca="1">IFERROR(VLOOKUP(Independent_MO_Only_Canada[[#This Row],[iWatch '#]],INDIRECT('Defined Ranges'!$C$28&amp;"ROrder"&amp;'Defined Ranges'!$C$29),3,FALSE),"")</f>
        <v/>
      </c>
      <c r="AQ220" s="103">
        <f t="shared" ca="1" si="15"/>
        <v>46</v>
      </c>
      <c r="AR220" s="103" cm="1">
        <f t="array" ref="AR220">_xlfn.IFS(LSelected="English",Independent_MO_Only_Canada[[#This Row],[Verification Type English]],LSelected="Spanish",Independent_MO_Only_Canada[[#This Row],[Verification Type Spanish]],LSelected="French",Independent_MO_Only_Canada[[#This Row],[Verification Type French]],LSelected="Portuguese",Independent_MO_Only_Canada[[#This Row],[Verification Type Portuguese]])</f>
        <v>0</v>
      </c>
      <c r="AS220" s="103" cm="1">
        <f t="array" ref="AS220">_xlfn.IFS(SScript="English",Independent_MO_Only_Canada[[#This Row],[Suggested script English]],SScript="Spanish",Independent_MO_Only_Canada[[#This Row],[Suggested script Spanish]],SScript="French",Independent_MO_Only_Canada[[#This Row],[Suggested script French]],SScript="Portuguese",Independent_MO_Only_Canada[[#This Row],[Suggested script Portuguese]])</f>
        <v>0</v>
      </c>
      <c r="AV220" s="103" t="s">
        <v>644</v>
      </c>
      <c r="AW220" s="103" t="s">
        <v>1854</v>
      </c>
    </row>
    <row r="221" spans="4:56">
      <c r="D221" s="103" t="s">
        <v>1957</v>
      </c>
      <c r="E221" s="103" t="s">
        <v>1958</v>
      </c>
      <c r="F221" s="103">
        <v>3</v>
      </c>
      <c r="G221" s="103" t="s">
        <v>581</v>
      </c>
      <c r="H221" s="103" t="s">
        <v>1959</v>
      </c>
      <c r="I221" s="103" t="s">
        <v>1960</v>
      </c>
      <c r="K221" s="103" t="s">
        <v>1961</v>
      </c>
      <c r="M221" s="103" t="str">
        <f ca="1">IFERROR(VLOOKUP(Independent_MO_Only[[#This Row],[iWatch '#]],INDIRECT('Defined Ranges'!$C$28&amp;"Order"&amp;'Defined Ranges'!$C$29),2,FALSE),"")</f>
        <v/>
      </c>
      <c r="N221" s="103" t="str">
        <f ca="1">IFERROR(VLOOKUP(Independent_MO_Only[[#This Row],[iWatch '#]],INDIRECT('Defined Ranges'!$C$28&amp;"Order"&amp;'Defined Ranges'!$C$29),3,FALSE),"")</f>
        <v/>
      </c>
      <c r="O221" s="103">
        <f t="shared" si="14"/>
        <v>18</v>
      </c>
      <c r="P221" s="103" cm="1">
        <f t="array" ref="P221">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21" s="103" t="str" cm="1">
        <f t="array" ref="Q221">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 xml:space="preserve">Do you know what an independent review is?
How often do you conduct them?
What is your relationship with the independent reviewer? </v>
      </c>
      <c r="T221" s="103" t="s">
        <v>698</v>
      </c>
      <c r="U221" s="103" t="s">
        <v>206</v>
      </c>
      <c r="V221" s="103" t="s">
        <v>1962</v>
      </c>
      <c r="X221" s="103" t="s">
        <v>42</v>
      </c>
      <c r="Z221" s="103" t="s">
        <v>42</v>
      </c>
      <c r="AB221" s="103" t="s">
        <v>42</v>
      </c>
      <c r="AF221" s="103" t="s">
        <v>579</v>
      </c>
      <c r="AG221" s="103" t="s">
        <v>1963</v>
      </c>
      <c r="AH221" s="103">
        <v>2</v>
      </c>
      <c r="AI221" s="103" t="s">
        <v>609</v>
      </c>
      <c r="AJ221" s="103" t="s">
        <v>1964</v>
      </c>
      <c r="AK221" s="103" t="s">
        <v>1965</v>
      </c>
      <c r="AO221" s="103" t="str">
        <f ca="1">IFERROR(VLOOKUP(Independent_MO_Only_Canada[[#This Row],[iWatch '#]],INDIRECT('Defined Ranges'!$C$28&amp;"ROrder"&amp;'Defined Ranges'!$C$29),2,FALSE),"")</f>
        <v/>
      </c>
      <c r="AP221" s="103" t="str">
        <f ca="1">IFERROR(VLOOKUP(Independent_MO_Only_Canada[[#This Row],[iWatch '#]],INDIRECT('Defined Ranges'!$C$28&amp;"ROrder"&amp;'Defined Ranges'!$C$29),3,FALSE),"")</f>
        <v/>
      </c>
      <c r="AQ221" s="103">
        <f t="shared" ca="1" si="15"/>
        <v>47</v>
      </c>
      <c r="AR221" s="103" cm="1">
        <f t="array" ref="AR221">_xlfn.IFS(LSelected="English",Independent_MO_Only_Canada[[#This Row],[Verification Type English]],LSelected="Spanish",Independent_MO_Only_Canada[[#This Row],[Verification Type Spanish]],LSelected="French",Independent_MO_Only_Canada[[#This Row],[Verification Type French]],LSelected="Portuguese",Independent_MO_Only_Canada[[#This Row],[Verification Type Portuguese]])</f>
        <v>0</v>
      </c>
      <c r="AS221" s="103" cm="1">
        <f t="array" ref="AS221">_xlfn.IFS(SScript="English",Independent_MO_Only_Canada[[#This Row],[Suggested script English]],SScript="Spanish",Independent_MO_Only_Canada[[#This Row],[Suggested script Spanish]],SScript="French",Independent_MO_Only_Canada[[#This Row],[Suggested script French]],SScript="Portuguese",Independent_MO_Only_Canada[[#This Row],[Suggested script Portuguese]])</f>
        <v>0</v>
      </c>
      <c r="AV221" s="103" t="s">
        <v>585</v>
      </c>
      <c r="AW221" s="103" t="s">
        <v>1856</v>
      </c>
    </row>
    <row r="222" spans="4:56">
      <c r="D222" s="103" t="s">
        <v>1966</v>
      </c>
      <c r="E222" s="103" t="s">
        <v>1950</v>
      </c>
      <c r="L222" s="103" t="s">
        <v>1967</v>
      </c>
      <c r="M222" s="103" t="str">
        <f ca="1">IFERROR(VLOOKUP(Independent_MO_Only[[#This Row],[iWatch '#]],INDIRECT('Defined Ranges'!$C$28&amp;"Order"&amp;'Defined Ranges'!$C$29),2,FALSE),"")</f>
        <v/>
      </c>
      <c r="N222" s="103" t="str">
        <f ca="1">IFERROR(VLOOKUP(Independent_MO_Only[[#This Row],[iWatch '#]],INDIRECT('Defined Ranges'!$C$28&amp;"Order"&amp;'Defined Ranges'!$C$29),3,FALSE),"")</f>
        <v/>
      </c>
      <c r="O222" s="103">
        <f t="shared" si="14"/>
        <v>19</v>
      </c>
      <c r="P222" s="103" cm="1">
        <f t="array" ref="P222">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22" s="103" t="str" cm="1">
        <f t="array" ref="Q222">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FREE TEXT if GS2.GQ13 is answered N/A.</v>
      </c>
      <c r="V222" s="103" t="s">
        <v>1968</v>
      </c>
      <c r="X222" s="103" t="s">
        <v>42</v>
      </c>
      <c r="Z222" s="103" t="s">
        <v>42</v>
      </c>
      <c r="AB222" s="103" t="s">
        <v>42</v>
      </c>
      <c r="AF222" s="103" t="s">
        <v>731</v>
      </c>
      <c r="AG222" s="103" t="s">
        <v>1969</v>
      </c>
      <c r="AH222" s="103">
        <v>3</v>
      </c>
      <c r="AI222" s="103" t="s">
        <v>581</v>
      </c>
      <c r="AJ222" s="103" t="s">
        <v>1970</v>
      </c>
      <c r="AK222" s="103" t="s">
        <v>1971</v>
      </c>
      <c r="AM222" s="103" t="s">
        <v>840</v>
      </c>
      <c r="AO222" s="103" t="str">
        <f ca="1">IFERROR(VLOOKUP(Independent_MO_Only_Canada[[#This Row],[iWatch '#]],INDIRECT('Defined Ranges'!$C$28&amp;"ROrder"&amp;'Defined Ranges'!$C$29),2,FALSE),"")</f>
        <v/>
      </c>
      <c r="AP222" s="103" t="str">
        <f ca="1">IFERROR(VLOOKUP(Independent_MO_Only_Canada[[#This Row],[iWatch '#]],INDIRECT('Defined Ranges'!$C$28&amp;"ROrder"&amp;'Defined Ranges'!$C$29),3,FALSE),"")</f>
        <v/>
      </c>
      <c r="AQ222" s="103">
        <f t="shared" ca="1" si="15"/>
        <v>48</v>
      </c>
      <c r="AR222" s="103" cm="1">
        <f t="array" ref="AR222">_xlfn.IFS(LSelected="English",Independent_MO_Only_Canada[[#This Row],[Verification Type English]],LSelected="Spanish",Independent_MO_Only_Canada[[#This Row],[Verification Type Spanish]],LSelected="French",Independent_MO_Only_Canada[[#This Row],[Verification Type French]],LSelected="Portuguese",Independent_MO_Only_Canada[[#This Row],[Verification Type Portuguese]])</f>
        <v>0</v>
      </c>
      <c r="AS222" s="103" cm="1">
        <f t="array" ref="AS222">_xlfn.IFS(SScript="English",Independent_MO_Only_Canada[[#This Row],[Suggested script English]],SScript="Spanish",Independent_MO_Only_Canada[[#This Row],[Suggested script Spanish]],SScript="French",Independent_MO_Only_Canada[[#This Row],[Suggested script French]],SScript="Portuguese",Independent_MO_Only_Canada[[#This Row],[Suggested script Portuguese]])</f>
        <v>0</v>
      </c>
      <c r="AV222" s="103" t="s">
        <v>585</v>
      </c>
      <c r="AW222" s="103" t="s">
        <v>1972</v>
      </c>
    </row>
    <row r="223" spans="4:56">
      <c r="D223" s="103" t="s">
        <v>1973</v>
      </c>
      <c r="E223" s="103" t="s">
        <v>1344</v>
      </c>
      <c r="F223" s="103">
        <v>3</v>
      </c>
      <c r="G223" s="103" t="s">
        <v>581</v>
      </c>
      <c r="H223" s="103" t="s">
        <v>1974</v>
      </c>
      <c r="I223" s="103" t="s">
        <v>1975</v>
      </c>
      <c r="K223" s="103" t="s">
        <v>1976</v>
      </c>
      <c r="M223" s="103" t="str">
        <f ca="1">IFERROR(VLOOKUP(Independent_MO_Only[[#This Row],[iWatch '#]],INDIRECT('Defined Ranges'!$C$28&amp;"Order"&amp;'Defined Ranges'!$C$29),2,FALSE),"")</f>
        <v/>
      </c>
      <c r="N223" s="103" t="str">
        <f ca="1">IFERROR(VLOOKUP(Independent_MO_Only[[#This Row],[iWatch '#]],INDIRECT('Defined Ranges'!$C$28&amp;"Order"&amp;'Defined Ranges'!$C$29),3,FALSE),"")</f>
        <v/>
      </c>
      <c r="O223" s="103">
        <f t="shared" si="14"/>
        <v>20</v>
      </c>
      <c r="P223" s="103" cm="1">
        <f t="array" ref="P223">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23" s="103" t="str" cm="1">
        <f t="array" ref="Q223">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 xml:space="preserve">DOCUMENT REQUIRED IR: Were there any deficiencies identified in the previous IR that you needed to correct?
Were those deficiencies corrected? </v>
      </c>
      <c r="T223" s="103" t="s">
        <v>698</v>
      </c>
      <c r="U223" s="103" t="s">
        <v>206</v>
      </c>
      <c r="V223" s="103" t="s">
        <v>1977</v>
      </c>
      <c r="X223" s="103" t="s">
        <v>42</v>
      </c>
      <c r="Z223" s="103" t="s">
        <v>42</v>
      </c>
      <c r="AB223" s="103" t="s">
        <v>42</v>
      </c>
      <c r="AF223" s="103" t="s">
        <v>1178</v>
      </c>
      <c r="AG223" s="103" t="s">
        <v>1978</v>
      </c>
      <c r="AH223" s="103">
        <v>3</v>
      </c>
      <c r="AI223" s="103" t="s">
        <v>581</v>
      </c>
      <c r="AJ223" s="103" t="s">
        <v>1979</v>
      </c>
      <c r="AK223" s="103" t="s">
        <v>1980</v>
      </c>
      <c r="AM223" s="103" t="s">
        <v>840</v>
      </c>
      <c r="AO223" s="103" t="str">
        <f ca="1">IFERROR(VLOOKUP(Independent_MO_Only_Canada[[#This Row],[iWatch '#]],INDIRECT('Defined Ranges'!$C$28&amp;"ROrder"&amp;'Defined Ranges'!$C$29),2,FALSE),"")</f>
        <v/>
      </c>
      <c r="AP223" s="103" t="str">
        <f ca="1">IFERROR(VLOOKUP(Independent_MO_Only_Canada[[#This Row],[iWatch '#]],INDIRECT('Defined Ranges'!$C$28&amp;"ROrder"&amp;'Defined Ranges'!$C$29),3,FALSE),"")</f>
        <v/>
      </c>
      <c r="AQ223" s="103">
        <f t="shared" ca="1" si="15"/>
        <v>49</v>
      </c>
      <c r="AR223" s="103" cm="1">
        <f t="array" ref="AR223">_xlfn.IFS(LSelected="English",Independent_MO_Only_Canada[[#This Row],[Verification Type English]],LSelected="Spanish",Independent_MO_Only_Canada[[#This Row],[Verification Type Spanish]],LSelected="French",Independent_MO_Only_Canada[[#This Row],[Verification Type French]],LSelected="Portuguese",Independent_MO_Only_Canada[[#This Row],[Verification Type Portuguese]])</f>
        <v>0</v>
      </c>
      <c r="AS223" s="103" cm="1">
        <f t="array" ref="AS223">_xlfn.IFS(SScript="English",Independent_MO_Only_Canada[[#This Row],[Suggested script English]],SScript="Spanish",Independent_MO_Only_Canada[[#This Row],[Suggested script Spanish]],SScript="French",Independent_MO_Only_Canada[[#This Row],[Suggested script French]],SScript="Portuguese",Independent_MO_Only_Canada[[#This Row],[Suggested script Portuguese]])</f>
        <v>0</v>
      </c>
      <c r="AV223" s="103" t="s">
        <v>585</v>
      </c>
      <c r="AW223" s="103" t="s">
        <v>1877</v>
      </c>
    </row>
    <row r="224" spans="4:56">
      <c r="D224" s="103" t="s">
        <v>1981</v>
      </c>
      <c r="E224" s="103" t="s">
        <v>1895</v>
      </c>
      <c r="L224" s="103" t="s">
        <v>1982</v>
      </c>
      <c r="M224" s="103" t="str">
        <f ca="1">IFERROR(VLOOKUP(Independent_MO_Only[[#This Row],[iWatch '#]],INDIRECT('Defined Ranges'!$C$28&amp;"Order"&amp;'Defined Ranges'!$C$29),2,FALSE),"")</f>
        <v/>
      </c>
      <c r="N224" s="103" t="str">
        <f ca="1">IFERROR(VLOOKUP(Independent_MO_Only[[#This Row],[iWatch '#]],INDIRECT('Defined Ranges'!$C$28&amp;"Order"&amp;'Defined Ranges'!$C$29),3,FALSE),"")</f>
        <v/>
      </c>
      <c r="O224" s="103">
        <f t="shared" si="14"/>
        <v>21</v>
      </c>
      <c r="P224" s="103" cm="1">
        <f t="array" ref="P224">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24" s="103" t="str" cm="1">
        <f t="array" ref="Q224">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FREE TEXT if GS2.GQ15 is answered N/A.</v>
      </c>
      <c r="V224" s="103" t="s">
        <v>1983</v>
      </c>
      <c r="X224" s="103" t="s">
        <v>42</v>
      </c>
      <c r="Z224" s="103" t="s">
        <v>42</v>
      </c>
      <c r="AB224" s="103" t="s">
        <v>42</v>
      </c>
      <c r="AF224" s="103" t="s">
        <v>1880</v>
      </c>
      <c r="AG224" s="103" t="s">
        <v>1984</v>
      </c>
      <c r="AH224" s="103">
        <v>3</v>
      </c>
      <c r="AI224" s="103" t="s">
        <v>581</v>
      </c>
      <c r="AJ224" s="103" t="s">
        <v>1985</v>
      </c>
      <c r="AK224" s="103" t="s">
        <v>1986</v>
      </c>
      <c r="AM224" s="103" t="s">
        <v>840</v>
      </c>
      <c r="AO224" s="103" t="str">
        <f ca="1">IFERROR(VLOOKUP(Independent_MO_Only_Canada[[#This Row],[iWatch '#]],INDIRECT('Defined Ranges'!$C$28&amp;"ROrder"&amp;'Defined Ranges'!$C$29),2,FALSE),"")</f>
        <v/>
      </c>
      <c r="AP224" s="103" t="str">
        <f ca="1">IFERROR(VLOOKUP(Independent_MO_Only_Canada[[#This Row],[iWatch '#]],INDIRECT('Defined Ranges'!$C$28&amp;"ROrder"&amp;'Defined Ranges'!$C$29),3,FALSE),"")</f>
        <v/>
      </c>
      <c r="AQ224" s="103">
        <f t="shared" ca="1" si="15"/>
        <v>50</v>
      </c>
      <c r="AR224" s="103" cm="1">
        <f t="array" ref="AR224">_xlfn.IFS(LSelected="English",Independent_MO_Only_Canada[[#This Row],[Verification Type English]],LSelected="Spanish",Independent_MO_Only_Canada[[#This Row],[Verification Type Spanish]],LSelected="French",Independent_MO_Only_Canada[[#This Row],[Verification Type French]],LSelected="Portuguese",Independent_MO_Only_Canada[[#This Row],[Verification Type Portuguese]])</f>
        <v>0</v>
      </c>
      <c r="AS224" s="103" cm="1">
        <f t="array" ref="AS224">_xlfn.IFS(SScript="English",Independent_MO_Only_Canada[[#This Row],[Suggested script English]],SScript="Spanish",Independent_MO_Only_Canada[[#This Row],[Suggested script Spanish]],SScript="French",Independent_MO_Only_Canada[[#This Row],[Suggested script French]],SScript="Portuguese",Independent_MO_Only_Canada[[#This Row],[Suggested script Portuguese]])</f>
        <v>0</v>
      </c>
      <c r="AV224" s="103" t="s">
        <v>585</v>
      </c>
      <c r="AW224" s="103" t="s">
        <v>1877</v>
      </c>
    </row>
    <row r="225" spans="4:49">
      <c r="D225" s="103" t="s">
        <v>661</v>
      </c>
      <c r="E225" s="103" t="s">
        <v>1987</v>
      </c>
      <c r="F225" s="103">
        <v>7</v>
      </c>
      <c r="G225" s="103" t="s">
        <v>1058</v>
      </c>
      <c r="H225" s="103" t="s">
        <v>1988</v>
      </c>
      <c r="I225" s="103" t="s">
        <v>1989</v>
      </c>
      <c r="J225" s="103" t="s">
        <v>1990</v>
      </c>
      <c r="M225" s="103">
        <f ca="1">IFERROR(VLOOKUP(Independent_MO_Only[[#This Row],[iWatch '#]],INDIRECT('Defined Ranges'!$C$28&amp;"Order"&amp;'Defined Ranges'!$C$29),2,FALSE),"")</f>
        <v>6</v>
      </c>
      <c r="N225" s="103">
        <f ca="1">IFERROR(VLOOKUP(Independent_MO_Only[[#This Row],[iWatch '#]],INDIRECT('Defined Ranges'!$C$28&amp;"Order"&amp;'Defined Ranges'!$C$29),3,FALSE),"")</f>
        <v>9</v>
      </c>
      <c r="O225" s="103">
        <f t="shared" si="14"/>
        <v>22</v>
      </c>
      <c r="P225" s="103" cm="1">
        <f t="array" ref="P225">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25" s="103" t="str" cm="1">
        <f t="array" ref="Q225">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1) How many operators are authorized to process Money Orders?
2) Does each operator use a unique user ID and password to process MOs?
MAKE SURE YOU VERIFY THE INFO GIVEN BY THE AGENT AGAINST WU SYSTEMS.
Note: IF NOT USING UNIQUE IDs: May I have the full names of the other authorized people?</v>
      </c>
      <c r="T225" s="103" t="s">
        <v>683</v>
      </c>
      <c r="U225" s="103" t="s">
        <v>216</v>
      </c>
      <c r="V225" s="103" t="s">
        <v>1991</v>
      </c>
      <c r="X225" s="103" t="s">
        <v>42</v>
      </c>
      <c r="Z225" s="103" t="s">
        <v>42</v>
      </c>
      <c r="AB225" s="103" t="s">
        <v>42</v>
      </c>
      <c r="AF225" s="103" t="s">
        <v>746</v>
      </c>
      <c r="AG225" s="103" t="s">
        <v>1992</v>
      </c>
      <c r="AH225" s="103">
        <v>3</v>
      </c>
      <c r="AI225" s="103" t="s">
        <v>581</v>
      </c>
      <c r="AJ225" s="103" t="s">
        <v>1993</v>
      </c>
      <c r="AK225" s="103" t="s">
        <v>1994</v>
      </c>
      <c r="AM225" s="103" t="s">
        <v>840</v>
      </c>
      <c r="AO225" s="103" t="str">
        <f ca="1">IFERROR(VLOOKUP(Independent_MO_Only_Canada[[#This Row],[iWatch '#]],INDIRECT('Defined Ranges'!$C$28&amp;"ROrder"&amp;'Defined Ranges'!$C$29),2,FALSE),"")</f>
        <v/>
      </c>
      <c r="AP225" s="103" t="str">
        <f ca="1">IFERROR(VLOOKUP(Independent_MO_Only_Canada[[#This Row],[iWatch '#]],INDIRECT('Defined Ranges'!$C$28&amp;"ROrder"&amp;'Defined Ranges'!$C$29),3,FALSE),"")</f>
        <v/>
      </c>
      <c r="AQ225" s="103">
        <f t="shared" ca="1" si="15"/>
        <v>51</v>
      </c>
      <c r="AR225" s="103" cm="1">
        <f t="array" ref="AR225">_xlfn.IFS(LSelected="English",Independent_MO_Only_Canada[[#This Row],[Verification Type English]],LSelected="Spanish",Independent_MO_Only_Canada[[#This Row],[Verification Type Spanish]],LSelected="French",Independent_MO_Only_Canada[[#This Row],[Verification Type French]],LSelected="Portuguese",Independent_MO_Only_Canada[[#This Row],[Verification Type Portuguese]])</f>
        <v>0</v>
      </c>
      <c r="AS225" s="103" cm="1">
        <f t="array" ref="AS225">_xlfn.IFS(SScript="English",Independent_MO_Only_Canada[[#This Row],[Suggested script English]],SScript="Spanish",Independent_MO_Only_Canada[[#This Row],[Suggested script Spanish]],SScript="French",Independent_MO_Only_Canada[[#This Row],[Suggested script French]],SScript="Portuguese",Independent_MO_Only_Canada[[#This Row],[Suggested script Portuguese]])</f>
        <v>0</v>
      </c>
      <c r="AV225" s="103" t="s">
        <v>585</v>
      </c>
      <c r="AW225" s="103" t="s">
        <v>1972</v>
      </c>
    </row>
    <row r="226" spans="4:49">
      <c r="D226" s="103" t="s">
        <v>677</v>
      </c>
      <c r="E226" s="103" t="s">
        <v>1995</v>
      </c>
      <c r="F226" s="103">
        <v>2</v>
      </c>
      <c r="G226" s="103" t="s">
        <v>609</v>
      </c>
      <c r="H226" s="103" t="s">
        <v>1996</v>
      </c>
      <c r="I226" s="103" t="s">
        <v>1997</v>
      </c>
      <c r="M226" s="103">
        <f ca="1">IFERROR(VLOOKUP(Independent_MO_Only[[#This Row],[iWatch '#]],INDIRECT('Defined Ranges'!$C$28&amp;"Order"&amp;'Defined Ranges'!$C$29),2,FALSE),"")</f>
        <v>7</v>
      </c>
      <c r="N226" s="103">
        <f ca="1">IFERROR(VLOOKUP(Independent_MO_Only[[#This Row],[iWatch '#]],INDIRECT('Defined Ranges'!$C$28&amp;"Order"&amp;'Defined Ranges'!$C$29),3,FALSE),"")</f>
        <v>10</v>
      </c>
      <c r="O226" s="103">
        <f t="shared" si="14"/>
        <v>23</v>
      </c>
      <c r="P226" s="103" cm="1">
        <f t="array" ref="P226">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26" s="103" t="str" cm="1">
        <f t="array" ref="Q226">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Is there any other employee besides the ones provided on the list of users? Should anyone be taken off?</v>
      </c>
      <c r="T226" s="103" t="s">
        <v>698</v>
      </c>
      <c r="U226" s="103" t="s">
        <v>216</v>
      </c>
      <c r="V226" s="103" t="s">
        <v>1998</v>
      </c>
      <c r="X226" s="103" t="s">
        <v>42</v>
      </c>
      <c r="Z226" s="103" t="s">
        <v>42</v>
      </c>
      <c r="AB226" s="103" t="s">
        <v>42</v>
      </c>
    </row>
    <row r="227" spans="4:49">
      <c r="D227" s="103" t="s">
        <v>693</v>
      </c>
      <c r="E227" s="103" t="s">
        <v>1999</v>
      </c>
      <c r="F227" s="103">
        <v>7</v>
      </c>
      <c r="G227" s="103" t="s">
        <v>1058</v>
      </c>
      <c r="H227" s="103" t="s">
        <v>2000</v>
      </c>
      <c r="I227" s="103" t="s">
        <v>2001</v>
      </c>
      <c r="J227" s="103" t="s">
        <v>2002</v>
      </c>
      <c r="M227" s="103">
        <f ca="1">IFERROR(VLOOKUP(Independent_MO_Only[[#This Row],[iWatch '#]],INDIRECT('Defined Ranges'!$C$28&amp;"Order"&amp;'Defined Ranges'!$C$29),2,FALSE),"")</f>
        <v>19</v>
      </c>
      <c r="N227" s="103">
        <f ca="1">IFERROR(VLOOKUP(Independent_MO_Only[[#This Row],[iWatch '#]],INDIRECT('Defined Ranges'!$C$28&amp;"Order"&amp;'Defined Ranges'!$C$29),3,FALSE),"")</f>
        <v>11</v>
      </c>
      <c r="O227" s="103">
        <f t="shared" si="14"/>
        <v>24</v>
      </c>
      <c r="P227" s="103" cm="1">
        <f t="array" ref="P227">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27" s="103" t="str" cm="1">
        <f t="array" ref="Q227">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 xml:space="preserve">Let’s say I am a regular customer who cannot come to the store right now and I call you to ask that you process a Money Order for me, and I will pay for it later. What would you do in a case like this? </v>
      </c>
      <c r="T227" s="103" t="s">
        <v>853</v>
      </c>
      <c r="U227" s="103" t="s">
        <v>216</v>
      </c>
      <c r="V227" s="103" t="s">
        <v>2003</v>
      </c>
      <c r="X227" s="103" t="s">
        <v>42</v>
      </c>
      <c r="Z227" s="103" t="s">
        <v>42</v>
      </c>
      <c r="AB227" s="103" t="s">
        <v>42</v>
      </c>
    </row>
    <row r="228" spans="4:49">
      <c r="D228" s="103" t="s">
        <v>1517</v>
      </c>
      <c r="E228" s="103" t="s">
        <v>2004</v>
      </c>
      <c r="F228" s="103">
        <v>2</v>
      </c>
      <c r="G228" s="103" t="s">
        <v>609</v>
      </c>
      <c r="H228" s="103" t="s">
        <v>2005</v>
      </c>
      <c r="I228" s="103" t="s">
        <v>2006</v>
      </c>
      <c r="M228" s="103" t="str">
        <f ca="1">IFERROR(VLOOKUP(Independent_MO_Only[[#This Row],[iWatch '#]],INDIRECT('Defined Ranges'!$C$28&amp;"Order"&amp;'Defined Ranges'!$C$29),2,FALSE),"")</f>
        <v/>
      </c>
      <c r="N228" s="103" t="str">
        <f ca="1">IFERROR(VLOOKUP(Independent_MO_Only[[#This Row],[iWatch '#]],INDIRECT('Defined Ranges'!$C$28&amp;"Order"&amp;'Defined Ranges'!$C$29),3,FALSE),"")</f>
        <v/>
      </c>
      <c r="O228" s="103">
        <f t="shared" si="14"/>
        <v>25</v>
      </c>
      <c r="P228" s="103" cm="1">
        <f t="array" ref="P228">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28" s="103" t="str" cm="1">
        <f t="array" ref="Q228">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 xml:space="preserve">If I were to talk to an FLA and ask for the AML and Anti-Fraud Policies and Procedures, would they know where to find them? </v>
      </c>
      <c r="T228" s="103" t="s">
        <v>644</v>
      </c>
      <c r="U228" s="103" t="s">
        <v>216</v>
      </c>
      <c r="V228" s="103" t="s">
        <v>2007</v>
      </c>
      <c r="X228" s="103" t="s">
        <v>42</v>
      </c>
      <c r="Z228" s="103" t="s">
        <v>42</v>
      </c>
      <c r="AB228" s="103" t="s">
        <v>42</v>
      </c>
    </row>
    <row r="229" spans="4:49">
      <c r="D229" s="103" t="s">
        <v>711</v>
      </c>
      <c r="E229" s="103" t="s">
        <v>2008</v>
      </c>
      <c r="F229" s="103">
        <v>2</v>
      </c>
      <c r="G229" s="103" t="s">
        <v>609</v>
      </c>
      <c r="H229" s="103" t="s">
        <v>2009</v>
      </c>
      <c r="I229" s="103" t="s">
        <v>2010</v>
      </c>
      <c r="M229" s="103">
        <f ca="1">IFERROR(VLOOKUP(Independent_MO_Only[[#This Row],[iWatch '#]],INDIRECT('Defined Ranges'!$C$28&amp;"Order"&amp;'Defined Ranges'!$C$29),2,FALSE),"")</f>
        <v>27</v>
      </c>
      <c r="N229" s="103">
        <f ca="1">IFERROR(VLOOKUP(Independent_MO_Only[[#This Row],[iWatch '#]],INDIRECT('Defined Ranges'!$C$28&amp;"Order"&amp;'Defined Ranges'!$C$29),3,FALSE),"")</f>
        <v>12</v>
      </c>
      <c r="O229" s="103">
        <f t="shared" si="14"/>
        <v>26</v>
      </c>
      <c r="P229" s="103" cm="1">
        <f t="array" ref="P229">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29" s="103" t="str" cm="1">
        <f t="array" ref="Q229">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 xml:space="preserve">1) Are you the designated Compliance Officer of the location? 2) Are you the compliance officer for any other location(s)? Would please mention some of your main duties and responsibilities as the Compliance Officer of the store?
VERIFY CO DESIGNATION IN P&amp;P/S. </v>
      </c>
      <c r="T229" s="103" t="s">
        <v>698</v>
      </c>
      <c r="U229" s="103" t="s">
        <v>151</v>
      </c>
      <c r="V229" s="103" t="s">
        <v>2011</v>
      </c>
      <c r="X229" s="103" t="s">
        <v>42</v>
      </c>
      <c r="Z229" s="103" t="s">
        <v>42</v>
      </c>
      <c r="AB229" s="103" t="s">
        <v>42</v>
      </c>
    </row>
    <row r="230" spans="4:49">
      <c r="D230" s="103" t="s">
        <v>723</v>
      </c>
      <c r="E230" s="103" t="s">
        <v>2012</v>
      </c>
      <c r="L230" s="103" t="s">
        <v>2013</v>
      </c>
      <c r="M230" s="103">
        <f ca="1">IFERROR(VLOOKUP(Independent_MO_Only[[#This Row],[iWatch '#]],INDIRECT('Defined Ranges'!$C$28&amp;"Order"&amp;'Defined Ranges'!$C$29),2,FALSE),"")</f>
        <v>28</v>
      </c>
      <c r="N230" s="103">
        <f ca="1">IFERROR(VLOOKUP(Independent_MO_Only[[#This Row],[iWatch '#]],INDIRECT('Defined Ranges'!$C$28&amp;"Order"&amp;'Defined Ranges'!$C$29),3,FALSE),"")</f>
        <v>13</v>
      </c>
      <c r="O230" s="103">
        <f t="shared" si="14"/>
        <v>27</v>
      </c>
      <c r="P230" s="103" cm="1">
        <f t="array" ref="P230">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30" s="103" t="str" cm="1">
        <f t="array" ref="Q230">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FREE TEXT</v>
      </c>
      <c r="V230" s="103" t="s">
        <v>809</v>
      </c>
      <c r="X230" s="103" t="s">
        <v>42</v>
      </c>
      <c r="Z230" s="103" t="s">
        <v>42</v>
      </c>
      <c r="AB230" s="103" t="s">
        <v>42</v>
      </c>
    </row>
    <row r="231" spans="4:49">
      <c r="D231" s="103" t="s">
        <v>738</v>
      </c>
      <c r="E231" s="103" t="s">
        <v>2014</v>
      </c>
      <c r="F231" s="103">
        <v>2</v>
      </c>
      <c r="G231" s="103" t="s">
        <v>609</v>
      </c>
      <c r="H231" s="103" t="s">
        <v>2015</v>
      </c>
      <c r="I231" s="103" t="s">
        <v>2016</v>
      </c>
      <c r="M231" s="103">
        <f ca="1">IFERROR(VLOOKUP(Independent_MO_Only[[#This Row],[iWatch '#]],INDIRECT('Defined Ranges'!$C$28&amp;"Order"&amp;'Defined Ranges'!$C$29),2,FALSE),"")</f>
        <v>29</v>
      </c>
      <c r="N231" s="103">
        <f ca="1">IFERROR(VLOOKUP(Independent_MO_Only[[#This Row],[iWatch '#]],INDIRECT('Defined Ranges'!$C$28&amp;"Order"&amp;'Defined Ranges'!$C$29),3,FALSE),"")</f>
        <v>14</v>
      </c>
      <c r="O231" s="103">
        <f t="shared" si="14"/>
        <v>28</v>
      </c>
      <c r="P231" s="103" cm="1">
        <f t="array" ref="P231">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31" s="103" t="str" cm="1">
        <f t="array" ref="Q231">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 xml:space="preserve">Evaluate the CO's AML and Anti-Fraud knowledge based on the overall program review processed. </v>
      </c>
      <c r="T231" s="103" t="s">
        <v>585</v>
      </c>
      <c r="U231" s="103" t="s">
        <v>151</v>
      </c>
      <c r="V231" s="103" t="s">
        <v>2017</v>
      </c>
      <c r="X231" s="103" t="s">
        <v>42</v>
      </c>
      <c r="Z231" s="103" t="s">
        <v>42</v>
      </c>
      <c r="AB231" s="103" t="s">
        <v>42</v>
      </c>
    </row>
    <row r="232" spans="4:49">
      <c r="D232" s="103" t="s">
        <v>753</v>
      </c>
      <c r="E232" s="103" t="s">
        <v>2018</v>
      </c>
      <c r="F232" s="103">
        <v>2</v>
      </c>
      <c r="G232" s="103" t="s">
        <v>609</v>
      </c>
      <c r="H232" s="103" t="s">
        <v>2019</v>
      </c>
      <c r="I232" s="103" t="s">
        <v>2020</v>
      </c>
      <c r="M232" s="103">
        <f ca="1">IFERROR(VLOOKUP(Independent_MO_Only[[#This Row],[iWatch '#]],INDIRECT('Defined Ranges'!$C$28&amp;"Order"&amp;'Defined Ranges'!$C$29),2,FALSE),"")</f>
        <v>25</v>
      </c>
      <c r="N232" s="103">
        <f ca="1">IFERROR(VLOOKUP(Independent_MO_Only[[#This Row],[iWatch '#]],INDIRECT('Defined Ranges'!$C$28&amp;"Order"&amp;'Defined Ranges'!$C$29),3,FALSE),"")</f>
        <v>15</v>
      </c>
      <c r="O232" s="103">
        <f t="shared" si="14"/>
        <v>29</v>
      </c>
      <c r="P232" s="103" cm="1">
        <f t="array" ref="P232">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32" s="103" t="str" cm="1">
        <f t="array" ref="Q232">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 xml:space="preserve">DOCUMENTS REQUIRED P&amp;Ps with CO Responsibilities: Answered by reviewing Agent's Policies and Procedures document received prior or during the call. </v>
      </c>
      <c r="T232" s="103" t="s">
        <v>698</v>
      </c>
      <c r="U232" s="103" t="s">
        <v>151</v>
      </c>
      <c r="V232" s="103" t="s">
        <v>2021</v>
      </c>
      <c r="X232" s="103" t="s">
        <v>42</v>
      </c>
      <c r="Z232" s="103" t="s">
        <v>42</v>
      </c>
      <c r="AB232" s="103" t="s">
        <v>42</v>
      </c>
    </row>
    <row r="233" spans="4:49">
      <c r="D233" s="103" t="s">
        <v>797</v>
      </c>
      <c r="E233" s="103" t="s">
        <v>2022</v>
      </c>
      <c r="F233" s="103">
        <v>2</v>
      </c>
      <c r="G233" s="103" t="s">
        <v>609</v>
      </c>
      <c r="H233" s="103" t="s">
        <v>2023</v>
      </c>
      <c r="I233" s="103" t="s">
        <v>2024</v>
      </c>
      <c r="M233" s="103">
        <f ca="1">IFERROR(VLOOKUP(Independent_MO_Only[[#This Row],[iWatch '#]],INDIRECT('Defined Ranges'!$C$28&amp;"Order"&amp;'Defined Ranges'!$C$29),2,FALSE),"")</f>
        <v>30</v>
      </c>
      <c r="N233" s="103">
        <f ca="1">IFERROR(VLOOKUP(Independent_MO_Only[[#This Row],[iWatch '#]],INDIRECT('Defined Ranges'!$C$28&amp;"Order"&amp;'Defined Ranges'!$C$29),3,FALSE),"")</f>
        <v>20</v>
      </c>
      <c r="O233" s="103">
        <f t="shared" si="14"/>
        <v>30</v>
      </c>
      <c r="P233" s="103" cm="1">
        <f t="array" ref="P233">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33" s="103" t="str" cm="1">
        <f t="array" ref="Q233">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 xml:space="preserve">DOCUMENTS REQUIRED P&amp;Ps: Answered by reviewing Agent's Policies and Procedures document received prior or during the call. Make sure both, AML and Anti-Fraud are available otherwise; finding must be assigned. </v>
      </c>
      <c r="T233" s="103" t="s">
        <v>644</v>
      </c>
      <c r="U233" s="103" t="s">
        <v>186</v>
      </c>
      <c r="V233" s="103" t="s">
        <v>2025</v>
      </c>
      <c r="X233" s="103" t="s">
        <v>42</v>
      </c>
      <c r="Z233" s="103" t="s">
        <v>42</v>
      </c>
      <c r="AB233" s="103" t="s">
        <v>42</v>
      </c>
    </row>
    <row r="234" spans="4:49">
      <c r="D234" s="103" t="s">
        <v>807</v>
      </c>
      <c r="E234" s="103" t="s">
        <v>2026</v>
      </c>
      <c r="L234" s="103" t="s">
        <v>2027</v>
      </c>
      <c r="M234" s="103">
        <f ca="1">IFERROR(VLOOKUP(Independent_MO_Only[[#This Row],[iWatch '#]],INDIRECT('Defined Ranges'!$C$28&amp;"Order"&amp;'Defined Ranges'!$C$29),2,FALSE),"")</f>
        <v>31</v>
      </c>
      <c r="N234" s="103">
        <f ca="1">IFERROR(VLOOKUP(Independent_MO_Only[[#This Row],[iWatch '#]],INDIRECT('Defined Ranges'!$C$28&amp;"Order"&amp;'Defined Ranges'!$C$29),3,FALSE),"")</f>
        <v>21</v>
      </c>
      <c r="O234" s="103">
        <f t="shared" si="14"/>
        <v>31</v>
      </c>
      <c r="P234" s="103" cm="1">
        <f t="array" ref="P234">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34" s="103" t="str" cm="1">
        <f t="array" ref="Q234">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FREE TEXT</v>
      </c>
      <c r="V234" s="103" t="s">
        <v>809</v>
      </c>
      <c r="X234" s="103" t="s">
        <v>42</v>
      </c>
      <c r="Z234" s="103" t="s">
        <v>42</v>
      </c>
      <c r="AB234" s="103" t="s">
        <v>42</v>
      </c>
    </row>
    <row r="235" spans="4:49">
      <c r="D235" s="103" t="s">
        <v>815</v>
      </c>
      <c r="E235" s="103" t="s">
        <v>2028</v>
      </c>
      <c r="F235" s="103">
        <v>2</v>
      </c>
      <c r="G235" s="103" t="s">
        <v>609</v>
      </c>
      <c r="H235" s="103" t="s">
        <v>2029</v>
      </c>
      <c r="I235" s="103" t="s">
        <v>2030</v>
      </c>
      <c r="M235" s="103">
        <f ca="1">IFERROR(VLOOKUP(Independent_MO_Only[[#This Row],[iWatch '#]],INDIRECT('Defined Ranges'!$C$28&amp;"Order"&amp;'Defined Ranges'!$C$29),2,FALSE),"")</f>
        <v>16</v>
      </c>
      <c r="N235" s="103">
        <f ca="1">IFERROR(VLOOKUP(Independent_MO_Only[[#This Row],[iWatch '#]],INDIRECT('Defined Ranges'!$C$28&amp;"Order"&amp;'Defined Ranges'!$C$29),3,FALSE),"")</f>
        <v>22</v>
      </c>
      <c r="O235" s="103">
        <f t="shared" si="14"/>
        <v>32</v>
      </c>
      <c r="P235" s="103" cm="1">
        <f t="array" ref="P235">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35" s="103" t="str" cm="1">
        <f t="array" ref="Q235">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 xml:space="preserve">DOCUMENTS REQUIRED P&amp;Ps: Answered by reviewing Agent's Policies and Procedures document received prior or during the call. Make sure both, AML and Anti-Fraud are complete otherwise; finding must be assigned. 
*
 </v>
      </c>
      <c r="T235" s="103" t="s">
        <v>644</v>
      </c>
      <c r="U235" s="103" t="s">
        <v>186</v>
      </c>
      <c r="V235" s="103" t="s">
        <v>2031</v>
      </c>
      <c r="X235" s="103" t="s">
        <v>42</v>
      </c>
      <c r="Z235" s="103" t="s">
        <v>42</v>
      </c>
      <c r="AB235" s="103" t="s">
        <v>42</v>
      </c>
    </row>
    <row r="236" spans="4:49">
      <c r="D236" s="103" t="s">
        <v>829</v>
      </c>
      <c r="E236" s="103" t="s">
        <v>2032</v>
      </c>
      <c r="L236" s="103" t="s">
        <v>2033</v>
      </c>
      <c r="M236" s="103">
        <f ca="1">IFERROR(VLOOKUP(Independent_MO_Only[[#This Row],[iWatch '#]],INDIRECT('Defined Ranges'!$C$28&amp;"Order"&amp;'Defined Ranges'!$C$29),2,FALSE),"")</f>
        <v>17</v>
      </c>
      <c r="N236" s="103">
        <f ca="1">IFERROR(VLOOKUP(Independent_MO_Only[[#This Row],[iWatch '#]],INDIRECT('Defined Ranges'!$C$28&amp;"Order"&amp;'Defined Ranges'!$C$29),3,FALSE),"")</f>
        <v>23</v>
      </c>
      <c r="O236" s="103">
        <f t="shared" si="14"/>
        <v>33</v>
      </c>
      <c r="P236" s="103" cm="1">
        <f t="array" ref="P236">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36" s="103" t="str" cm="1">
        <f t="array" ref="Q236">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FREE TEXT</v>
      </c>
      <c r="V236" s="103" t="s">
        <v>809</v>
      </c>
      <c r="X236" s="103" t="s">
        <v>42</v>
      </c>
      <c r="Z236" s="103" t="s">
        <v>42</v>
      </c>
      <c r="AB236" s="103" t="s">
        <v>42</v>
      </c>
    </row>
    <row r="237" spans="4:49">
      <c r="D237" s="103" t="s">
        <v>841</v>
      </c>
      <c r="E237" s="103" t="s">
        <v>2034</v>
      </c>
      <c r="F237" s="103">
        <v>2</v>
      </c>
      <c r="G237" s="103" t="s">
        <v>609</v>
      </c>
      <c r="H237" s="103" t="s">
        <v>2035</v>
      </c>
      <c r="I237" s="103" t="s">
        <v>2036</v>
      </c>
      <c r="M237" s="103">
        <f ca="1">IFERROR(VLOOKUP(Independent_MO_Only[[#This Row],[iWatch '#]],INDIRECT('Defined Ranges'!$C$28&amp;"Order"&amp;'Defined Ranges'!$C$29),2,FALSE),"")</f>
        <v>23</v>
      </c>
      <c r="N237" s="103">
        <f ca="1">IFERROR(VLOOKUP(Independent_MO_Only[[#This Row],[iWatch '#]],INDIRECT('Defined Ranges'!$C$28&amp;"Order"&amp;'Defined Ranges'!$C$29),3,FALSE),"")</f>
        <v>24</v>
      </c>
      <c r="O237" s="103">
        <f t="shared" si="14"/>
        <v>34</v>
      </c>
      <c r="P237" s="103" cm="1">
        <f t="array" ref="P237">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37" s="103" t="str" cm="1">
        <f t="array" ref="Q237">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DOCUMENT REQUIRED P&amp;Ps and Verbal Confirmation of communication and distribution to all employees: If P&amp;Ps were not shown, finding applies. Do not say it but these are possible answers: via email, on a physical copy, weekly meetings, etc.)
1. Describe how you communicate and distribute the P&amp;Ps to all employees.</v>
      </c>
      <c r="T237" s="103" t="s">
        <v>698</v>
      </c>
      <c r="U237" s="103" t="s">
        <v>186</v>
      </c>
      <c r="V237" s="103" t="s">
        <v>2037</v>
      </c>
      <c r="X237" s="103" t="s">
        <v>42</v>
      </c>
      <c r="Z237" s="103" t="s">
        <v>42</v>
      </c>
      <c r="AB237" s="103" t="s">
        <v>42</v>
      </c>
    </row>
    <row r="238" spans="4:49">
      <c r="D238" s="103" t="s">
        <v>849</v>
      </c>
      <c r="E238" s="103" t="s">
        <v>2038</v>
      </c>
      <c r="F238" s="103">
        <v>2</v>
      </c>
      <c r="G238" s="103" t="s">
        <v>609</v>
      </c>
      <c r="H238" s="103" t="s">
        <v>2039</v>
      </c>
      <c r="I238" s="103" t="s">
        <v>2040</v>
      </c>
      <c r="M238" s="103">
        <f ca="1">IFERROR(VLOOKUP(Independent_MO_Only[[#This Row],[iWatch '#]],INDIRECT('Defined Ranges'!$C$28&amp;"Order"&amp;'Defined Ranges'!$C$29),2,FALSE),"")</f>
        <v>24</v>
      </c>
      <c r="N238" s="103">
        <f ca="1">IFERROR(VLOOKUP(Independent_MO_Only[[#This Row],[iWatch '#]],INDIRECT('Defined Ranges'!$C$28&amp;"Order"&amp;'Defined Ranges'!$C$29),3,FALSE),"")</f>
        <v>25</v>
      </c>
      <c r="O238" s="103">
        <f t="shared" si="14"/>
        <v>35</v>
      </c>
      <c r="P238" s="103" cm="1">
        <f t="array" ref="P238">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38" s="103" t="str" cm="1">
        <f t="array" ref="Q238">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 xml:space="preserve">DOCUMENTS REQUIRED P&amp;Ps &amp; LMS/Training Log: Answer yes if the P&amp;Ps and/or Training Log/LMS were received prior or during the call. </v>
      </c>
      <c r="T238" s="103" t="s">
        <v>698</v>
      </c>
      <c r="U238" s="103" t="s">
        <v>186</v>
      </c>
      <c r="V238" s="103" t="s">
        <v>2041</v>
      </c>
      <c r="X238" s="103" t="s">
        <v>42</v>
      </c>
      <c r="Z238" s="103" t="s">
        <v>42</v>
      </c>
      <c r="AB238" s="103" t="s">
        <v>42</v>
      </c>
    </row>
    <row r="239" spans="4:49">
      <c r="D239" s="103" t="s">
        <v>858</v>
      </c>
      <c r="E239" s="103" t="s">
        <v>2042</v>
      </c>
      <c r="F239" s="103">
        <v>2</v>
      </c>
      <c r="G239" s="103" t="s">
        <v>609</v>
      </c>
      <c r="H239" s="103" t="s">
        <v>2043</v>
      </c>
      <c r="I239" s="103" t="s">
        <v>2044</v>
      </c>
      <c r="M239" s="103">
        <f ca="1">IFERROR(VLOOKUP(Independent_MO_Only[[#This Row],[iWatch '#]],INDIRECT('Defined Ranges'!$C$28&amp;"Order"&amp;'Defined Ranges'!$C$29),2,FALSE),"")</f>
        <v>10</v>
      </c>
      <c r="N239" s="103">
        <f ca="1">IFERROR(VLOOKUP(Independent_MO_Only[[#This Row],[iWatch '#]],INDIRECT('Defined Ranges'!$C$28&amp;"Order"&amp;'Defined Ranges'!$C$29),3,FALSE),"")</f>
        <v>26</v>
      </c>
      <c r="O239" s="103">
        <f t="shared" si="14"/>
        <v>36</v>
      </c>
      <c r="P239" s="103" cm="1">
        <f t="array" ref="P239">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39" s="103" t="str" cm="1">
        <f t="array" ref="Q239">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 xml:space="preserve">DOCUMENTS REQUIRED P&amp;Ps: Answer by reviewing Agent's Policies and Procedures document (Training Section) prior or during the call. </v>
      </c>
      <c r="T239" s="103" t="s">
        <v>698</v>
      </c>
      <c r="U239" s="103" t="s">
        <v>186</v>
      </c>
      <c r="V239" s="103" t="s">
        <v>2045</v>
      </c>
      <c r="X239" s="103" t="s">
        <v>42</v>
      </c>
      <c r="Z239" s="103" t="s">
        <v>42</v>
      </c>
      <c r="AB239" s="103" t="s">
        <v>42</v>
      </c>
    </row>
    <row r="240" spans="4:49">
      <c r="D240" s="103" t="s">
        <v>881</v>
      </c>
      <c r="E240" s="103" t="s">
        <v>2046</v>
      </c>
      <c r="F240" s="103">
        <v>2</v>
      </c>
      <c r="G240" s="103" t="s">
        <v>609</v>
      </c>
      <c r="H240" s="103" t="s">
        <v>2047</v>
      </c>
      <c r="I240" s="103" t="s">
        <v>2048</v>
      </c>
      <c r="M240" s="103">
        <f ca="1">IFERROR(VLOOKUP(Independent_MO_Only[[#This Row],[iWatch '#]],INDIRECT('Defined Ranges'!$C$28&amp;"Order"&amp;'Defined Ranges'!$C$29),2,FALSE),"")</f>
        <v>8</v>
      </c>
      <c r="N240" s="103">
        <f ca="1">IFERROR(VLOOKUP(Independent_MO_Only[[#This Row],[iWatch '#]],INDIRECT('Defined Ranges'!$C$28&amp;"Order"&amp;'Defined Ranges'!$C$29),3,FALSE),"")</f>
        <v>28</v>
      </c>
      <c r="O240" s="103">
        <f t="shared" si="14"/>
        <v>37</v>
      </c>
      <c r="P240" s="103" cm="1">
        <f t="array" ref="P240">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40" s="103" t="str" cm="1">
        <f t="array" ref="Q240">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 xml:space="preserve">Answer based on the Agent's general knowledge about AML/CFT Compliance. </v>
      </c>
      <c r="T240" s="103" t="s">
        <v>644</v>
      </c>
      <c r="U240" s="103" t="s">
        <v>210</v>
      </c>
      <c r="V240" s="103" t="s">
        <v>2049</v>
      </c>
      <c r="X240" s="103" t="s">
        <v>42</v>
      </c>
      <c r="Z240" s="103" t="s">
        <v>42</v>
      </c>
      <c r="AB240" s="103" t="s">
        <v>42</v>
      </c>
    </row>
    <row r="241" spans="4:28">
      <c r="D241" s="103" t="s">
        <v>893</v>
      </c>
      <c r="E241" s="103" t="s">
        <v>2050</v>
      </c>
      <c r="F241" s="103">
        <v>2</v>
      </c>
      <c r="G241" s="103" t="s">
        <v>609</v>
      </c>
      <c r="H241" s="103" t="s">
        <v>2051</v>
      </c>
      <c r="I241" s="103" t="s">
        <v>2052</v>
      </c>
      <c r="M241" s="103">
        <f ca="1">IFERROR(VLOOKUP(Independent_MO_Only[[#This Row],[iWatch '#]],INDIRECT('Defined Ranges'!$C$28&amp;"Order"&amp;'Defined Ranges'!$C$29),2,FALSE),"")</f>
        <v>9</v>
      </c>
      <c r="N241" s="103">
        <f ca="1">IFERROR(VLOOKUP(Independent_MO_Only[[#This Row],[iWatch '#]],INDIRECT('Defined Ranges'!$C$28&amp;"Order"&amp;'Defined Ranges'!$C$29),3,FALSE),"")</f>
        <v>29</v>
      </c>
      <c r="O241" s="103">
        <f t="shared" si="14"/>
        <v>38</v>
      </c>
      <c r="P241" s="103" cm="1">
        <f t="array" ref="P241">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41" s="103" t="str" cm="1">
        <f t="array" ref="Q241">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 xml:space="preserve">Answer based on the Agent's general knowledge about AML/CFT Compliance. 
*
1) What do you consider to be Suspicious Activity? 
2) Can you provide some examples of suspicious activity or customer behaviors that you consider suspicious? </v>
      </c>
      <c r="T241" s="103" t="s">
        <v>644</v>
      </c>
      <c r="U241" s="103" t="s">
        <v>210</v>
      </c>
      <c r="V241" s="103" t="s">
        <v>2053</v>
      </c>
      <c r="X241" s="103" t="s">
        <v>42</v>
      </c>
      <c r="Z241" s="103" t="s">
        <v>42</v>
      </c>
      <c r="AB241" s="103" t="s">
        <v>42</v>
      </c>
    </row>
    <row r="242" spans="4:28">
      <c r="D242" s="103" t="s">
        <v>1696</v>
      </c>
      <c r="E242" s="103" t="s">
        <v>2054</v>
      </c>
      <c r="F242" s="103">
        <v>2</v>
      </c>
      <c r="G242" s="103" t="s">
        <v>609</v>
      </c>
      <c r="H242" s="103" t="s">
        <v>2055</v>
      </c>
      <c r="I242" s="103" t="s">
        <v>2056</v>
      </c>
      <c r="M242" s="103" t="str">
        <f ca="1">IFERROR(VLOOKUP(Independent_MO_Only[[#This Row],[iWatch '#]],INDIRECT('Defined Ranges'!$C$28&amp;"Order"&amp;'Defined Ranges'!$C$29),2,FALSE),"")</f>
        <v/>
      </c>
      <c r="N242" s="103" t="str">
        <f ca="1">IFERROR(VLOOKUP(Independent_MO_Only[[#This Row],[iWatch '#]],INDIRECT('Defined Ranges'!$C$28&amp;"Order"&amp;'Defined Ranges'!$C$29),3,FALSE),"")</f>
        <v/>
      </c>
      <c r="O242" s="103">
        <f t="shared" si="14"/>
        <v>39</v>
      </c>
      <c r="P242" s="103" cm="1">
        <f t="array" ref="P242">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42" s="103" t="str" cm="1">
        <f t="array" ref="Q242">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How do you report a suspicious activity?</v>
      </c>
      <c r="T242" s="103" t="s">
        <v>644</v>
      </c>
      <c r="U242" s="103" t="s">
        <v>210</v>
      </c>
      <c r="V242" s="103" t="s">
        <v>2057</v>
      </c>
      <c r="X242" s="103" t="s">
        <v>42</v>
      </c>
      <c r="Z242" s="103" t="s">
        <v>42</v>
      </c>
      <c r="AB242" s="103" t="s">
        <v>42</v>
      </c>
    </row>
    <row r="243" spans="4:28">
      <c r="D243" s="103" t="s">
        <v>1702</v>
      </c>
      <c r="E243" s="103" t="s">
        <v>2058</v>
      </c>
      <c r="F243" s="103">
        <v>2</v>
      </c>
      <c r="G243" s="103" t="s">
        <v>609</v>
      </c>
      <c r="H243" s="103" t="s">
        <v>2059</v>
      </c>
      <c r="I243" s="103" t="s">
        <v>2060</v>
      </c>
      <c r="M243" s="103" t="str">
        <f ca="1">IFERROR(VLOOKUP(Independent_MO_Only[[#This Row],[iWatch '#]],INDIRECT('Defined Ranges'!$C$28&amp;"Order"&amp;'Defined Ranges'!$C$29),2,FALSE),"")</f>
        <v/>
      </c>
      <c r="N243" s="103" t="str">
        <f ca="1">IFERROR(VLOOKUP(Independent_MO_Only[[#This Row],[iWatch '#]],INDIRECT('Defined Ranges'!$C$28&amp;"Order"&amp;'Defined Ranges'!$C$29),3,FALSE),"")</f>
        <v/>
      </c>
      <c r="O243" s="103">
        <f t="shared" si="14"/>
        <v>40</v>
      </c>
      <c r="P243" s="103" cm="1">
        <f t="array" ref="P243">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43" s="103" t="str" cm="1">
        <f t="array" ref="Q243">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DOCUMENT REQUIRED Training Log/LMS): If you have a newly hired operator, what process do they go through before selling MO? (Initial Training).
2)Where or how do you document these trainings?  
Make sure a specific comment is noted on the Training Log indicating Anti-Fraud training was delivered.
(You can use WU provided materials and resources, such as COS Kit, Regulatory Bulletins, Job Aids, and/or Agent Portal, or external materials).</v>
      </c>
      <c r="T243" s="103" t="s">
        <v>644</v>
      </c>
      <c r="U243" s="103" t="s">
        <v>210</v>
      </c>
      <c r="V243" s="103" t="s">
        <v>2061</v>
      </c>
      <c r="X243" s="103" t="s">
        <v>42</v>
      </c>
      <c r="Z243" s="103" t="s">
        <v>42</v>
      </c>
      <c r="AB243" s="103" t="s">
        <v>42</v>
      </c>
    </row>
    <row r="244" spans="4:28">
      <c r="D244" s="103" t="s">
        <v>1709</v>
      </c>
      <c r="E244" s="103" t="s">
        <v>2062</v>
      </c>
      <c r="L244" s="103" t="s">
        <v>2063</v>
      </c>
      <c r="M244" s="103" t="str">
        <f ca="1">IFERROR(VLOOKUP(Independent_MO_Only[[#This Row],[iWatch '#]],INDIRECT('Defined Ranges'!$C$28&amp;"Order"&amp;'Defined Ranges'!$C$29),2,FALSE),"")</f>
        <v/>
      </c>
      <c r="N244" s="103" t="str">
        <f ca="1">IFERROR(VLOOKUP(Independent_MO_Only[[#This Row],[iWatch '#]],INDIRECT('Defined Ranges'!$C$28&amp;"Order"&amp;'Defined Ranges'!$C$29),3,FALSE),"")</f>
        <v/>
      </c>
      <c r="O244" s="103">
        <f t="shared" si="14"/>
        <v>41</v>
      </c>
      <c r="P244" s="103" cm="1">
        <f t="array" ref="P244">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44" s="103" t="str" cm="1">
        <f t="array" ref="Q244">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FREE TEXT</v>
      </c>
      <c r="V244" s="103" t="s">
        <v>809</v>
      </c>
      <c r="X244" s="103" t="s">
        <v>42</v>
      </c>
      <c r="Z244" s="103" t="s">
        <v>42</v>
      </c>
      <c r="AB244" s="103" t="s">
        <v>42</v>
      </c>
    </row>
    <row r="245" spans="4:28">
      <c r="D245" s="103" t="s">
        <v>1712</v>
      </c>
      <c r="E245" s="103" t="s">
        <v>2064</v>
      </c>
      <c r="F245" s="103">
        <v>3</v>
      </c>
      <c r="G245" s="103" t="s">
        <v>581</v>
      </c>
      <c r="H245" s="103" t="s">
        <v>2065</v>
      </c>
      <c r="I245" s="103" t="s">
        <v>2066</v>
      </c>
      <c r="K245" s="103" t="s">
        <v>2067</v>
      </c>
      <c r="M245" s="103" t="str">
        <f ca="1">IFERROR(VLOOKUP(Independent_MO_Only[[#This Row],[iWatch '#]],INDIRECT('Defined Ranges'!$C$28&amp;"Order"&amp;'Defined Ranges'!$C$29),2,FALSE),"")</f>
        <v/>
      </c>
      <c r="N245" s="103" t="str">
        <f ca="1">IFERROR(VLOOKUP(Independent_MO_Only[[#This Row],[iWatch '#]],INDIRECT('Defined Ranges'!$C$28&amp;"Order"&amp;'Defined Ranges'!$C$29),3,FALSE),"")</f>
        <v/>
      </c>
      <c r="O245" s="103">
        <f t="shared" si="14"/>
        <v>42</v>
      </c>
      <c r="P245" s="103" cm="1">
        <f t="array" ref="P245">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45" s="103" t="str" cm="1">
        <f t="array" ref="Q245">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DOCUMENT REQUIRED Training Log/LMS: How often do you provide AML and Anti-Fraud refresher training to your regular employees?</v>
      </c>
      <c r="T245" s="103" t="s">
        <v>644</v>
      </c>
      <c r="U245" s="103" t="s">
        <v>210</v>
      </c>
      <c r="V245" s="103" t="s">
        <v>2068</v>
      </c>
      <c r="X245" s="103" t="s">
        <v>42</v>
      </c>
      <c r="Z245" s="103" t="s">
        <v>42</v>
      </c>
      <c r="AB245" s="103" t="s">
        <v>42</v>
      </c>
    </row>
    <row r="246" spans="4:28">
      <c r="D246" s="103" t="s">
        <v>2069</v>
      </c>
      <c r="E246" s="103" t="s">
        <v>2070</v>
      </c>
      <c r="F246" s="103">
        <v>2</v>
      </c>
      <c r="G246" s="103" t="s">
        <v>609</v>
      </c>
      <c r="H246" s="103" t="s">
        <v>2071</v>
      </c>
      <c r="I246" s="103" t="s">
        <v>2072</v>
      </c>
      <c r="M246" s="103" t="str">
        <f ca="1">IFERROR(VLOOKUP(Independent_MO_Only[[#This Row],[iWatch '#]],INDIRECT('Defined Ranges'!$C$28&amp;"Order"&amp;'Defined Ranges'!$C$29),2,FALSE),"")</f>
        <v/>
      </c>
      <c r="N246" s="103" t="str">
        <f ca="1">IFERROR(VLOOKUP(Independent_MO_Only[[#This Row],[iWatch '#]],INDIRECT('Defined Ranges'!$C$28&amp;"Order"&amp;'Defined Ranges'!$C$29),3,FALSE),"")</f>
        <v/>
      </c>
      <c r="O246" s="103">
        <f t="shared" si="14"/>
        <v>43</v>
      </c>
      <c r="P246" s="103" cm="1">
        <f t="array" ref="P246">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46" s="103" t="str" cm="1">
        <f t="array" ref="Q246">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DOCUMENT REQUIRED Training Log/LMS: This question will be answered based on training records (training logs, copies of completed/graded quizzes and/or Training Log documentation.</v>
      </c>
      <c r="T246" s="103" t="s">
        <v>698</v>
      </c>
      <c r="U246" s="103" t="s">
        <v>210</v>
      </c>
      <c r="V246" s="103" t="s">
        <v>2073</v>
      </c>
      <c r="X246" s="103" t="s">
        <v>42</v>
      </c>
      <c r="Z246" s="103" t="s">
        <v>42</v>
      </c>
      <c r="AB246" s="103" t="s">
        <v>42</v>
      </c>
    </row>
    <row r="247" spans="4:28">
      <c r="D247" s="103" t="s">
        <v>906</v>
      </c>
      <c r="E247" s="103" t="s">
        <v>2074</v>
      </c>
      <c r="F247" s="103">
        <v>2</v>
      </c>
      <c r="G247" s="103" t="s">
        <v>609</v>
      </c>
      <c r="H247" s="103" t="s">
        <v>2075</v>
      </c>
      <c r="I247" s="103" t="s">
        <v>2076</v>
      </c>
      <c r="M247" s="103">
        <f ca="1">IFERROR(VLOOKUP(Independent_MO_Only[[#This Row],[iWatch '#]],INDIRECT('Defined Ranges'!$C$28&amp;"Order"&amp;'Defined Ranges'!$C$29),2,FALSE),"")</f>
        <v>32</v>
      </c>
      <c r="N247" s="103">
        <f ca="1">IFERROR(VLOOKUP(Independent_MO_Only[[#This Row],[iWatch '#]],INDIRECT('Defined Ranges'!$C$28&amp;"Order"&amp;'Defined Ranges'!$C$29),3,FALSE),"")</f>
        <v>30</v>
      </c>
      <c r="O247" s="103">
        <f t="shared" si="14"/>
        <v>44</v>
      </c>
      <c r="P247" s="103" cm="1">
        <f t="array" ref="P247">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47" s="103" t="str" cm="1">
        <f t="array" ref="Q247">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DOCUMENTS REQUIRED P&amp;Ps: Answer by reviewing Agent's Policies and Procedures document (Suspicious Activity) prior or during the call.</v>
      </c>
      <c r="T247" s="103" t="s">
        <v>698</v>
      </c>
      <c r="U247" s="103" t="s">
        <v>199</v>
      </c>
      <c r="V247" s="103" t="s">
        <v>1047</v>
      </c>
      <c r="X247" s="103" t="s">
        <v>42</v>
      </c>
      <c r="Z247" s="103" t="s">
        <v>42</v>
      </c>
      <c r="AB247" s="103" t="s">
        <v>42</v>
      </c>
    </row>
    <row r="248" spans="4:28">
      <c r="D248" s="103" t="s">
        <v>914</v>
      </c>
      <c r="E248" s="103" t="s">
        <v>2077</v>
      </c>
      <c r="F248" s="103">
        <v>2</v>
      </c>
      <c r="G248" s="103" t="s">
        <v>609</v>
      </c>
      <c r="H248" s="103" t="s">
        <v>2078</v>
      </c>
      <c r="I248" s="103" t="s">
        <v>2079</v>
      </c>
      <c r="M248" s="103">
        <f ca="1">IFERROR(VLOOKUP(Independent_MO_Only[[#This Row],[iWatch '#]],INDIRECT('Defined Ranges'!$C$28&amp;"Order"&amp;'Defined Ranges'!$C$29),2,FALSE),"")</f>
        <v>33</v>
      </c>
      <c r="N248" s="103">
        <f ca="1">IFERROR(VLOOKUP(Independent_MO_Only[[#This Row],[iWatch '#]],INDIRECT('Defined Ranges'!$C$28&amp;"Order"&amp;'Defined Ranges'!$C$29),3,FALSE),"")</f>
        <v>31</v>
      </c>
      <c r="O248" s="103">
        <f t="shared" si="14"/>
        <v>45</v>
      </c>
      <c r="P248" s="103" cm="1">
        <f t="array" ref="P248">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48" s="103" t="str" cm="1">
        <f t="array" ref="Q248">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 xml:space="preserve">How do you report unusual/suspicious activity? (Submit a SAR – Suspicious Activity Report via BSA.
       a. What is the timeframe to send a SAR? (30 days from the event)
        b. Have you filed a SAR?
Are you familiar with the CTRs? </v>
      </c>
      <c r="T248" s="103" t="s">
        <v>698</v>
      </c>
      <c r="U248" s="103" t="s">
        <v>199</v>
      </c>
      <c r="V248" s="103" t="s">
        <v>2080</v>
      </c>
      <c r="X248" s="103" t="s">
        <v>42</v>
      </c>
      <c r="Z248" s="103" t="s">
        <v>42</v>
      </c>
      <c r="AB248" s="103" t="s">
        <v>42</v>
      </c>
    </row>
    <row r="249" spans="4:28">
      <c r="D249" s="103" t="s">
        <v>932</v>
      </c>
      <c r="E249" s="103" t="s">
        <v>2081</v>
      </c>
      <c r="F249" s="103">
        <v>2</v>
      </c>
      <c r="G249" s="103" t="s">
        <v>609</v>
      </c>
      <c r="H249" s="103" t="s">
        <v>2082</v>
      </c>
      <c r="I249" s="103" t="s">
        <v>2083</v>
      </c>
      <c r="M249" s="103">
        <f ca="1">IFERROR(VLOOKUP(Independent_MO_Only[[#This Row],[iWatch '#]],INDIRECT('Defined Ranges'!$C$28&amp;"Order"&amp;'Defined Ranges'!$C$29),2,FALSE),"")</f>
        <v>11</v>
      </c>
      <c r="N249" s="103">
        <f ca="1">IFERROR(VLOOKUP(Independent_MO_Only[[#This Row],[iWatch '#]],INDIRECT('Defined Ranges'!$C$28&amp;"Order"&amp;'Defined Ranges'!$C$29),3,FALSE),"")</f>
        <v>37</v>
      </c>
      <c r="O249" s="103">
        <f t="shared" si="14"/>
        <v>46</v>
      </c>
      <c r="P249" s="103" cm="1">
        <f t="array" ref="P249">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49" s="103" t="str" cm="1">
        <f t="array" ref="Q249">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DOCUMENT REQUIRED MCL: How do you conduct your monitoring process? How often? What information do you pay attention to? What patterns do you look for?
(WUPOS: go to other services and select transaction log, enter the date range for the period of time that you would like to review (weekly, biweekly or monthly), and you will have the report to review all transactions, you can sort names and amounts to look for possible suspicious patterns.)</v>
      </c>
      <c r="T249" s="103" t="s">
        <v>698</v>
      </c>
      <c r="U249" s="103" t="s">
        <v>181</v>
      </c>
      <c r="V249" s="103" t="s">
        <v>2084</v>
      </c>
      <c r="X249" s="103" t="s">
        <v>42</v>
      </c>
      <c r="Z249" s="103" t="s">
        <v>42</v>
      </c>
      <c r="AB249" s="103" t="s">
        <v>42</v>
      </c>
    </row>
    <row r="250" spans="4:28">
      <c r="D250" s="103" t="s">
        <v>941</v>
      </c>
      <c r="E250" s="103" t="s">
        <v>2085</v>
      </c>
      <c r="L250" s="103" t="s">
        <v>2086</v>
      </c>
      <c r="M250" s="103">
        <f ca="1">IFERROR(VLOOKUP(Independent_MO_Only[[#This Row],[iWatch '#]],INDIRECT('Defined Ranges'!$C$28&amp;"Order"&amp;'Defined Ranges'!$C$29),2,FALSE),"")</f>
        <v>14</v>
      </c>
      <c r="N250" s="103">
        <f ca="1">IFERROR(VLOOKUP(Independent_MO_Only[[#This Row],[iWatch '#]],INDIRECT('Defined Ranges'!$C$28&amp;"Order"&amp;'Defined Ranges'!$C$29),3,FALSE),"")</f>
        <v>38</v>
      </c>
      <c r="O250" s="103">
        <f t="shared" si="14"/>
        <v>47</v>
      </c>
      <c r="P250" s="103" cm="1">
        <f t="array" ref="P250">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50" s="103" t="str" cm="1">
        <f t="array" ref="Q250">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FREE TEXT</v>
      </c>
      <c r="V250" s="103" t="s">
        <v>809</v>
      </c>
      <c r="X250" s="103" t="s">
        <v>42</v>
      </c>
      <c r="Z250" s="103" t="s">
        <v>42</v>
      </c>
      <c r="AB250" s="103" t="s">
        <v>42</v>
      </c>
    </row>
    <row r="251" spans="4:28">
      <c r="D251" s="103" t="s">
        <v>950</v>
      </c>
      <c r="E251" s="103" t="s">
        <v>1179</v>
      </c>
      <c r="F251" s="103">
        <v>2</v>
      </c>
      <c r="G251" s="103" t="s">
        <v>609</v>
      </c>
      <c r="H251" s="103" t="s">
        <v>2087</v>
      </c>
      <c r="I251" s="103" t="s">
        <v>2088</v>
      </c>
      <c r="M251" s="103">
        <f ca="1">IFERROR(VLOOKUP(Independent_MO_Only[[#This Row],[iWatch '#]],INDIRECT('Defined Ranges'!$C$28&amp;"Order"&amp;'Defined Ranges'!$C$29),2,FALSE),"")</f>
        <v>13</v>
      </c>
      <c r="N251" s="103">
        <f ca="1">IFERROR(VLOOKUP(Independent_MO_Only[[#This Row],[iWatch '#]],INDIRECT('Defined Ranges'!$C$28&amp;"Order"&amp;'Defined Ranges'!$C$29),3,FALSE),"")</f>
        <v>39</v>
      </c>
      <c r="O251" s="103">
        <f t="shared" si="14"/>
        <v>48</v>
      </c>
      <c r="P251" s="103" cm="1">
        <f t="array" ref="P251">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51" s="103" t="str" cm="1">
        <f t="array" ref="Q251">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 xml:space="preserve">DOCUMENT REQUIRED MCL: Answer by reviewing Agent's MCL prior or during the call. </v>
      </c>
      <c r="T251" s="103" t="s">
        <v>698</v>
      </c>
      <c r="U251" s="103" t="s">
        <v>181</v>
      </c>
      <c r="V251" s="103" t="s">
        <v>2089</v>
      </c>
      <c r="X251" s="103" t="s">
        <v>42</v>
      </c>
      <c r="Z251" s="103" t="s">
        <v>42</v>
      </c>
      <c r="AB251" s="103" t="s">
        <v>42</v>
      </c>
    </row>
    <row r="252" spans="4:28">
      <c r="D252" s="103" t="s">
        <v>958</v>
      </c>
      <c r="E252" s="103" t="s">
        <v>1238</v>
      </c>
      <c r="F252" s="103">
        <v>2</v>
      </c>
      <c r="G252" s="103" t="s">
        <v>609</v>
      </c>
      <c r="H252" s="103" t="s">
        <v>2090</v>
      </c>
      <c r="I252" s="103" t="s">
        <v>2091</v>
      </c>
      <c r="M252" s="103">
        <f ca="1">IFERROR(VLOOKUP(Independent_MO_Only[[#This Row],[iWatch '#]],INDIRECT('Defined Ranges'!$C$28&amp;"Order"&amp;'Defined Ranges'!$C$29),2,FALSE),"")</f>
        <v>12</v>
      </c>
      <c r="N252" s="103">
        <f ca="1">IFERROR(VLOOKUP(Independent_MO_Only[[#This Row],[iWatch '#]],INDIRECT('Defined Ranges'!$C$28&amp;"Order"&amp;'Defined Ranges'!$C$29),3,FALSE),"")</f>
        <v>40</v>
      </c>
      <c r="O252" s="103">
        <f t="shared" si="14"/>
        <v>49</v>
      </c>
      <c r="P252" s="103" cm="1">
        <f t="array" ref="P252">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52" s="103" t="str" cm="1">
        <f t="array" ref="Q252">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DOCUMENTS REQUIRED MCL: Answer by reviewing if the monitoring documents prior or during the call.</v>
      </c>
      <c r="T252" s="103" t="s">
        <v>698</v>
      </c>
      <c r="U252" s="103" t="s">
        <v>181</v>
      </c>
      <c r="V252" s="103" t="s">
        <v>2092</v>
      </c>
      <c r="X252" s="103" t="s">
        <v>42</v>
      </c>
      <c r="Z252" s="103" t="s">
        <v>42</v>
      </c>
      <c r="AB252" s="103" t="s">
        <v>42</v>
      </c>
    </row>
    <row r="253" spans="4:28">
      <c r="D253" s="103" t="s">
        <v>1568</v>
      </c>
      <c r="E253" s="103" t="s">
        <v>2093</v>
      </c>
      <c r="F253" s="103">
        <v>2</v>
      </c>
      <c r="G253" s="103" t="s">
        <v>609</v>
      </c>
      <c r="H253" s="103" t="s">
        <v>2094</v>
      </c>
      <c r="I253" s="103" t="s">
        <v>2095</v>
      </c>
      <c r="M253" s="103" t="str">
        <f ca="1">IFERROR(VLOOKUP(Independent_MO_Only[[#This Row],[iWatch '#]],INDIRECT('Defined Ranges'!$C$28&amp;"Order"&amp;'Defined Ranges'!$C$29),2,FALSE),"")</f>
        <v/>
      </c>
      <c r="N253" s="103" t="str">
        <f ca="1">IFERROR(VLOOKUP(Independent_MO_Only[[#This Row],[iWatch '#]],INDIRECT('Defined Ranges'!$C$28&amp;"Order"&amp;'Defined Ranges'!$C$29),3,FALSE),"")</f>
        <v/>
      </c>
      <c r="O253" s="103">
        <f t="shared" si="14"/>
        <v>50</v>
      </c>
      <c r="P253" s="103" cm="1">
        <f t="array" ref="P253">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53" s="103" t="str" cm="1">
        <f t="array" ref="Q253">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DOCUMENT REQUIRED ID Addendum: Answer by reviewing Agent's Policies and Procedures document or receiving the ID Policy Addendum prior or during the call.</v>
      </c>
      <c r="T253" s="103" t="s">
        <v>698</v>
      </c>
      <c r="U253" s="103" t="s">
        <v>197</v>
      </c>
      <c r="V253" s="103" t="s">
        <v>2096</v>
      </c>
      <c r="X253" s="103" t="s">
        <v>42</v>
      </c>
      <c r="Z253" s="103" t="s">
        <v>42</v>
      </c>
      <c r="AB253" s="103" t="s">
        <v>42</v>
      </c>
    </row>
    <row r="254" spans="4:28">
      <c r="D254" s="103" t="s">
        <v>1576</v>
      </c>
      <c r="E254" s="103" t="s">
        <v>2097</v>
      </c>
      <c r="F254" s="103">
        <v>2</v>
      </c>
      <c r="G254" s="103" t="s">
        <v>609</v>
      </c>
      <c r="H254" s="103" t="s">
        <v>2098</v>
      </c>
      <c r="I254" s="103" t="s">
        <v>2099</v>
      </c>
      <c r="M254" s="103" t="str">
        <f ca="1">IFERROR(VLOOKUP(Independent_MO_Only[[#This Row],[iWatch '#]],INDIRECT('Defined Ranges'!$C$28&amp;"Order"&amp;'Defined Ranges'!$C$29),2,FALSE),"")</f>
        <v/>
      </c>
      <c r="N254" s="103" t="str">
        <f ca="1">IFERROR(VLOOKUP(Independent_MO_Only[[#This Row],[iWatch '#]],INDIRECT('Defined Ranges'!$C$28&amp;"Order"&amp;'Defined Ranges'!$C$29),3,FALSE),"")</f>
        <v/>
      </c>
      <c r="O254" s="103">
        <f t="shared" si="14"/>
        <v>51</v>
      </c>
      <c r="P254" s="103" cm="1">
        <f t="array" ref="P254">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54" s="103" t="str" cm="1">
        <f t="array" ref="Q254">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For how long do you keep the AML Compliance documents? (5 years)</v>
      </c>
      <c r="T254" s="103" t="s">
        <v>585</v>
      </c>
      <c r="U254" s="103" t="s">
        <v>197</v>
      </c>
      <c r="V254" s="103" t="s">
        <v>2100</v>
      </c>
      <c r="X254" s="103" t="s">
        <v>42</v>
      </c>
      <c r="Z254" s="103" t="s">
        <v>42</v>
      </c>
      <c r="AB254" s="103" t="s">
        <v>42</v>
      </c>
    </row>
    <row r="255" spans="4:28">
      <c r="D255" s="103" t="s">
        <v>1583</v>
      </c>
      <c r="E255" s="103" t="s">
        <v>2101</v>
      </c>
      <c r="F255" s="103">
        <v>2</v>
      </c>
      <c r="G255" s="103" t="s">
        <v>609</v>
      </c>
      <c r="H255" s="103" t="s">
        <v>2102</v>
      </c>
      <c r="I255" s="103" t="s">
        <v>2103</v>
      </c>
      <c r="M255" s="103" t="str">
        <f ca="1">IFERROR(VLOOKUP(Independent_MO_Only[[#This Row],[iWatch '#]],INDIRECT('Defined Ranges'!$C$28&amp;"Order"&amp;'Defined Ranges'!$C$29),2,FALSE),"")</f>
        <v/>
      </c>
      <c r="N255" s="103" t="str">
        <f ca="1">IFERROR(VLOOKUP(Independent_MO_Only[[#This Row],[iWatch '#]],INDIRECT('Defined Ranges'!$C$28&amp;"Order"&amp;'Defined Ranges'!$C$29),3,FALSE),"")</f>
        <v/>
      </c>
      <c r="O255" s="103">
        <f t="shared" si="14"/>
        <v>52</v>
      </c>
      <c r="P255" s="103" cm="1">
        <f t="array" ref="P255">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55" s="103" t="str" cm="1">
        <f t="array" ref="Q255">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For how long do you keep the WU physical Reports and other records? (5 years)</v>
      </c>
      <c r="T255" s="103" t="s">
        <v>644</v>
      </c>
      <c r="U255" s="103" t="s">
        <v>197</v>
      </c>
      <c r="V255" s="103" t="s">
        <v>2104</v>
      </c>
      <c r="X255" s="103" t="s">
        <v>42</v>
      </c>
      <c r="Z255" s="103" t="s">
        <v>42</v>
      </c>
      <c r="AB255" s="103" t="s">
        <v>42</v>
      </c>
    </row>
    <row r="256" spans="4:28">
      <c r="D256" s="103" t="s">
        <v>1216</v>
      </c>
      <c r="E256" s="103" t="s">
        <v>2105</v>
      </c>
      <c r="F256" s="103">
        <v>2</v>
      </c>
      <c r="G256" s="103" t="s">
        <v>609</v>
      </c>
      <c r="H256" s="103" t="s">
        <v>2106</v>
      </c>
      <c r="I256" s="103" t="s">
        <v>2107</v>
      </c>
      <c r="M256" s="103" t="str">
        <f ca="1">IFERROR(VLOOKUP(Independent_MO_Only[[#This Row],[iWatch '#]],INDIRECT('Defined Ranges'!$C$28&amp;"Order"&amp;'Defined Ranges'!$C$29),2,FALSE),"")</f>
        <v/>
      </c>
      <c r="N256" s="103" t="str">
        <f ca="1">IFERROR(VLOOKUP(Independent_MO_Only[[#This Row],[iWatch '#]],INDIRECT('Defined Ranges'!$C$28&amp;"Order"&amp;'Defined Ranges'!$C$29),3,FALSE),"")</f>
        <v/>
      </c>
      <c r="O256" s="103">
        <f t="shared" si="14"/>
        <v>53</v>
      </c>
      <c r="P256" s="103" cm="1">
        <f t="array" ref="P256">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56" s="103" t="str" cm="1">
        <f t="array" ref="Q256">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1. Where do you keep documents inside the store? When discussing the recordkeeping period for IRS audits, if Agent has any questions about IRS audit requirements, provide Agent Audit Support phone contact: Email: AgentAuditSupport@westernunion.com</v>
      </c>
      <c r="T256" s="103" t="s">
        <v>644</v>
      </c>
      <c r="U256" s="103" t="s">
        <v>197</v>
      </c>
      <c r="V256" s="103" t="s">
        <v>2108</v>
      </c>
      <c r="X256" s="103" t="s">
        <v>42</v>
      </c>
      <c r="Z256" s="103" t="s">
        <v>42</v>
      </c>
      <c r="AB256" s="103" t="s">
        <v>42</v>
      </c>
    </row>
    <row r="257" spans="4:56">
      <c r="D257" s="103" t="s">
        <v>1312</v>
      </c>
      <c r="E257" s="103" t="s">
        <v>2109</v>
      </c>
      <c r="F257" s="103">
        <v>2</v>
      </c>
      <c r="G257" s="103" t="s">
        <v>609</v>
      </c>
      <c r="H257" s="103" t="s">
        <v>2110</v>
      </c>
      <c r="I257" s="103" t="s">
        <v>2111</v>
      </c>
      <c r="M257" s="103" t="str">
        <f ca="1">IFERROR(VLOOKUP(Independent_MO_Only[[#This Row],[iWatch '#]],INDIRECT('Defined Ranges'!$C$28&amp;"Order"&amp;'Defined Ranges'!$C$29),2,FALSE),"")</f>
        <v/>
      </c>
      <c r="N257" s="103" t="str">
        <f ca="1">IFERROR(VLOOKUP(Independent_MO_Only[[#This Row],[iWatch '#]],INDIRECT('Defined Ranges'!$C$28&amp;"Order"&amp;'Defined Ranges'!$C$29),3,FALSE),"")</f>
        <v/>
      </c>
      <c r="O257" s="103">
        <f t="shared" si="14"/>
        <v>54</v>
      </c>
      <c r="P257" s="103" cm="1">
        <f t="array" ref="P257">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57" s="103" t="str" cm="1">
        <f t="array" ref="Q257">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 xml:space="preserve">What IDs do you accept as valid if I am purchasing 2K worth of MO?  </v>
      </c>
      <c r="T257" s="103" t="s">
        <v>644</v>
      </c>
      <c r="U257" s="103" t="s">
        <v>218</v>
      </c>
      <c r="V257" s="103" t="s">
        <v>2112</v>
      </c>
      <c r="X257" s="103" t="s">
        <v>42</v>
      </c>
      <c r="Z257" s="103" t="s">
        <v>42</v>
      </c>
      <c r="AB257" s="103" t="s">
        <v>42</v>
      </c>
    </row>
    <row r="258" spans="4:56">
      <c r="D258" s="103" t="s">
        <v>1326</v>
      </c>
      <c r="E258" s="103" t="s">
        <v>2113</v>
      </c>
      <c r="F258" s="103">
        <v>2</v>
      </c>
      <c r="G258" s="103" t="s">
        <v>609</v>
      </c>
      <c r="H258" s="103" t="s">
        <v>2114</v>
      </c>
      <c r="I258" s="103" t="s">
        <v>2115</v>
      </c>
      <c r="M258" s="103" t="str">
        <f ca="1">IFERROR(VLOOKUP(Independent_MO_Only[[#This Row],[iWatch '#]],INDIRECT('Defined Ranges'!$C$28&amp;"Order"&amp;'Defined Ranges'!$C$29),2,FALSE),"")</f>
        <v/>
      </c>
      <c r="N258" s="103" t="str">
        <f ca="1">IFERROR(VLOOKUP(Independent_MO_Only[[#This Row],[iWatch '#]],INDIRECT('Defined Ranges'!$C$28&amp;"Order"&amp;'Defined Ranges'!$C$29),3,FALSE),"")</f>
        <v/>
      </c>
      <c r="O258" s="103">
        <f t="shared" si="14"/>
        <v>55</v>
      </c>
      <c r="P258" s="103" cm="1">
        <f t="array" ref="P258">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58" s="103" t="str" cm="1">
        <f t="array" ref="Q258">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What information do you check on the ID once you have it in your hands? </v>
      </c>
      <c r="T258" s="103" t="s">
        <v>644</v>
      </c>
      <c r="U258" s="103" t="s">
        <v>218</v>
      </c>
      <c r="V258" s="103" t="s">
        <v>2116</v>
      </c>
      <c r="X258" s="103" t="s">
        <v>42</v>
      </c>
      <c r="Z258" s="103" t="s">
        <v>42</v>
      </c>
      <c r="AB258" s="103" t="s">
        <v>42</v>
      </c>
    </row>
    <row r="259" spans="4:56">
      <c r="D259" s="103" t="s">
        <v>1343</v>
      </c>
      <c r="E259" s="103" t="s">
        <v>2117</v>
      </c>
      <c r="F259" s="103">
        <v>4</v>
      </c>
      <c r="G259" s="103" t="s">
        <v>2118</v>
      </c>
      <c r="H259" s="103" t="s">
        <v>2119</v>
      </c>
      <c r="I259" s="103" t="s">
        <v>2120</v>
      </c>
      <c r="J259" s="103" t="s">
        <v>2121</v>
      </c>
      <c r="K259" s="103" t="s">
        <v>2122</v>
      </c>
      <c r="M259" s="103" t="str">
        <f ca="1">IFERROR(VLOOKUP(Independent_MO_Only[[#This Row],[iWatch '#]],INDIRECT('Defined Ranges'!$C$28&amp;"Order"&amp;'Defined Ranges'!$C$29),2,FALSE),"")</f>
        <v/>
      </c>
      <c r="N259" s="103" t="str">
        <f ca="1">IFERROR(VLOOKUP(Independent_MO_Only[[#This Row],[iWatch '#]],INDIRECT('Defined Ranges'!$C$28&amp;"Order"&amp;'Defined Ranges'!$C$29),3,FALSE),"")</f>
        <v/>
      </c>
      <c r="O259" s="103">
        <f t="shared" si="14"/>
        <v>56</v>
      </c>
      <c r="P259" s="103" cm="1">
        <f t="array" ref="P259">_xlfn.IFS(LSelected="English",Independent_MO_Only[[#This Row],[Verification Type English]],LSelected="Spanish",Independent_MO_Only[[#This Row],[Verification Type Spanish]],LSelected="French",Independent_MO_Only[[#This Row],[Verification Type French]],LSelected="Portuguese",Independent_MO_Only[[#This Row],[Verification Type Portuguese]])</f>
        <v>0</v>
      </c>
      <c r="Q259" s="103" t="str" cm="1">
        <f t="array" ref="Q259">_xlfn.IFS('Defined Ranges'!$C$27="English",Independent_MO_Only[[#This Row],[Suggested script English]],'Defined Ranges'!$C$27="Spanish",Independent_MO_Only[[#This Row],[Suggested script Spanish]],'Defined Ranges'!$C$27="French",Independent_MO_Only[[#This Row],[Suggested script French]],'Defined Ranges'!$C$27="Portuguese",Independent_MO_Only[[#This Row],[Suggested script Portuguese]])</f>
        <v>1) Is there any specific requirement for Money Order sales after certain amount?
2) Do you know what a Large Principal Money transfer (LPMT) is? / What process should I go through if I am sending $$ to XXX?
3) What happens if a client wants to send more than the amount allowed. Look out for splitting.</v>
      </c>
      <c r="T259" s="103" t="s">
        <v>853</v>
      </c>
      <c r="U259" s="103" t="s">
        <v>218</v>
      </c>
      <c r="V259" s="103" t="s">
        <v>2123</v>
      </c>
      <c r="X259" s="103" t="s">
        <v>42</v>
      </c>
      <c r="Z259" s="103" t="s">
        <v>42</v>
      </c>
      <c r="AB259" s="103" t="s">
        <v>42</v>
      </c>
    </row>
    <row r="270" spans="4:56" ht="29">
      <c r="D270" s="409" t="s">
        <v>69</v>
      </c>
      <c r="E270" s="385" t="s">
        <v>120</v>
      </c>
      <c r="F270" s="385" t="s">
        <v>552</v>
      </c>
      <c r="G270" s="385" t="s">
        <v>553</v>
      </c>
      <c r="H270" s="385" t="s">
        <v>554</v>
      </c>
      <c r="I270" s="385" t="s">
        <v>555</v>
      </c>
      <c r="J270" s="385" t="s">
        <v>556</v>
      </c>
      <c r="K270" s="385" t="s">
        <v>557</v>
      </c>
      <c r="L270" s="385" t="s">
        <v>558</v>
      </c>
      <c r="M270" s="385" t="s">
        <v>559</v>
      </c>
      <c r="N270" s="385" t="s">
        <v>115</v>
      </c>
      <c r="O270" s="385" t="s">
        <v>68</v>
      </c>
      <c r="P270" s="385" t="s">
        <v>560</v>
      </c>
      <c r="Q270" s="385" t="s">
        <v>561</v>
      </c>
      <c r="R270" s="410" t="s">
        <v>562</v>
      </c>
      <c r="S270" s="410" t="s">
        <v>563</v>
      </c>
      <c r="T270" s="385" t="s">
        <v>564</v>
      </c>
      <c r="U270" s="385" t="s">
        <v>565</v>
      </c>
      <c r="V270" s="385" t="s">
        <v>566</v>
      </c>
      <c r="W270" s="385" t="s">
        <v>567</v>
      </c>
      <c r="X270" s="385" t="s">
        <v>568</v>
      </c>
      <c r="Y270" s="385" t="s">
        <v>569</v>
      </c>
      <c r="Z270" s="385" t="s">
        <v>570</v>
      </c>
      <c r="AA270" s="385" t="s">
        <v>571</v>
      </c>
      <c r="AB270" s="411" t="s">
        <v>572</v>
      </c>
      <c r="AF270" s="414" t="s">
        <v>69</v>
      </c>
      <c r="AG270" s="414" t="s">
        <v>120</v>
      </c>
      <c r="AH270" s="414" t="s">
        <v>552</v>
      </c>
      <c r="AI270" s="414" t="s">
        <v>553</v>
      </c>
      <c r="AJ270" s="414" t="s">
        <v>573</v>
      </c>
      <c r="AK270" s="414" t="s">
        <v>574</v>
      </c>
      <c r="AL270" s="414" t="s">
        <v>575</v>
      </c>
      <c r="AM270" s="414" t="s">
        <v>557</v>
      </c>
      <c r="AN270" s="414" t="s">
        <v>558</v>
      </c>
      <c r="AO270" s="415" t="s">
        <v>559</v>
      </c>
      <c r="AP270" s="415" t="s">
        <v>115</v>
      </c>
      <c r="AQ270" s="415" t="s">
        <v>68</v>
      </c>
      <c r="AR270" s="415" t="s">
        <v>560</v>
      </c>
      <c r="AS270" s="415" t="s">
        <v>561</v>
      </c>
      <c r="AT270" s="414" t="s">
        <v>562</v>
      </c>
      <c r="AU270" s="414" t="s">
        <v>563</v>
      </c>
      <c r="AV270" s="414" t="s">
        <v>564</v>
      </c>
      <c r="AW270" s="414" t="s">
        <v>565</v>
      </c>
      <c r="AX270" s="414" t="s">
        <v>566</v>
      </c>
      <c r="AY270" s="414" t="s">
        <v>567</v>
      </c>
      <c r="AZ270" s="414" t="s">
        <v>568</v>
      </c>
      <c r="BA270" s="414" t="s">
        <v>569</v>
      </c>
      <c r="BB270" s="414" t="s">
        <v>570</v>
      </c>
      <c r="BC270" s="414" t="s">
        <v>571</v>
      </c>
      <c r="BD270" s="414" t="s">
        <v>572</v>
      </c>
    </row>
    <row r="271" spans="4:56">
      <c r="D271" s="103" t="s">
        <v>576</v>
      </c>
      <c r="E271" s="103" t="s">
        <v>2124</v>
      </c>
      <c r="H271" s="103" t="s">
        <v>578</v>
      </c>
      <c r="L271" s="355" t="str" cm="1">
        <f t="array" ref="L271">LocationInfo[WUCO
Name]</f>
        <v>enter manually</v>
      </c>
      <c r="M271" s="103">
        <f ca="1">IFERROR(VLOOKUP(Network_MO_Only[[#This Row],[iWatch '#]],INDIRECT('Defined Ranges'!$C$28&amp;"Order"&amp;'Defined Ranges'!$C$29),2,FALSE),"")</f>
        <v>1</v>
      </c>
      <c r="N271" s="103">
        <f ca="1">IFERROR(VLOOKUP(Network_MO_Only[[#This Row],[iWatch '#]],INDIRECT('Defined Ranges'!$C$28&amp;"Order"&amp;'Defined Ranges'!$C$29),3,FALSE),"")</f>
        <v>1</v>
      </c>
      <c r="O271" s="103">
        <v>1</v>
      </c>
      <c r="P271" s="103" cm="1">
        <f t="array" ref="P271">_xlfn.IFS(LSelected="English",Network_MO_Only[[#This Row],[Verification Type English]],LSelected="Spanish",Network_MO_Only[[#This Row],[Verification Type Spanish]],LSelected="French",Network_MO_Only[[#This Row],[Verification Type French]],LSelected="Portuguese",Network_MO_Only[[#This Row],[Verification Type Portuguese]])</f>
        <v>0</v>
      </c>
      <c r="AF271" s="103" t="s">
        <v>630</v>
      </c>
      <c r="AG271" s="103" t="s">
        <v>631</v>
      </c>
      <c r="AH271" s="103">
        <v>2</v>
      </c>
      <c r="AI271" s="103" t="s">
        <v>609</v>
      </c>
      <c r="AJ271" s="103" t="s">
        <v>632</v>
      </c>
      <c r="AK271" s="103" t="s">
        <v>633</v>
      </c>
      <c r="AM271" s="103" t="s">
        <v>634</v>
      </c>
      <c r="AO271" s="103" t="str">
        <f ca="1">IFERROR(VLOOKUP(Network_MO_Only_United_States[[#This Row],[iWatch '#]],INDIRECT('Defined Ranges'!$C$28&amp;"ROrder"&amp;'Defined Ranges'!$C$29),2,FALSE),"")</f>
        <v/>
      </c>
      <c r="AP271" s="103" t="str">
        <f ca="1">IFERROR(VLOOKUP(Network_MO_Only_United_States[[#This Row],[iWatch '#]],INDIRECT('Defined Ranges'!$C$28&amp;"ROrder"&amp;'Defined Ranges'!$C$29),3,FALSE),"")</f>
        <v/>
      </c>
      <c r="AQ271" s="103">
        <f ca="1">'Defined Ranges'!$D$23+1</f>
        <v>42</v>
      </c>
      <c r="AR271" s="103" cm="1">
        <f t="array" ref="AR271">_xlfn.IFS(LSelected="English",Network_MO_Only[[#This Row],[Verification Type English]],LSelected="Spanish",Network_MO_Only[[#This Row],[Verification Type Spanish]],LSelected="French",Network_MO_Only[[#This Row],[Verification Type French]],LSelected="Portuguese",Network_MO_Only[[#This Row],[Verification Type Portuguese]])</f>
        <v>0</v>
      </c>
      <c r="AV271" s="103" t="s">
        <v>585</v>
      </c>
      <c r="AW271" s="353" t="s">
        <v>141</v>
      </c>
    </row>
    <row r="272" spans="4:56">
      <c r="D272" s="103" t="s">
        <v>589</v>
      </c>
      <c r="E272" s="103" t="s">
        <v>1879</v>
      </c>
      <c r="H272" s="103" t="s">
        <v>591</v>
      </c>
      <c r="L272" s="400">
        <f>IF('Gen Info'!$B$7=0,"",'Gen Info'!$B$7)</f>
        <v>45902</v>
      </c>
      <c r="M272" s="103">
        <f ca="1">IFERROR(VLOOKUP(Network_MO_Only[[#This Row],[iWatch '#]],INDIRECT('Defined Ranges'!$C$28&amp;"Order"&amp;'Defined Ranges'!$C$29),2,FALSE),"")</f>
        <v>2</v>
      </c>
      <c r="N272" s="103">
        <f ca="1">IFERROR(VLOOKUP(Network_MO_Only[[#This Row],[iWatch '#]],INDIRECT('Defined Ranges'!$C$28&amp;"Order"&amp;'Defined Ranges'!$C$29),3,FALSE),"")</f>
        <v>2</v>
      </c>
      <c r="O272" s="103">
        <f>O271+1</f>
        <v>2</v>
      </c>
      <c r="P272" s="103" cm="1">
        <f t="array" ref="P272">_xlfn.IFS(LSelected="English",Network_MO_Only[[#This Row],[Verification Type English]],LSelected="Spanish",Network_MO_Only[[#This Row],[Verification Type Spanish]],LSelected="French",Network_MO_Only[[#This Row],[Verification Type French]],LSelected="Portuguese",Network_MO_Only[[#This Row],[Verification Type Portuguese]])</f>
        <v>0</v>
      </c>
      <c r="AF272" s="103" t="s">
        <v>579</v>
      </c>
      <c r="AG272" s="103" t="s">
        <v>732</v>
      </c>
      <c r="AH272" s="103">
        <v>2</v>
      </c>
      <c r="AI272" s="103" t="s">
        <v>609</v>
      </c>
      <c r="AJ272" s="103" t="s">
        <v>2125</v>
      </c>
      <c r="AK272" s="103" t="s">
        <v>2126</v>
      </c>
      <c r="AM272" s="103" t="s">
        <v>735</v>
      </c>
      <c r="AO272" s="103" t="str">
        <f ca="1">IFERROR(VLOOKUP(Network_MO_Only_United_States[[#This Row],[iWatch '#]],INDIRECT('Defined Ranges'!$C$28&amp;"ROrder"&amp;'Defined Ranges'!$C$29),2,FALSE),"")</f>
        <v/>
      </c>
      <c r="AP272" s="103" t="str">
        <f ca="1">IFERROR(VLOOKUP(Network_MO_Only_United_States[[#This Row],[iWatch '#]],INDIRECT('Defined Ranges'!$C$28&amp;"ROrder"&amp;'Defined Ranges'!$C$29),3,FALSE),"")</f>
        <v/>
      </c>
      <c r="AQ272" s="103">
        <f ca="1">AQ271+1</f>
        <v>43</v>
      </c>
      <c r="AR272" s="103" cm="1">
        <f t="array" ref="AR272">_xlfn.IFS(LSelected="English",Network_MO_Only[[#This Row],[Verification Type English]],LSelected="Spanish",Network_MO_Only[[#This Row],[Verification Type Spanish]],LSelected="French",Network_MO_Only[[#This Row],[Verification Type French]],LSelected="Portuguese",Network_MO_Only[[#This Row],[Verification Type Portuguese]])</f>
        <v>0</v>
      </c>
      <c r="AV272" s="103" t="s">
        <v>644</v>
      </c>
      <c r="AW272" s="103" t="s">
        <v>197</v>
      </c>
    </row>
    <row r="273" spans="4:49">
      <c r="D273" s="103" t="s">
        <v>598</v>
      </c>
      <c r="E273" s="103" t="s">
        <v>1884</v>
      </c>
      <c r="H273" s="103" t="s">
        <v>600</v>
      </c>
      <c r="L273" s="402" t="str">
        <f>'Call Flow'!$L$5</f>
        <v>Carlos Eduardo
carlos.cedillo@progressa.mx</v>
      </c>
      <c r="M273" s="103">
        <f ca="1">IFERROR(VLOOKUP(Network_MO_Only[[#This Row],[iWatch '#]],INDIRECT('Defined Ranges'!$C$28&amp;"Order"&amp;'Defined Ranges'!$C$29),2,FALSE),"")</f>
        <v>3</v>
      </c>
      <c r="N273" s="103">
        <f ca="1">IFERROR(VLOOKUP(Network_MO_Only[[#This Row],[iWatch '#]],INDIRECT('Defined Ranges'!$C$28&amp;"Order"&amp;'Defined Ranges'!$C$29),3,FALSE),"")</f>
        <v>3</v>
      </c>
      <c r="O273" s="103">
        <f t="shared" ref="O273:O295" si="16">O272+1</f>
        <v>3</v>
      </c>
      <c r="P273" s="103" cm="1">
        <f t="array" ref="P273">_xlfn.IFS(LSelected="English",Network_MO_Only[[#This Row],[Verification Type English]],LSelected="Spanish",Network_MO_Only[[#This Row],[Verification Type Spanish]],LSelected="French",Network_MO_Only[[#This Row],[Verification Type French]],LSelected="Portuguese",Network_MO_Only[[#This Row],[Verification Type Portuguese]])</f>
        <v>0</v>
      </c>
      <c r="AF273" s="103" t="s">
        <v>592</v>
      </c>
      <c r="AG273" s="103" t="s">
        <v>647</v>
      </c>
      <c r="AH273" s="103">
        <v>2</v>
      </c>
      <c r="AI273" s="103" t="s">
        <v>609</v>
      </c>
      <c r="AJ273" s="103" t="s">
        <v>648</v>
      </c>
      <c r="AK273" s="103" t="s">
        <v>649</v>
      </c>
      <c r="AO273" s="103" t="str">
        <f ca="1">IFERROR(VLOOKUP(Network_MO_Only_United_States[[#This Row],[iWatch '#]],INDIRECT('Defined Ranges'!$C$28&amp;"ROrder"&amp;'Defined Ranges'!$C$29),2,FALSE),"")</f>
        <v/>
      </c>
      <c r="AP273" s="103" t="str">
        <f ca="1">IFERROR(VLOOKUP(Network_MO_Only_United_States[[#This Row],[iWatch '#]],INDIRECT('Defined Ranges'!$C$28&amp;"ROrder"&amp;'Defined Ranges'!$C$29),3,FALSE),"")</f>
        <v/>
      </c>
      <c r="AQ273" s="103">
        <f t="shared" ref="AQ273:AQ274" ca="1" si="17">AQ272+1</f>
        <v>44</v>
      </c>
      <c r="AR273" s="103" cm="1">
        <f t="array" ref="AR273">_xlfn.IFS(LSelected="English",Network_MO_Only[[#This Row],[Verification Type English]],LSelected="Spanish",Network_MO_Only[[#This Row],[Verification Type Spanish]],LSelected="French",Network_MO_Only[[#This Row],[Verification Type French]],LSelected="Portuguese",Network_MO_Only[[#This Row],[Verification Type Portuguese]])</f>
        <v>0</v>
      </c>
      <c r="AV273" s="103" t="s">
        <v>585</v>
      </c>
      <c r="AW273" s="103" t="s">
        <v>197</v>
      </c>
    </row>
    <row r="274" spans="4:49">
      <c r="D274" s="103" t="s">
        <v>607</v>
      </c>
      <c r="E274" s="103" t="s">
        <v>608</v>
      </c>
      <c r="H274" s="103" t="s">
        <v>1616</v>
      </c>
      <c r="I274" s="103" t="s">
        <v>1617</v>
      </c>
      <c r="M274" s="103">
        <f ca="1">IFERROR(VLOOKUP(Network_MO_Only[[#This Row],[iWatch '#]],INDIRECT('Defined Ranges'!$C$28&amp;"Order"&amp;'Defined Ranges'!$C$29),2,FALSE),"")</f>
        <v>39</v>
      </c>
      <c r="N274" s="103">
        <f ca="1">IFERROR(VLOOKUP(Network_MO_Only[[#This Row],[iWatch '#]],INDIRECT('Defined Ranges'!$C$28&amp;"Order"&amp;'Defined Ranges'!$C$29),3,FALSE),"")</f>
        <v>4</v>
      </c>
      <c r="O274" s="103">
        <f t="shared" si="16"/>
        <v>4</v>
      </c>
      <c r="P274" s="103" cm="1">
        <f t="array" ref="P274">_xlfn.IFS(LSelected="English",Network_MO_Only[[#This Row],[Verification Type English]],LSelected="Spanish",Network_MO_Only[[#This Row],[Verification Type Spanish]],LSelected="French",Network_MO_Only[[#This Row],[Verification Type French]],LSelected="Portuguese",Network_MO_Only[[#This Row],[Verification Type Portuguese]])</f>
        <v>0</v>
      </c>
      <c r="AF274" s="103" t="s">
        <v>601</v>
      </c>
      <c r="AG274" s="103" t="s">
        <v>1858</v>
      </c>
      <c r="AH274" s="103">
        <v>2</v>
      </c>
      <c r="AI274" s="103" t="s">
        <v>609</v>
      </c>
      <c r="AJ274" s="103" t="s">
        <v>657</v>
      </c>
      <c r="AK274" s="103" t="s">
        <v>2127</v>
      </c>
      <c r="AO274" s="103" t="str">
        <f ca="1">IFERROR(VLOOKUP(Network_MO_Only_United_States[[#This Row],[iWatch '#]],INDIRECT('Defined Ranges'!$C$28&amp;"ROrder"&amp;'Defined Ranges'!$C$29),2,FALSE),"")</f>
        <v/>
      </c>
      <c r="AP274" s="103" t="str">
        <f ca="1">IFERROR(VLOOKUP(Network_MO_Only_United_States[[#This Row],[iWatch '#]],INDIRECT('Defined Ranges'!$C$28&amp;"ROrder"&amp;'Defined Ranges'!$C$29),3,FALSE),"")</f>
        <v/>
      </c>
      <c r="AQ274" s="103">
        <f t="shared" ca="1" si="17"/>
        <v>45</v>
      </c>
      <c r="AR274" s="103" cm="1">
        <f t="array" ref="AR274">_xlfn.IFS(LSelected="English",Network_MO_Only[[#This Row],[Verification Type English]],LSelected="Spanish",Network_MO_Only[[#This Row],[Verification Type Spanish]],LSelected="French",Network_MO_Only[[#This Row],[Verification Type French]],LSelected="Portuguese",Network_MO_Only[[#This Row],[Verification Type Portuguese]])</f>
        <v>0</v>
      </c>
      <c r="AV274" s="103" t="s">
        <v>644</v>
      </c>
      <c r="AW274" s="103" t="s">
        <v>197</v>
      </c>
    </row>
    <row r="275" spans="4:49">
      <c r="D275" s="103" t="s">
        <v>618</v>
      </c>
      <c r="E275" s="103" t="s">
        <v>2128</v>
      </c>
      <c r="H275" s="103" t="s">
        <v>2129</v>
      </c>
      <c r="M275" s="103">
        <f ca="1">IFERROR(VLOOKUP(Network_MO_Only[[#This Row],[iWatch '#]],INDIRECT('Defined Ranges'!$C$28&amp;"Order"&amp;'Defined Ranges'!$C$29),2,FALSE),"")</f>
        <v>40</v>
      </c>
      <c r="N275" s="103">
        <f ca="1">IFERROR(VLOOKUP(Network_MO_Only[[#This Row],[iWatch '#]],INDIRECT('Defined Ranges'!$C$28&amp;"Order"&amp;'Defined Ranges'!$C$29),3,FALSE),"")</f>
        <v>5</v>
      </c>
      <c r="O275" s="103">
        <f t="shared" si="16"/>
        <v>5</v>
      </c>
      <c r="P275" s="103" cm="1">
        <f t="array" ref="P275">_xlfn.IFS(LSelected="English",Network_MO_Only[[#This Row],[Verification Type English]],LSelected="Spanish",Network_MO_Only[[#This Row],[Verification Type Spanish]],LSelected="French",Network_MO_Only[[#This Row],[Verification Type French]],LSelected="Portuguese",Network_MO_Only[[#This Row],[Verification Type Portuguese]])</f>
        <v>0</v>
      </c>
    </row>
    <row r="276" spans="4:49">
      <c r="D276" s="103" t="s">
        <v>628</v>
      </c>
      <c r="E276" s="103" t="s">
        <v>2130</v>
      </c>
      <c r="H276" s="103" t="s">
        <v>1539</v>
      </c>
      <c r="M276" s="103">
        <f ca="1">IFERROR(VLOOKUP(Network_MO_Only[[#This Row],[iWatch '#]],INDIRECT('Defined Ranges'!$C$28&amp;"Order"&amp;'Defined Ranges'!$C$29),2,FALSE),"")</f>
        <v>41</v>
      </c>
      <c r="N276" s="103">
        <f ca="1">IFERROR(VLOOKUP(Network_MO_Only[[#This Row],[iWatch '#]],INDIRECT('Defined Ranges'!$C$28&amp;"Order"&amp;'Defined Ranges'!$C$29),3,FALSE),"")</f>
        <v>6</v>
      </c>
      <c r="O276" s="103">
        <f t="shared" si="16"/>
        <v>6</v>
      </c>
      <c r="P276" s="103" cm="1">
        <f t="array" ref="P276">_xlfn.IFS(LSelected="English",Network_MO_Only[[#This Row],[Verification Type English]],LSelected="Spanish",Network_MO_Only[[#This Row],[Verification Type Spanish]],LSelected="French",Network_MO_Only[[#This Row],[Verification Type French]],LSelected="Portuguese",Network_MO_Only[[#This Row],[Verification Type Portuguese]])</f>
        <v>0</v>
      </c>
    </row>
    <row r="277" spans="4:49">
      <c r="D277" s="103" t="s">
        <v>638</v>
      </c>
      <c r="E277" s="103" t="s">
        <v>2131</v>
      </c>
      <c r="F277" s="103">
        <v>2</v>
      </c>
      <c r="G277" s="103" t="s">
        <v>609</v>
      </c>
      <c r="H277" s="103" t="s">
        <v>2132</v>
      </c>
      <c r="I277" s="103" t="s">
        <v>2133</v>
      </c>
      <c r="K277" s="103" t="s">
        <v>2134</v>
      </c>
      <c r="M277" s="103">
        <f ca="1">IFERROR(VLOOKUP(Network_MO_Only[[#This Row],[iWatch '#]],INDIRECT('Defined Ranges'!$C$28&amp;"Order"&amp;'Defined Ranges'!$C$29),2,FALSE),"")</f>
        <v>4</v>
      </c>
      <c r="N277" s="103">
        <f ca="1">IFERROR(VLOOKUP(Network_MO_Only[[#This Row],[iWatch '#]],INDIRECT('Defined Ranges'!$C$28&amp;"Order"&amp;'Defined Ranges'!$C$29),3,FALSE),"")</f>
        <v>7</v>
      </c>
      <c r="O277" s="103">
        <f t="shared" si="16"/>
        <v>7</v>
      </c>
      <c r="P277" s="103" cm="1">
        <f t="array" ref="P277">_xlfn.IFS(LSelected="English",Network_MO_Only[[#This Row],[Verification Type English]],LSelected="Spanish",Network_MO_Only[[#This Row],[Verification Type Spanish]],LSelected="French",Network_MO_Only[[#This Row],[Verification Type French]],LSelected="Portuguese",Network_MO_Only[[#This Row],[Verification Type Portuguese]])</f>
        <v>0</v>
      </c>
      <c r="T277" s="103" t="s">
        <v>644</v>
      </c>
      <c r="U277" s="353" t="s">
        <v>146</v>
      </c>
    </row>
    <row r="278" spans="4:49">
      <c r="D278" s="103" t="s">
        <v>652</v>
      </c>
      <c r="E278" s="103" t="s">
        <v>653</v>
      </c>
      <c r="M278" s="103">
        <f ca="1">IFERROR(VLOOKUP(Network_MO_Only[[#This Row],[iWatch '#]],INDIRECT('Defined Ranges'!$C$28&amp;"Order"&amp;'Defined Ranges'!$C$29),2,FALSE),"")</f>
        <v>5</v>
      </c>
      <c r="N278" s="103">
        <f ca="1">IFERROR(VLOOKUP(Network_MO_Only[[#This Row],[iWatch '#]],INDIRECT('Defined Ranges'!$C$28&amp;"Order"&amp;'Defined Ranges'!$C$29),3,FALSE),"")</f>
        <v>8</v>
      </c>
      <c r="O278" s="103">
        <f t="shared" si="16"/>
        <v>8</v>
      </c>
      <c r="P278" s="103" cm="1">
        <f t="array" ref="P278">_xlfn.IFS(LSelected="English",Network_MO_Only[[#This Row],[Verification Type English]],LSelected="Spanish",Network_MO_Only[[#This Row],[Verification Type Spanish]],LSelected="French",Network_MO_Only[[#This Row],[Verification Type French]],LSelected="Portuguese",Network_MO_Only[[#This Row],[Verification Type Portuguese]])</f>
        <v>0</v>
      </c>
    </row>
    <row r="279" spans="4:49">
      <c r="D279" s="103" t="s">
        <v>661</v>
      </c>
      <c r="E279" s="103" t="s">
        <v>2135</v>
      </c>
      <c r="F279" s="103">
        <v>2</v>
      </c>
      <c r="G279" s="103" t="s">
        <v>609</v>
      </c>
      <c r="H279" s="103" t="s">
        <v>2136</v>
      </c>
      <c r="I279" s="103" t="s">
        <v>2137</v>
      </c>
      <c r="M279" s="103">
        <f ca="1">IFERROR(VLOOKUP(Network_MO_Only[[#This Row],[iWatch '#]],INDIRECT('Defined Ranges'!$C$28&amp;"Order"&amp;'Defined Ranges'!$C$29),2,FALSE),"")</f>
        <v>6</v>
      </c>
      <c r="N279" s="103">
        <f ca="1">IFERROR(VLOOKUP(Network_MO_Only[[#This Row],[iWatch '#]],INDIRECT('Defined Ranges'!$C$28&amp;"Order"&amp;'Defined Ranges'!$C$29),3,FALSE),"")</f>
        <v>9</v>
      </c>
      <c r="O279" s="103">
        <f t="shared" si="16"/>
        <v>9</v>
      </c>
      <c r="P279" s="103" cm="1">
        <f t="array" ref="P279">_xlfn.IFS(LSelected="English",Network_MO_Only[[#This Row],[Verification Type English]],LSelected="Spanish",Network_MO_Only[[#This Row],[Verification Type Spanish]],LSelected="French",Network_MO_Only[[#This Row],[Verification Type French]],LSelected="Portuguese",Network_MO_Only[[#This Row],[Verification Type Portuguese]])</f>
        <v>0</v>
      </c>
      <c r="T279" s="103" t="s">
        <v>585</v>
      </c>
      <c r="U279" s="353" t="s">
        <v>141</v>
      </c>
    </row>
    <row r="280" spans="4:49">
      <c r="D280" s="103" t="s">
        <v>677</v>
      </c>
      <c r="E280" s="103" t="s">
        <v>2138</v>
      </c>
      <c r="F280" s="435">
        <v>7</v>
      </c>
      <c r="G280" s="435" t="s">
        <v>1058</v>
      </c>
      <c r="H280" s="103" t="s">
        <v>2139</v>
      </c>
      <c r="I280" s="103" t="s">
        <v>2140</v>
      </c>
      <c r="M280" s="103">
        <f ca="1">IFERROR(VLOOKUP(Network_MO_Only[[#This Row],[iWatch '#]],INDIRECT('Defined Ranges'!$C$28&amp;"Order"&amp;'Defined Ranges'!$C$29),2,FALSE),"")</f>
        <v>7</v>
      </c>
      <c r="N280" s="103">
        <f ca="1">IFERROR(VLOOKUP(Network_MO_Only[[#This Row],[iWatch '#]],INDIRECT('Defined Ranges'!$C$28&amp;"Order"&amp;'Defined Ranges'!$C$29),3,FALSE),"")</f>
        <v>10</v>
      </c>
      <c r="O280" s="103">
        <f t="shared" si="16"/>
        <v>10</v>
      </c>
      <c r="P280" s="103" cm="1">
        <f t="array" ref="P280">_xlfn.IFS(LSelected="English",Network_MO_Only[[#This Row],[Verification Type English]],LSelected="Spanish",Network_MO_Only[[#This Row],[Verification Type Spanish]],LSelected="French",Network_MO_Only[[#This Row],[Verification Type French]],LSelected="Portuguese",Network_MO_Only[[#This Row],[Verification Type Portuguese]])</f>
        <v>0</v>
      </c>
      <c r="T280" s="436" t="s">
        <v>698</v>
      </c>
      <c r="U280" s="353" t="s">
        <v>141</v>
      </c>
    </row>
    <row r="281" spans="4:49">
      <c r="D281" s="103" t="s">
        <v>693</v>
      </c>
      <c r="E281" s="103" t="s">
        <v>2141</v>
      </c>
      <c r="F281" s="103">
        <v>2</v>
      </c>
      <c r="G281" s="103" t="s">
        <v>609</v>
      </c>
      <c r="H281" s="103" t="s">
        <v>2142</v>
      </c>
      <c r="I281" s="103" t="s">
        <v>2143</v>
      </c>
      <c r="M281" s="103">
        <f ca="1">IFERROR(VLOOKUP(Network_MO_Only[[#This Row],[iWatch '#]],INDIRECT('Defined Ranges'!$C$28&amp;"Order"&amp;'Defined Ranges'!$C$29),2,FALSE),"")</f>
        <v>19</v>
      </c>
      <c r="N281" s="103">
        <f ca="1">IFERROR(VLOOKUP(Network_MO_Only[[#This Row],[iWatch '#]],INDIRECT('Defined Ranges'!$C$28&amp;"Order"&amp;'Defined Ranges'!$C$29),3,FALSE),"")</f>
        <v>11</v>
      </c>
      <c r="O281" s="103">
        <f t="shared" si="16"/>
        <v>11</v>
      </c>
      <c r="P281" s="103" cm="1">
        <f t="array" ref="P281">_xlfn.IFS(LSelected="English",Network_MO_Only[[#This Row],[Verification Type English]],LSelected="Spanish",Network_MO_Only[[#This Row],[Verification Type Spanish]],LSelected="French",Network_MO_Only[[#This Row],[Verification Type French]],LSelected="Portuguese",Network_MO_Only[[#This Row],[Verification Type Portuguese]])</f>
        <v>0</v>
      </c>
      <c r="T281" s="103" t="s">
        <v>644</v>
      </c>
      <c r="U281" s="353" t="s">
        <v>141</v>
      </c>
    </row>
    <row r="282" spans="4:49">
      <c r="D282" s="103" t="s">
        <v>711</v>
      </c>
      <c r="E282" s="103" t="s">
        <v>712</v>
      </c>
      <c r="F282" s="103">
        <v>2</v>
      </c>
      <c r="G282" s="103" t="s">
        <v>609</v>
      </c>
      <c r="H282" s="103" t="s">
        <v>2144</v>
      </c>
      <c r="I282" s="103" t="s">
        <v>1359</v>
      </c>
      <c r="M282" s="103">
        <f ca="1">IFERROR(VLOOKUP(Network_MO_Only[[#This Row],[iWatch '#]],INDIRECT('Defined Ranges'!$C$28&amp;"Order"&amp;'Defined Ranges'!$C$29),2,FALSE),"")</f>
        <v>27</v>
      </c>
      <c r="N282" s="103">
        <f ca="1">IFERROR(VLOOKUP(Network_MO_Only[[#This Row],[iWatch '#]],INDIRECT('Defined Ranges'!$C$28&amp;"Order"&amp;'Defined Ranges'!$C$29),3,FALSE),"")</f>
        <v>12</v>
      </c>
      <c r="O282" s="103">
        <f t="shared" si="16"/>
        <v>12</v>
      </c>
      <c r="P282" s="103" cm="1">
        <f t="array" ref="P282">_xlfn.IFS(LSelected="English",Network_MO_Only[[#This Row],[Verification Type English]],LSelected="Spanish",Network_MO_Only[[#This Row],[Verification Type Spanish]],LSelected="French",Network_MO_Only[[#This Row],[Verification Type French]],LSelected="Portuguese",Network_MO_Only[[#This Row],[Verification Type Portuguese]])</f>
        <v>0</v>
      </c>
      <c r="T282" s="103" t="s">
        <v>644</v>
      </c>
      <c r="U282" s="353" t="s">
        <v>163</v>
      </c>
    </row>
    <row r="283" spans="4:49">
      <c r="D283" s="103" t="s">
        <v>723</v>
      </c>
      <c r="E283" s="103" t="s">
        <v>1363</v>
      </c>
      <c r="F283" s="103">
        <v>2</v>
      </c>
      <c r="G283" s="103" t="s">
        <v>609</v>
      </c>
      <c r="H283" s="103" t="s">
        <v>2145</v>
      </c>
      <c r="I283" s="103" t="s">
        <v>2146</v>
      </c>
      <c r="M283" s="103">
        <f ca="1">IFERROR(VLOOKUP(Network_MO_Only[[#This Row],[iWatch '#]],INDIRECT('Defined Ranges'!$C$28&amp;"Order"&amp;'Defined Ranges'!$C$29),2,FALSE),"")</f>
        <v>28</v>
      </c>
      <c r="N283" s="103">
        <f ca="1">IFERROR(VLOOKUP(Network_MO_Only[[#This Row],[iWatch '#]],INDIRECT('Defined Ranges'!$C$28&amp;"Order"&amp;'Defined Ranges'!$C$29),3,FALSE),"")</f>
        <v>13</v>
      </c>
      <c r="O283" s="103">
        <f t="shared" si="16"/>
        <v>13</v>
      </c>
      <c r="P283" s="103" cm="1">
        <f t="array" ref="P283">_xlfn.IFS(LSelected="English",Network_MO_Only[[#This Row],[Verification Type English]],LSelected="Spanish",Network_MO_Only[[#This Row],[Verification Type Spanish]],LSelected="French",Network_MO_Only[[#This Row],[Verification Type French]],LSelected="Portuguese",Network_MO_Only[[#This Row],[Verification Type Portuguese]])</f>
        <v>0</v>
      </c>
      <c r="T283" s="103" t="s">
        <v>644</v>
      </c>
      <c r="U283" s="353" t="s">
        <v>163</v>
      </c>
    </row>
    <row r="284" spans="4:49">
      <c r="D284" s="103" t="s">
        <v>738</v>
      </c>
      <c r="E284" s="103" t="s">
        <v>1370</v>
      </c>
      <c r="F284" s="103">
        <v>2</v>
      </c>
      <c r="G284" s="103" t="s">
        <v>609</v>
      </c>
      <c r="H284" s="103" t="s">
        <v>2147</v>
      </c>
      <c r="I284" s="103" t="s">
        <v>741</v>
      </c>
      <c r="M284" s="103">
        <f ca="1">IFERROR(VLOOKUP(Network_MO_Only[[#This Row],[iWatch '#]],INDIRECT('Defined Ranges'!$C$28&amp;"Order"&amp;'Defined Ranges'!$C$29),2,FALSE),"")</f>
        <v>29</v>
      </c>
      <c r="N284" s="103">
        <f ca="1">IFERROR(VLOOKUP(Network_MO_Only[[#This Row],[iWatch '#]],INDIRECT('Defined Ranges'!$C$28&amp;"Order"&amp;'Defined Ranges'!$C$29),3,FALSE),"")</f>
        <v>14</v>
      </c>
      <c r="O284" s="103">
        <f t="shared" si="16"/>
        <v>14</v>
      </c>
      <c r="P284" s="103" cm="1">
        <f t="array" ref="P284">_xlfn.IFS(LSelected="English",Network_MO_Only[[#This Row],[Verification Type English]],LSelected="Spanish",Network_MO_Only[[#This Row],[Verification Type Spanish]],LSelected="French",Network_MO_Only[[#This Row],[Verification Type French]],LSelected="Portuguese",Network_MO_Only[[#This Row],[Verification Type Portuguese]])</f>
        <v>0</v>
      </c>
      <c r="T284" s="103" t="s">
        <v>644</v>
      </c>
      <c r="U284" s="353" t="s">
        <v>163</v>
      </c>
    </row>
    <row r="285" spans="4:49">
      <c r="D285" s="103" t="s">
        <v>753</v>
      </c>
      <c r="E285" s="103" t="s">
        <v>2148</v>
      </c>
      <c r="F285" s="103">
        <v>2</v>
      </c>
      <c r="G285" s="103" t="s">
        <v>609</v>
      </c>
      <c r="H285" s="103" t="s">
        <v>2149</v>
      </c>
      <c r="I285" s="103" t="s">
        <v>2150</v>
      </c>
      <c r="M285" s="103">
        <f ca="1">IFERROR(VLOOKUP(Network_MO_Only[[#This Row],[iWatch '#]],INDIRECT('Defined Ranges'!$C$28&amp;"Order"&amp;'Defined Ranges'!$C$29),2,FALSE),"")</f>
        <v>25</v>
      </c>
      <c r="N285" s="103">
        <f ca="1">IFERROR(VLOOKUP(Network_MO_Only[[#This Row],[iWatch '#]],INDIRECT('Defined Ranges'!$C$28&amp;"Order"&amp;'Defined Ranges'!$C$29),3,FALSE),"")</f>
        <v>15</v>
      </c>
      <c r="O285" s="103">
        <f t="shared" si="16"/>
        <v>15</v>
      </c>
      <c r="P285" s="103" cm="1">
        <f t="array" ref="P285">_xlfn.IFS(LSelected="English",Network_MO_Only[[#This Row],[Verification Type English]],LSelected="Spanish",Network_MO_Only[[#This Row],[Verification Type Spanish]],LSelected="French",Network_MO_Only[[#This Row],[Verification Type French]],LSelected="Portuguese",Network_MO_Only[[#This Row],[Verification Type Portuguese]])</f>
        <v>0</v>
      </c>
      <c r="T285" s="103" t="s">
        <v>644</v>
      </c>
      <c r="U285" s="353" t="s">
        <v>163</v>
      </c>
    </row>
    <row r="286" spans="4:49">
      <c r="D286" s="103" t="s">
        <v>761</v>
      </c>
      <c r="E286" s="103" t="s">
        <v>2151</v>
      </c>
      <c r="F286" s="103">
        <v>2</v>
      </c>
      <c r="G286" s="103" t="s">
        <v>609</v>
      </c>
      <c r="H286" s="103" t="s">
        <v>2152</v>
      </c>
      <c r="I286" s="103" t="s">
        <v>2153</v>
      </c>
      <c r="M286" s="103">
        <f ca="1">IFERROR(VLOOKUP(Network_MO_Only[[#This Row],[iWatch '#]],INDIRECT('Defined Ranges'!$C$28&amp;"Order"&amp;'Defined Ranges'!$C$29),2,FALSE),"")</f>
        <v>26</v>
      </c>
      <c r="N286" s="103">
        <f ca="1">IFERROR(VLOOKUP(Network_MO_Only[[#This Row],[iWatch '#]],INDIRECT('Defined Ranges'!$C$28&amp;"Order"&amp;'Defined Ranges'!$C$29),3,FALSE),"")</f>
        <v>16</v>
      </c>
      <c r="O286" s="103">
        <f t="shared" si="16"/>
        <v>16</v>
      </c>
      <c r="P286" s="103" cm="1">
        <f t="array" ref="P286">_xlfn.IFS(LSelected="English",Network_MO_Only[[#This Row],[Verification Type English]],LSelected="Spanish",Network_MO_Only[[#This Row],[Verification Type Spanish]],LSelected="French",Network_MO_Only[[#This Row],[Verification Type French]],LSelected="Portuguese",Network_MO_Only[[#This Row],[Verification Type Portuguese]])</f>
        <v>0</v>
      </c>
      <c r="S286"/>
      <c r="T286" s="439" t="s">
        <v>853</v>
      </c>
      <c r="U286" s="353" t="s">
        <v>163</v>
      </c>
    </row>
    <row r="287" spans="4:49">
      <c r="D287" s="103" t="s">
        <v>797</v>
      </c>
      <c r="E287" s="103" t="s">
        <v>2154</v>
      </c>
      <c r="F287" s="103">
        <v>2</v>
      </c>
      <c r="G287" s="103" t="s">
        <v>609</v>
      </c>
      <c r="H287" s="103" t="s">
        <v>2155</v>
      </c>
      <c r="I287" s="103" t="s">
        <v>2156</v>
      </c>
      <c r="M287" s="103">
        <f ca="1">IFERROR(VLOOKUP(Network_MO_Only[[#This Row],[iWatch '#]],INDIRECT('Defined Ranges'!$C$28&amp;"Order"&amp;'Defined Ranges'!$C$29),2,FALSE),"")</f>
        <v>30</v>
      </c>
      <c r="N287" s="103">
        <f ca="1">IFERROR(VLOOKUP(Network_MO_Only[[#This Row],[iWatch '#]],INDIRECT('Defined Ranges'!$C$28&amp;"Order"&amp;'Defined Ranges'!$C$29),3,FALSE),"")</f>
        <v>20</v>
      </c>
      <c r="O287" s="103">
        <f t="shared" si="16"/>
        <v>17</v>
      </c>
      <c r="P287" s="103" cm="1">
        <f t="array" ref="P287">_xlfn.IFS(LSelected="English",Network_MO_Only[[#This Row],[Verification Type English]],LSelected="Spanish",Network_MO_Only[[#This Row],[Verification Type Spanish]],LSelected="French",Network_MO_Only[[#This Row],[Verification Type French]],LSelected="Portuguese",Network_MO_Only[[#This Row],[Verification Type Portuguese]])</f>
        <v>0</v>
      </c>
      <c r="T287" s="103" t="s">
        <v>644</v>
      </c>
      <c r="U287" s="353" t="s">
        <v>175</v>
      </c>
    </row>
    <row r="288" spans="4:49">
      <c r="D288" s="103" t="s">
        <v>807</v>
      </c>
      <c r="E288" s="103" t="s">
        <v>1265</v>
      </c>
      <c r="F288" s="103">
        <v>2</v>
      </c>
      <c r="G288" s="103" t="s">
        <v>609</v>
      </c>
      <c r="H288" s="103" t="s">
        <v>831</v>
      </c>
      <c r="I288" s="103" t="s">
        <v>832</v>
      </c>
      <c r="M288" s="103">
        <f ca="1">IFERROR(VLOOKUP(Network_MO_Only[[#This Row],[iWatch '#]],INDIRECT('Defined Ranges'!$C$28&amp;"Order"&amp;'Defined Ranges'!$C$29),2,FALSE),"")</f>
        <v>31</v>
      </c>
      <c r="N288" s="103">
        <f ca="1">IFERROR(VLOOKUP(Network_MO_Only[[#This Row],[iWatch '#]],INDIRECT('Defined Ranges'!$C$28&amp;"Order"&amp;'Defined Ranges'!$C$29),3,FALSE),"")</f>
        <v>21</v>
      </c>
      <c r="O288" s="103">
        <f t="shared" si="16"/>
        <v>18</v>
      </c>
      <c r="P288" s="103" cm="1">
        <f t="array" ref="P288">_xlfn.IFS(LSelected="English",Network_MO_Only[[#This Row],[Verification Type English]],LSelected="Spanish",Network_MO_Only[[#This Row],[Verification Type Spanish]],LSelected="French",Network_MO_Only[[#This Row],[Verification Type French]],LSelected="Portuguese",Network_MO_Only[[#This Row],[Verification Type Portuguese]])</f>
        <v>0</v>
      </c>
      <c r="T288" s="103" t="s">
        <v>644</v>
      </c>
      <c r="U288" s="353" t="s">
        <v>175</v>
      </c>
    </row>
    <row r="289" spans="4:21">
      <c r="D289" t="s">
        <v>815</v>
      </c>
      <c r="E289" s="103" t="s">
        <v>850</v>
      </c>
      <c r="F289" s="103">
        <v>2</v>
      </c>
      <c r="G289" s="103" t="s">
        <v>609</v>
      </c>
      <c r="H289" s="103" t="s">
        <v>2157</v>
      </c>
      <c r="I289" s="103" t="s">
        <v>2158</v>
      </c>
      <c r="M289" s="103">
        <f ca="1">IFERROR(VLOOKUP(Network_MO_Only[[#This Row],[iWatch '#]],INDIRECT('Defined Ranges'!$C$28&amp;"Order"&amp;'Defined Ranges'!$C$29),2,FALSE),"")</f>
        <v>16</v>
      </c>
      <c r="N289" s="103">
        <f ca="1">IFERROR(VLOOKUP(Network_MO_Only[[#This Row],[iWatch '#]],INDIRECT('Defined Ranges'!$C$28&amp;"Order"&amp;'Defined Ranges'!$C$29),3,FALSE),"")</f>
        <v>22</v>
      </c>
      <c r="O289" s="103">
        <f t="shared" si="16"/>
        <v>19</v>
      </c>
      <c r="P289" s="103" cm="1">
        <f t="array" ref="P289">_xlfn.IFS(LSelected="English",Network_MO_Only[[#This Row],[Verification Type English]],LSelected="Spanish",Network_MO_Only[[#This Row],[Verification Type Spanish]],LSelected="French",Network_MO_Only[[#This Row],[Verification Type French]],LSelected="Portuguese",Network_MO_Only[[#This Row],[Verification Type Portuguese]])</f>
        <v>0</v>
      </c>
      <c r="T289" s="103" t="s">
        <v>644</v>
      </c>
      <c r="U289" s="353" t="s">
        <v>175</v>
      </c>
    </row>
    <row r="290" spans="4:21">
      <c r="D290" s="103" t="s">
        <v>829</v>
      </c>
      <c r="E290" s="103" t="s">
        <v>2159</v>
      </c>
      <c r="F290" s="103">
        <v>2</v>
      </c>
      <c r="G290" s="103" t="s">
        <v>609</v>
      </c>
      <c r="H290" s="103" t="s">
        <v>2160</v>
      </c>
      <c r="I290" s="103" t="s">
        <v>2161</v>
      </c>
      <c r="K290" s="103" t="s">
        <v>2162</v>
      </c>
      <c r="M290" s="103">
        <f ca="1">IFERROR(VLOOKUP(Network_MO_Only[[#This Row],[iWatch '#]],INDIRECT('Defined Ranges'!$C$28&amp;"Order"&amp;'Defined Ranges'!$C$29),2,FALSE),"")</f>
        <v>17</v>
      </c>
      <c r="N290" s="103">
        <f ca="1">IFERROR(VLOOKUP(Network_MO_Only[[#This Row],[iWatch '#]],INDIRECT('Defined Ranges'!$C$28&amp;"Order"&amp;'Defined Ranges'!$C$29),3,FALSE),"")</f>
        <v>23</v>
      </c>
      <c r="O290" s="103">
        <f t="shared" si="16"/>
        <v>20</v>
      </c>
      <c r="P290" s="103" cm="1">
        <f t="array" ref="P290">_xlfn.IFS(LSelected="English",Network_MO_Only[[#This Row],[Verification Type English]],LSelected="Spanish",Network_MO_Only[[#This Row],[Verification Type Spanish]],LSelected="French",Network_MO_Only[[#This Row],[Verification Type French]],LSelected="Portuguese",Network_MO_Only[[#This Row],[Verification Type Portuguese]])</f>
        <v>0</v>
      </c>
      <c r="T290" s="103" t="s">
        <v>644</v>
      </c>
      <c r="U290" s="353" t="s">
        <v>175</v>
      </c>
    </row>
    <row r="291" spans="4:21">
      <c r="D291" s="103" t="s">
        <v>881</v>
      </c>
      <c r="E291" s="103" t="s">
        <v>2163</v>
      </c>
      <c r="F291" s="103">
        <v>2</v>
      </c>
      <c r="G291" s="103" t="s">
        <v>609</v>
      </c>
      <c r="H291" s="103" t="s">
        <v>2164</v>
      </c>
      <c r="I291" s="103" t="s">
        <v>2165</v>
      </c>
      <c r="K291" s="103" t="s">
        <v>2166</v>
      </c>
      <c r="M291" s="103">
        <f ca="1">IFERROR(VLOOKUP(Network_MO_Only[[#This Row],[iWatch '#]],INDIRECT('Defined Ranges'!$C$28&amp;"Order"&amp;'Defined Ranges'!$C$29),2,FALSE),"")</f>
        <v>8</v>
      </c>
      <c r="N291" s="103">
        <f ca="1">IFERROR(VLOOKUP(Network_MO_Only[[#This Row],[iWatch '#]],INDIRECT('Defined Ranges'!$C$28&amp;"Order"&amp;'Defined Ranges'!$C$29),3,FALSE),"")</f>
        <v>28</v>
      </c>
      <c r="O291" s="103">
        <f t="shared" si="16"/>
        <v>21</v>
      </c>
      <c r="P291" s="103" cm="1">
        <f t="array" ref="P291">_xlfn.IFS(LSelected="English",Network_MO_Only[[#This Row],[Verification Type English]],LSelected="Spanish",Network_MO_Only[[#This Row],[Verification Type Spanish]],LSelected="French",Network_MO_Only[[#This Row],[Verification Type French]],LSelected="Portuguese",Network_MO_Only[[#This Row],[Verification Type Portuguese]])</f>
        <v>0</v>
      </c>
      <c r="T291" s="103" t="s">
        <v>644</v>
      </c>
      <c r="U291" s="103" t="s">
        <v>197</v>
      </c>
    </row>
    <row r="292" spans="4:21">
      <c r="D292" s="103" t="s">
        <v>893</v>
      </c>
      <c r="E292" s="103" t="s">
        <v>942</v>
      </c>
      <c r="F292" s="103">
        <v>2</v>
      </c>
      <c r="G292" s="103" t="s">
        <v>609</v>
      </c>
      <c r="H292" s="103" t="s">
        <v>943</v>
      </c>
      <c r="I292" s="103" t="s">
        <v>944</v>
      </c>
      <c r="K292" s="103" t="s">
        <v>2167</v>
      </c>
      <c r="M292" s="103">
        <f ca="1">IFERROR(VLOOKUP(Network_MO_Only[[#This Row],[iWatch '#]],INDIRECT('Defined Ranges'!$C$28&amp;"Order"&amp;'Defined Ranges'!$C$29),2,FALSE),"")</f>
        <v>9</v>
      </c>
      <c r="N292" s="103">
        <f ca="1">IFERROR(VLOOKUP(Network_MO_Only[[#This Row],[iWatch '#]],INDIRECT('Defined Ranges'!$C$28&amp;"Order"&amp;'Defined Ranges'!$C$29),3,FALSE),"")</f>
        <v>29</v>
      </c>
      <c r="O292" s="103">
        <f t="shared" si="16"/>
        <v>22</v>
      </c>
      <c r="P292" s="103" cm="1">
        <f t="array" ref="P292">_xlfn.IFS(LSelected="English",Network_MO_Only[[#This Row],[Verification Type English]],LSelected="Spanish",Network_MO_Only[[#This Row],[Verification Type Spanish]],LSelected="French",Network_MO_Only[[#This Row],[Verification Type French]],LSelected="Portuguese",Network_MO_Only[[#This Row],[Verification Type Portuguese]])</f>
        <v>0</v>
      </c>
      <c r="T292" s="103" t="s">
        <v>644</v>
      </c>
      <c r="U292" s="103" t="s">
        <v>197</v>
      </c>
    </row>
    <row r="293" spans="4:21">
      <c r="D293" s="103" t="s">
        <v>1696</v>
      </c>
      <c r="E293" s="103" t="s">
        <v>951</v>
      </c>
      <c r="F293" s="103">
        <v>2</v>
      </c>
      <c r="G293" s="103" t="s">
        <v>609</v>
      </c>
      <c r="H293" s="103" t="s">
        <v>2168</v>
      </c>
      <c r="I293" s="103" t="s">
        <v>2169</v>
      </c>
      <c r="M293" s="103" t="str">
        <f ca="1">IFERROR(VLOOKUP(Network_MO_Only[[#This Row],[iWatch '#]],INDIRECT('Defined Ranges'!$C$28&amp;"Order"&amp;'Defined Ranges'!$C$29),2,FALSE),"")</f>
        <v/>
      </c>
      <c r="N293" s="103" t="str">
        <f ca="1">IFERROR(VLOOKUP(Network_MO_Only[[#This Row],[iWatch '#]],INDIRECT('Defined Ranges'!$C$28&amp;"Order"&amp;'Defined Ranges'!$C$29),3,FALSE),"")</f>
        <v/>
      </c>
      <c r="O293" s="103">
        <f t="shared" si="16"/>
        <v>23</v>
      </c>
      <c r="P293" s="103" cm="1">
        <f t="array" ref="P293">_xlfn.IFS(LSelected="English",Network_MO_Only[[#This Row],[Verification Type English]],LSelected="Spanish",Network_MO_Only[[#This Row],[Verification Type Spanish]],LSelected="French",Network_MO_Only[[#This Row],[Verification Type French]],LSelected="Portuguese",Network_MO_Only[[#This Row],[Verification Type Portuguese]])</f>
        <v>0</v>
      </c>
      <c r="T293" s="103" t="s">
        <v>644</v>
      </c>
      <c r="U293" s="103" t="s">
        <v>197</v>
      </c>
    </row>
    <row r="294" spans="4:21">
      <c r="D294" s="103" t="s">
        <v>1702</v>
      </c>
      <c r="E294" s="103" t="s">
        <v>2170</v>
      </c>
      <c r="F294" s="103">
        <v>2</v>
      </c>
      <c r="G294" s="103" t="s">
        <v>609</v>
      </c>
      <c r="H294" s="103" t="s">
        <v>2171</v>
      </c>
      <c r="I294" s="103" t="s">
        <v>2172</v>
      </c>
      <c r="K294" s="103" t="s">
        <v>2166</v>
      </c>
      <c r="M294" s="103" t="str">
        <f ca="1">IFERROR(VLOOKUP(Network_MO_Only[[#This Row],[iWatch '#]],INDIRECT('Defined Ranges'!$C$28&amp;"Order"&amp;'Defined Ranges'!$C$29),2,FALSE),"")</f>
        <v/>
      </c>
      <c r="N294" s="103" t="str">
        <f ca="1">IFERROR(VLOOKUP(Network_MO_Only[[#This Row],[iWatch '#]],INDIRECT('Defined Ranges'!$C$28&amp;"Order"&amp;'Defined Ranges'!$C$29),3,FALSE),"")</f>
        <v/>
      </c>
      <c r="O294" s="103">
        <f t="shared" si="16"/>
        <v>24</v>
      </c>
      <c r="P294" s="103" cm="1">
        <f t="array" ref="P294">_xlfn.IFS(LSelected="English",Network_MO_Only[[#This Row],[Verification Type English]],LSelected="Spanish",Network_MO_Only[[#This Row],[Verification Type Spanish]],LSelected="French",Network_MO_Only[[#This Row],[Verification Type French]],LSelected="Portuguese",Network_MO_Only[[#This Row],[Verification Type Portuguese]])</f>
        <v>0</v>
      </c>
      <c r="T294" s="103" t="s">
        <v>644</v>
      </c>
      <c r="U294" s="103" t="s">
        <v>197</v>
      </c>
    </row>
    <row r="295" spans="4:21">
      <c r="D295" s="103" t="s">
        <v>1709</v>
      </c>
      <c r="E295" s="103" t="s">
        <v>968</v>
      </c>
      <c r="F295" s="103">
        <v>2</v>
      </c>
      <c r="G295" s="103" t="s">
        <v>609</v>
      </c>
      <c r="H295" s="103" t="s">
        <v>969</v>
      </c>
      <c r="I295" s="103" t="s">
        <v>970</v>
      </c>
      <c r="K295" s="103" t="s">
        <v>2173</v>
      </c>
      <c r="M295" s="103" t="str">
        <f ca="1">IFERROR(VLOOKUP(Network_MO_Only[[#This Row],[iWatch '#]],INDIRECT('Defined Ranges'!$C$28&amp;"Order"&amp;'Defined Ranges'!$C$29),2,FALSE),"")</f>
        <v/>
      </c>
      <c r="N295" s="103" t="str">
        <f ca="1">IFERROR(VLOOKUP(Network_MO_Only[[#This Row],[iWatch '#]],INDIRECT('Defined Ranges'!$C$28&amp;"Order"&amp;'Defined Ranges'!$C$29),3,FALSE),"")</f>
        <v/>
      </c>
      <c r="O295" s="103">
        <f t="shared" si="16"/>
        <v>25</v>
      </c>
      <c r="P295" s="103" cm="1">
        <f t="array" ref="P295">_xlfn.IFS(LSelected="English",Network_MO_Only[[#This Row],[Verification Type English]],LSelected="Spanish",Network_MO_Only[[#This Row],[Verification Type Spanish]],LSelected="French",Network_MO_Only[[#This Row],[Verification Type French]],LSelected="Portuguese",Network_MO_Only[[#This Row],[Verification Type Portuguese]])</f>
        <v>0</v>
      </c>
      <c r="T295" s="103" t="s">
        <v>644</v>
      </c>
      <c r="U295" s="103" t="s">
        <v>197</v>
      </c>
    </row>
  </sheetData>
  <pageMargins left="0.7" right="0.7" top="0.75" bottom="0.75" header="0.3" footer="0.3"/>
  <pageSetup orientation="portrait" r:id="rId1"/>
  <customProperties>
    <customPr name="workbookAdvencedSettings" r:id="rId2"/>
    <customPr name="workbookExecutionSettings" r:id="rId3"/>
    <customPr name="workbookGatewaySettings" r:id="rId4"/>
  </customProperties>
  <legacyDrawing r:id="rId5"/>
  <tableParts count="17">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7138A-5A3D-4395-84A2-42DAA210C18C}">
  <sheetPr codeName="Sheet8"/>
  <dimension ref="B2:DM164"/>
  <sheetViews>
    <sheetView showGridLines="0" topLeftCell="S1" zoomScale="70" zoomScaleNormal="70" workbookViewId="0">
      <pane ySplit="3" topLeftCell="A10" activePane="bottomLeft" state="frozen"/>
      <selection pane="bottomLeft" activeCell="Y99" sqref="Y99"/>
    </sheetView>
  </sheetViews>
  <sheetFormatPr defaultRowHeight="14.5"/>
  <cols>
    <col min="1" max="1" width="3.453125" customWidth="1"/>
    <col min="2" max="2" width="45.54296875" customWidth="1"/>
    <col min="3" max="4" width="9.453125" customWidth="1"/>
    <col min="5" max="5" width="49.54296875" customWidth="1"/>
    <col min="6" max="8" width="12.54296875" customWidth="1"/>
    <col min="9" max="9" width="12.453125" customWidth="1"/>
    <col min="10" max="10" width="26.54296875" customWidth="1"/>
    <col min="11" max="11" width="17.54296875" customWidth="1"/>
    <col min="12" max="12" width="12.453125" customWidth="1"/>
    <col min="13" max="13" width="43.54296875" customWidth="1"/>
    <col min="14" max="14" width="15" customWidth="1"/>
    <col min="15" max="15" width="15.453125" customWidth="1"/>
    <col min="16" max="16" width="51.453125" customWidth="1"/>
    <col min="17" max="17" width="21.54296875" customWidth="1"/>
    <col min="18" max="18" width="9.54296875" customWidth="1"/>
    <col min="19" max="19" width="12.54296875" bestFit="1" customWidth="1"/>
    <col min="20" max="20" width="4" customWidth="1"/>
    <col min="21" max="21" width="35.54296875" customWidth="1"/>
    <col min="22" max="23" width="9.453125" customWidth="1"/>
    <col min="24" max="24" width="13.54296875" customWidth="1"/>
    <col min="25" max="25" width="17.453125" customWidth="1"/>
    <col min="26" max="26" width="16.54296875" customWidth="1"/>
    <col min="27" max="27" width="21" customWidth="1"/>
    <col min="28" max="28" width="16.54296875" customWidth="1"/>
    <col min="29" max="29" width="59.453125" customWidth="1"/>
    <col min="30" max="30" width="14.453125" customWidth="1"/>
    <col min="31" max="31" width="20.453125" customWidth="1"/>
    <col min="32" max="32" width="13.453125" customWidth="1"/>
    <col min="33" max="33" width="19.54296875" customWidth="1"/>
    <col min="34" max="34" width="16.54296875" customWidth="1"/>
    <col min="35" max="35" width="23" customWidth="1"/>
    <col min="36" max="36" width="19.453125" customWidth="1"/>
    <col min="37" max="37" width="9.54296875" customWidth="1"/>
    <col min="39" max="40" width="3.54296875" customWidth="1"/>
    <col min="41" max="41" width="18" customWidth="1"/>
    <col min="42" max="42" width="10" customWidth="1"/>
    <col min="43" max="43" width="9.54296875" customWidth="1"/>
    <col min="44" max="44" width="24.54296875" customWidth="1"/>
    <col min="45" max="45" width="17.453125" customWidth="1"/>
    <col min="46" max="46" width="16.54296875" customWidth="1"/>
    <col min="47" max="47" width="21.453125" customWidth="1"/>
    <col min="48" max="48" width="18" customWidth="1"/>
    <col min="49" max="49" width="50.453125" customWidth="1"/>
    <col min="50" max="54" width="27.54296875" customWidth="1"/>
    <col min="55" max="55" width="23.453125" customWidth="1"/>
    <col min="56" max="60" width="27.54296875" customWidth="1"/>
    <col min="61" max="61" width="10" customWidth="1"/>
    <col min="62" max="62" width="9.54296875" customWidth="1"/>
    <col min="63" max="63" width="13.54296875" customWidth="1"/>
    <col min="64" max="64" width="17.453125" customWidth="1"/>
    <col min="65" max="65" width="16.54296875" customWidth="1"/>
    <col min="66" max="66" width="21.453125" customWidth="1"/>
    <col min="67" max="67" width="18" customWidth="1"/>
    <col min="68" max="68" width="20.453125" customWidth="1"/>
    <col min="69" max="69" width="14.453125" customWidth="1"/>
    <col min="70" max="70" width="20.54296875" customWidth="1"/>
    <col min="71" max="71" width="13.54296875" customWidth="1"/>
    <col min="72" max="72" width="20.453125" customWidth="1"/>
    <col min="73" max="73" width="17.453125" customWidth="1"/>
    <col min="74" max="74" width="23.54296875" customWidth="1"/>
    <col min="75" max="75" width="11.54296875" customWidth="1"/>
    <col min="76" max="76" width="9.54296875" customWidth="1"/>
    <col min="78" max="79" width="2.54296875" customWidth="1"/>
    <col min="80" max="80" width="10.54296875" customWidth="1"/>
    <col min="83" max="83" width="13.54296875" customWidth="1"/>
    <col min="84" max="84" width="17.453125" customWidth="1"/>
    <col min="85" max="85" width="16.54296875" customWidth="1"/>
    <col min="86" max="86" width="21.453125" customWidth="1"/>
    <col min="87" max="87" width="15" customWidth="1"/>
    <col min="88" max="88" width="50" customWidth="1"/>
    <col min="89" max="89" width="14.453125" customWidth="1"/>
    <col min="90" max="90" width="20.54296875" customWidth="1"/>
    <col min="91" max="91" width="13.54296875" customWidth="1"/>
    <col min="92" max="92" width="20.453125" customWidth="1"/>
    <col min="93" max="93" width="17.453125" customWidth="1"/>
    <col min="94" max="94" width="23.54296875" customWidth="1"/>
    <col min="95" max="95" width="22.54296875" customWidth="1"/>
    <col min="96" max="97" width="9.54296875" customWidth="1"/>
    <col min="100" max="100" width="10.54296875" customWidth="1"/>
    <col min="103" max="103" width="13.54296875" customWidth="1"/>
    <col min="104" max="104" width="17.453125" customWidth="1"/>
    <col min="105" max="105" width="16.54296875" customWidth="1"/>
    <col min="106" max="106" width="21.453125" customWidth="1"/>
    <col min="107" max="107" width="15" customWidth="1"/>
    <col min="108" max="108" width="20.453125" customWidth="1"/>
    <col min="109" max="109" width="14.453125" customWidth="1"/>
    <col min="110" max="110" width="20.54296875" customWidth="1"/>
    <col min="111" max="111" width="13.54296875" customWidth="1"/>
    <col min="112" max="112" width="20.453125" customWidth="1"/>
    <col min="113" max="113" width="17.453125" customWidth="1"/>
    <col min="114" max="114" width="23.54296875" customWidth="1"/>
    <col min="115" max="115" width="11.54296875" customWidth="1"/>
    <col min="116" max="116" width="9.54296875" customWidth="1"/>
  </cols>
  <sheetData>
    <row r="2" spans="2:117" ht="23.25" customHeight="1">
      <c r="B2" s="527" t="s">
        <v>2174</v>
      </c>
      <c r="C2" s="527"/>
      <c r="D2" s="527"/>
      <c r="E2" s="527"/>
      <c r="F2" s="527"/>
      <c r="G2" s="527"/>
      <c r="H2" s="527"/>
      <c r="I2" s="527"/>
      <c r="J2" s="527"/>
      <c r="K2" s="527"/>
      <c r="L2" s="527"/>
      <c r="M2" s="527"/>
      <c r="N2" s="527"/>
      <c r="O2" s="527"/>
      <c r="P2" s="527"/>
      <c r="Q2" s="527"/>
      <c r="R2" s="527"/>
      <c r="S2" s="527"/>
      <c r="U2" s="528" t="s">
        <v>2175</v>
      </c>
      <c r="V2" s="528"/>
      <c r="W2" s="528"/>
      <c r="X2" s="528"/>
      <c r="Y2" s="528"/>
      <c r="Z2" s="528"/>
      <c r="AA2" s="528"/>
      <c r="AB2" s="528"/>
      <c r="AC2" s="528"/>
      <c r="AD2" s="528"/>
      <c r="AE2" s="528"/>
      <c r="AF2" s="528"/>
      <c r="AG2" s="528"/>
      <c r="AH2" s="528"/>
      <c r="AI2" s="528"/>
      <c r="AJ2" s="528"/>
      <c r="AK2" s="528"/>
      <c r="AL2" s="528"/>
      <c r="AO2" s="529" t="s">
        <v>2176</v>
      </c>
      <c r="AP2" s="529"/>
      <c r="AQ2" s="529"/>
      <c r="AR2" s="529"/>
      <c r="AS2" s="529"/>
      <c r="AT2" s="529"/>
      <c r="AU2" s="529"/>
      <c r="AV2" s="529"/>
      <c r="AW2" s="529"/>
      <c r="AX2" s="529"/>
      <c r="AY2" s="529"/>
      <c r="AZ2" s="529"/>
      <c r="BA2" s="529"/>
      <c r="BB2" s="529"/>
      <c r="BC2" s="529"/>
      <c r="BD2" s="529"/>
      <c r="BE2" s="529"/>
      <c r="BF2" s="529"/>
      <c r="BH2" s="530" t="s">
        <v>2177</v>
      </c>
      <c r="BI2" s="530"/>
      <c r="BJ2" s="530"/>
      <c r="BK2" s="530"/>
      <c r="BL2" s="530"/>
      <c r="BM2" s="530"/>
      <c r="BN2" s="530"/>
      <c r="BO2" s="530"/>
      <c r="BP2" s="530"/>
      <c r="BQ2" s="530"/>
      <c r="BR2" s="530"/>
      <c r="BS2" s="530"/>
      <c r="BT2" s="530"/>
      <c r="BU2" s="530"/>
      <c r="BV2" s="530"/>
      <c r="BW2" s="530"/>
      <c r="BX2" s="530"/>
      <c r="BY2" s="530"/>
      <c r="CB2" s="531" t="s">
        <v>2178</v>
      </c>
      <c r="CC2" s="531"/>
      <c r="CD2" s="531"/>
      <c r="CE2" s="531"/>
      <c r="CF2" s="531"/>
      <c r="CG2" s="531"/>
      <c r="CH2" s="531"/>
      <c r="CI2" s="531"/>
      <c r="CJ2" s="531"/>
      <c r="CK2" s="531"/>
      <c r="CL2" s="531"/>
      <c r="CM2" s="531"/>
      <c r="CN2" s="531"/>
      <c r="CO2" s="531"/>
      <c r="CP2" s="531"/>
      <c r="CQ2" s="531"/>
      <c r="CR2" s="531"/>
      <c r="CS2" s="531"/>
      <c r="CV2" s="526" t="s">
        <v>2179</v>
      </c>
      <c r="CW2" s="526"/>
      <c r="CX2" s="526"/>
      <c r="CY2" s="526"/>
      <c r="CZ2" s="526"/>
      <c r="DA2" s="526"/>
      <c r="DB2" s="526"/>
      <c r="DC2" s="526"/>
      <c r="DD2" s="526"/>
      <c r="DE2" s="526"/>
      <c r="DF2" s="526"/>
      <c r="DG2" s="526"/>
      <c r="DH2" s="526"/>
      <c r="DI2" s="526"/>
      <c r="DJ2" s="526"/>
      <c r="DK2" s="526"/>
      <c r="DL2" s="526"/>
      <c r="DM2" s="526"/>
    </row>
    <row r="3" spans="2:117" ht="33.75" customHeight="1">
      <c r="B3" s="160" t="s">
        <v>85</v>
      </c>
      <c r="C3" s="160" t="s">
        <v>71</v>
      </c>
      <c r="D3" s="160" t="s">
        <v>76</v>
      </c>
      <c r="E3" s="161" t="s">
        <v>2180</v>
      </c>
      <c r="F3" s="161" t="s">
        <v>2181</v>
      </c>
      <c r="G3" s="161" t="s">
        <v>2182</v>
      </c>
      <c r="H3" s="161" t="s">
        <v>2183</v>
      </c>
      <c r="I3" s="160" t="s">
        <v>122</v>
      </c>
      <c r="J3" s="161" t="s">
        <v>2184</v>
      </c>
      <c r="K3" s="161" t="s">
        <v>2185</v>
      </c>
      <c r="L3" s="161" t="s">
        <v>2186</v>
      </c>
      <c r="M3" s="161" t="s">
        <v>2187</v>
      </c>
      <c r="N3" s="161" t="s">
        <v>2188</v>
      </c>
      <c r="O3" s="161" t="s">
        <v>2189</v>
      </c>
      <c r="P3" s="161" t="s">
        <v>2190</v>
      </c>
      <c r="Q3" s="161" t="s">
        <v>2191</v>
      </c>
      <c r="R3" s="161" t="s">
        <v>120</v>
      </c>
      <c r="S3" s="161" t="s">
        <v>26</v>
      </c>
      <c r="U3" s="160" t="s">
        <v>2192</v>
      </c>
      <c r="V3" s="160" t="s">
        <v>71</v>
      </c>
      <c r="W3" s="160" t="s">
        <v>76</v>
      </c>
      <c r="X3" s="162" t="s">
        <v>2180</v>
      </c>
      <c r="Y3" s="162" t="s">
        <v>2181</v>
      </c>
      <c r="Z3" s="162" t="s">
        <v>2182</v>
      </c>
      <c r="AA3" s="162" t="s">
        <v>2183</v>
      </c>
      <c r="AB3" s="160" t="s">
        <v>122</v>
      </c>
      <c r="AC3" s="162" t="s">
        <v>2184</v>
      </c>
      <c r="AD3" s="162" t="s">
        <v>2185</v>
      </c>
      <c r="AE3" s="162" t="s">
        <v>2186</v>
      </c>
      <c r="AF3" s="162" t="s">
        <v>2187</v>
      </c>
      <c r="AG3" s="162" t="s">
        <v>2188</v>
      </c>
      <c r="AH3" s="162" t="s">
        <v>2189</v>
      </c>
      <c r="AI3" s="162" t="s">
        <v>2190</v>
      </c>
      <c r="AJ3" s="162" t="s">
        <v>2191</v>
      </c>
      <c r="AK3" s="162" t="s">
        <v>120</v>
      </c>
      <c r="AL3" s="162" t="s">
        <v>26</v>
      </c>
      <c r="AO3" s="160" t="s">
        <v>85</v>
      </c>
      <c r="AP3" s="160" t="s">
        <v>71</v>
      </c>
      <c r="AQ3" s="160" t="s">
        <v>76</v>
      </c>
      <c r="AR3" s="165" t="s">
        <v>2180</v>
      </c>
      <c r="AS3" s="165" t="s">
        <v>2181</v>
      </c>
      <c r="AT3" s="165" t="s">
        <v>2182</v>
      </c>
      <c r="AU3" s="165" t="s">
        <v>2183</v>
      </c>
      <c r="AV3" s="160" t="s">
        <v>122</v>
      </c>
      <c r="AW3" s="165" t="s">
        <v>2184</v>
      </c>
      <c r="AX3" s="165" t="s">
        <v>2185</v>
      </c>
      <c r="AY3" s="165" t="s">
        <v>2186</v>
      </c>
      <c r="AZ3" s="165" t="s">
        <v>2187</v>
      </c>
      <c r="BA3" s="165" t="s">
        <v>2188</v>
      </c>
      <c r="BB3" s="165" t="s">
        <v>2189</v>
      </c>
      <c r="BC3" s="165" t="s">
        <v>2190</v>
      </c>
      <c r="BD3" s="165" t="s">
        <v>2191</v>
      </c>
      <c r="BE3" s="165" t="s">
        <v>120</v>
      </c>
      <c r="BF3" s="165" t="s">
        <v>26</v>
      </c>
      <c r="BH3" s="160" t="s">
        <v>85</v>
      </c>
      <c r="BI3" s="160" t="s">
        <v>71</v>
      </c>
      <c r="BJ3" s="160" t="s">
        <v>76</v>
      </c>
      <c r="BK3" s="165" t="s">
        <v>2180</v>
      </c>
      <c r="BL3" s="165" t="s">
        <v>2181</v>
      </c>
      <c r="BM3" s="165" t="s">
        <v>2182</v>
      </c>
      <c r="BN3" s="165" t="s">
        <v>2183</v>
      </c>
      <c r="BO3" s="160" t="s">
        <v>122</v>
      </c>
      <c r="BP3" s="165" t="s">
        <v>2184</v>
      </c>
      <c r="BQ3" s="165" t="s">
        <v>2185</v>
      </c>
      <c r="BR3" s="165" t="s">
        <v>2186</v>
      </c>
      <c r="BS3" s="165" t="s">
        <v>2187</v>
      </c>
      <c r="BT3" s="165" t="s">
        <v>2188</v>
      </c>
      <c r="BU3" s="165" t="s">
        <v>2189</v>
      </c>
      <c r="BV3" s="165" t="s">
        <v>2190</v>
      </c>
      <c r="BW3" s="165" t="s">
        <v>2191</v>
      </c>
      <c r="BX3" s="165" t="s">
        <v>120</v>
      </c>
      <c r="BY3" s="165" t="s">
        <v>26</v>
      </c>
      <c r="CB3" s="160" t="s">
        <v>85</v>
      </c>
      <c r="CC3" s="160" t="s">
        <v>71</v>
      </c>
      <c r="CD3" s="160" t="s">
        <v>76</v>
      </c>
      <c r="CE3" s="168" t="s">
        <v>2180</v>
      </c>
      <c r="CF3" s="168" t="s">
        <v>2181</v>
      </c>
      <c r="CG3" s="168" t="s">
        <v>2182</v>
      </c>
      <c r="CH3" s="169" t="s">
        <v>2183</v>
      </c>
      <c r="CI3" s="160" t="s">
        <v>122</v>
      </c>
      <c r="CJ3" s="168" t="s">
        <v>2184</v>
      </c>
      <c r="CK3" s="168" t="s">
        <v>2185</v>
      </c>
      <c r="CL3" s="168" t="s">
        <v>2186</v>
      </c>
      <c r="CM3" s="168" t="s">
        <v>2187</v>
      </c>
      <c r="CN3" s="168" t="s">
        <v>2188</v>
      </c>
      <c r="CO3" s="168" t="s">
        <v>2189</v>
      </c>
      <c r="CP3" s="168" t="s">
        <v>2190</v>
      </c>
      <c r="CQ3" s="168" t="s">
        <v>2191</v>
      </c>
      <c r="CR3" s="170" t="s">
        <v>120</v>
      </c>
      <c r="CS3" s="168" t="s">
        <v>26</v>
      </c>
      <c r="CV3" s="160" t="s">
        <v>85</v>
      </c>
      <c r="CW3" s="160" t="s">
        <v>71</v>
      </c>
      <c r="CX3" s="160" t="s">
        <v>76</v>
      </c>
      <c r="CY3" s="165" t="s">
        <v>2180</v>
      </c>
      <c r="CZ3" s="165" t="s">
        <v>2181</v>
      </c>
      <c r="DA3" s="165" t="s">
        <v>2182</v>
      </c>
      <c r="DB3" s="165" t="s">
        <v>2183</v>
      </c>
      <c r="DC3" s="160" t="s">
        <v>122</v>
      </c>
      <c r="DD3" s="171" t="s">
        <v>2184</v>
      </c>
      <c r="DE3" s="165" t="s">
        <v>2185</v>
      </c>
      <c r="DF3" s="165" t="s">
        <v>2186</v>
      </c>
      <c r="DG3" s="165" t="s">
        <v>2187</v>
      </c>
      <c r="DH3" s="165" t="s">
        <v>2188</v>
      </c>
      <c r="DI3" s="165" t="s">
        <v>2189</v>
      </c>
      <c r="DJ3" s="165" t="s">
        <v>2190</v>
      </c>
      <c r="DK3" s="165" t="s">
        <v>2191</v>
      </c>
      <c r="DL3" s="165" t="s">
        <v>120</v>
      </c>
      <c r="DM3" s="165" t="s">
        <v>26</v>
      </c>
    </row>
    <row r="4" spans="2:117" hidden="1">
      <c r="B4" s="353" t="str">
        <f>Network_AgentGlobal[[#This Row],[Question]]&amp;"."&amp;Network_AgentGlobal[[#This Row],[Action Type]]&amp;Network_AgentGlobal[[#This Row],[Country]]</f>
        <v>GS1.GQ5.Resolved_OnsiteIndia_FTF</v>
      </c>
      <c r="C4" s="353">
        <f ca="1">IFERROR(VLOOKUP(Network_AgentGlobal[[#This Row],[Question]],INDIRECT('Gen Info'!$D$4&amp;"[#All]"),13,FALSE),VLOOKUP(Network_AgentGlobal[[#This Row],[Question]],INDIRECT('Gen Info'!$D$4&amp;"_"&amp;'Gen Info'!$E$4&amp;"[#All]"),13,FALSE))</f>
        <v>0</v>
      </c>
      <c r="D4" s="353" cm="1">
        <f t="array" aca="1" ref="D4"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4" s="353" t="s">
        <v>2193</v>
      </c>
      <c r="F4" s="353"/>
      <c r="G4" s="353"/>
      <c r="H4" s="353"/>
      <c r="I4" s="353" cm="1">
        <f t="array" ref="I4">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4" s="353" t="s">
        <v>2194</v>
      </c>
      <c r="K4" s="353"/>
      <c r="L4" s="353"/>
      <c r="M4" s="353"/>
      <c r="N4" s="353"/>
      <c r="O4" s="353"/>
      <c r="P4" s="353"/>
      <c r="Q4" s="353" t="s">
        <v>2195</v>
      </c>
      <c r="R4" s="353" t="s">
        <v>618</v>
      </c>
      <c r="S4" s="353" t="s">
        <v>2196</v>
      </c>
      <c r="U4" t="str">
        <f>Master_Agent_HQsGlobal[[#This Row],[Question]]&amp;"."&amp;Master_Agent_HQsGlobal[[#This Row],[Action Type]]&amp;Master_Agent_HQsGlobal[[#This Row],[Country]]</f>
        <v>GS3.GQ4.Resolved_Onsite</v>
      </c>
      <c r="V4" t="str">
        <f ca="1">IFERROR(VLOOKUP(Master_Agent_HQsGlobal[[#This Row],[Question]],Master_Agent_HQs[#All],13,FALSE),VLOOKUP(Master_Agent_HQsGlobal[[#This Row],[Question]],INDIRECT("Master_Agent_HQs"&amp;'Gen Info'!$E$4&amp;"[#All]"),13,FALSE))</f>
        <v>Oficial/Delegado de Cumplimiento</v>
      </c>
      <c r="W4" t="str" cm="1">
        <f t="array" ref="W4">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Oficial de Cumplimiento no tiene la experiencia ni el conocimiento adecuado sobre el programa de AML/CFT y Anti-Fraude.</v>
      </c>
      <c r="X4" t="s">
        <v>2197</v>
      </c>
      <c r="AB4" t="str" cm="1">
        <f t="array" ref="AB4">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requiere acción. Se le ha entrenado y brindado material de apoyo al agente.</v>
      </c>
      <c r="AC4" t="s">
        <v>2198</v>
      </c>
      <c r="AD4" t="s">
        <v>2199</v>
      </c>
      <c r="AE4" t="s">
        <v>2200</v>
      </c>
      <c r="AF4" t="s">
        <v>2201</v>
      </c>
      <c r="AG4" t="s">
        <v>2202</v>
      </c>
      <c r="AH4" t="s">
        <v>2203</v>
      </c>
      <c r="AI4" t="s">
        <v>2204</v>
      </c>
      <c r="AJ4" t="s">
        <v>2195</v>
      </c>
      <c r="AK4" t="s">
        <v>1517</v>
      </c>
      <c r="AO4" t="str">
        <f>IndependentGlobal[[#This Row],[Question]]&amp;"."&amp;IndependentGlobal[[#This Row],[Action Type]]&amp;IndependentGlobal[[#This Row],[Country]]</f>
        <v>GS10.GQ1.Resolved_Onsite</v>
      </c>
      <c r="AP4" t="str">
        <f ca="1">IFERROR(VLOOKUP(IndependentGlobal[[#This Row],[Question]],Independent[#All],13,FALSE),VLOOKUP(IndependentGlobal[[#This Row],[Question]],INDIRECT("Independent_"&amp;'Gen Info'!$E$4&amp;"[#All]"),13,FALSE))</f>
        <v>Revisión Independiente</v>
      </c>
      <c r="AQ4" t="str" cm="1">
        <f t="array" ref="AQ4">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tiene un programa de control de calidad que realice revisiones regulares e independientes para la evaluación y control del programa de AML/CFT y Anti-Fraude.</v>
      </c>
      <c r="AR4" t="s">
        <v>2205</v>
      </c>
      <c r="AV4" t="str" cm="1">
        <f t="array" ref="AV4">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requiere acción. El agente ha sido capacitado en el tema. Los lineamientos acerca del proceso de Revisiones Independientes del programa de AML/CFT y controles de fraude fueron recibidos.</v>
      </c>
      <c r="AW4" t="s">
        <v>2206</v>
      </c>
      <c r="AX4" t="s">
        <v>2207</v>
      </c>
      <c r="AY4" t="s">
        <v>2208</v>
      </c>
      <c r="AZ4" t="s">
        <v>2209</v>
      </c>
      <c r="BA4" t="s">
        <v>2210</v>
      </c>
      <c r="BB4" t="s">
        <v>2211</v>
      </c>
      <c r="BC4" t="s">
        <v>2212</v>
      </c>
      <c r="BD4" t="s">
        <v>2195</v>
      </c>
      <c r="BE4" t="s">
        <v>1312</v>
      </c>
      <c r="BH4" t="str">
        <f>Independent_MO_OnlyGlobal[[#This Row],[Question]]&amp;"."&amp;Independent_MO_OnlyGlobal[[#This Row],[Action Type]]&amp;Independent_MO_OnlyGlobal[[#This Row],[Country]]</f>
        <v>GS2.GQ8.Response_Required</v>
      </c>
      <c r="BI4">
        <f ca="1">IFERROR(VLOOKUP(Independent_MO_OnlyGlobal[[#This Row],[Question]],Independent_MO_Only[#All],13,FALSE),VLOOKUP(Independent_MO_OnlyGlobal[[#This Row],[Question]],INDIRECT("Independent_MO_Only"&amp;'Gen Info'!$E$4&amp;"[#All]"),13,FALSE))</f>
        <v>0</v>
      </c>
      <c r="BJ4" cm="1">
        <f t="array" ref="BJ4">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4" t="s">
        <v>2213</v>
      </c>
      <c r="BO4" cm="1">
        <f t="array" ref="BO4">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4" t="s">
        <v>2214</v>
      </c>
      <c r="BW4" t="s">
        <v>2215</v>
      </c>
      <c r="BX4" t="s">
        <v>1917</v>
      </c>
      <c r="CB4" s="101" t="str">
        <f>Network_MO_OnlyGlobal[[#This Row],[Question]]&amp;"."&amp;Network_MO_OnlyGlobal[[#This Row],[Action Type]]&amp;Network_MO_OnlyGlobal[[#This Row],[Country]]</f>
        <v>GS2.GQ1.Resolved_Onsite</v>
      </c>
      <c r="CC4" s="101" t="e">
        <f ca="1">IFERROR(VLOOKUP(Network_MO_OnlyGlobal[[#This Row],[Question]],#REF!,13,FALSE),VLOOKUP(Network_MO_OnlyGlobal[[#This Row],[Question]],INDIRECT("Network_Agent_"&amp;'Gen Info'!$E$4&amp;"[#All]"),13,FALSE))</f>
        <v>#REF!</v>
      </c>
      <c r="CD4" s="101" cm="1">
        <f t="array" aca="1" ref="CD4"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4" s="101" t="s">
        <v>2216</v>
      </c>
      <c r="CF4" s="101"/>
      <c r="CG4" s="101"/>
      <c r="CH4" s="101"/>
      <c r="CI4" s="101" cm="1">
        <f t="array" ref="CI4">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4" s="101" t="s">
        <v>2217</v>
      </c>
      <c r="CK4" s="101"/>
      <c r="CL4" s="101"/>
      <c r="CM4" s="101"/>
      <c r="CN4" s="101"/>
      <c r="CO4" s="101"/>
      <c r="CP4" s="101"/>
      <c r="CQ4" s="101" t="s">
        <v>2195</v>
      </c>
      <c r="CR4" s="101" t="s">
        <v>638</v>
      </c>
      <c r="CS4" s="353"/>
      <c r="CV4" s="101" t="str">
        <f>HQ_MO_OnlyGlobal[[#This Row],[Question]]&amp;"."&amp;HQ_MO_OnlyGlobal[[#This Row],[Action Type]]&amp;HQ_MO_OnlyGlobal[[#This Row],[Country]]</f>
        <v>GS1.GQ6.Response_Required</v>
      </c>
      <c r="CW4" s="101">
        <f ca="1">IFERROR(VLOOKUP(HQ_MO_OnlyGlobal[[#This Row],[Question]],INDIRECT('Gen Info'!$D$4&amp;"[#All]"),13,FALSE),VLOOKUP(HQ_MO_OnlyGlobal[[#This Row],[Question]],INDIRECT('Gen Info'!$D$4&amp;"_"&amp;'Gen Info'!$E$4&amp;"[#All]"),13,FALSE))</f>
        <v>0</v>
      </c>
      <c r="CX4" s="101" cm="1">
        <f t="array" aca="1" ref="CX4" ca="1">IFERROR(_xlfn.IFS(LocationInfo[Select Letter Language]="English",_xlfn.IFS(VLOOKUP(HQ_MO_OnlyGlobal[[#This Row],[Question]],CallTb[[#All],[iWatch '#]:[Finding Type]],6,FALSE)="","",VLOOKUP(HQ_MO_OnlyGlobal[[#This Row],[Question]],CallTb[[#All],[iWatch '#]:[Finding Type]],6,FALSE)="No_AML",HQ_MO_OnlyGlobal[[#This Row],[Finding English AML]],VLOOKUP(HQ_MO_OnlyGlobal[[#This Row],[Question]],CallTb[[#All],[iWatch '#]:[Finding Type]],6,FALSE)="No",HQ_MO_OnlyGlobal[[#This Row],[Finding English]]),LocationInfo[Select Letter Language]="Spanish",HQ_MO_OnlyGlobal[[#This Row],[Finding Spanish]],LocationInfo[Select Letter Language]="French",HQ_MO_OnlyGlobal[[#This Row],[Finding French]],LocationInfo[Select Letter Language]="Portuguese",HQ_MO_OnlyGlobal[[#This Row],[Finding Portuguese]]),"")</f>
        <v>0</v>
      </c>
      <c r="CY4" s="101" t="s">
        <v>2218</v>
      </c>
      <c r="CZ4" s="101"/>
      <c r="DA4" s="101"/>
      <c r="DB4" s="101"/>
      <c r="DC4" s="101" cm="1">
        <f t="array" ref="DC4">IFERROR(_xlfn.IFS(LocationInfo[Select Letter Language]="English",HQ_MO_OnlyGlobal[[#This Row],[Action Required English]],LocationInfo[Select Letter Language]="Spanish",HQ_MO_OnlyGlobal[[#This Row],[Action Required Spanish]],LocationInfo[Select Letter Language]="French",HQ_MO_OnlyGlobal[[#This Row],[Action Required French]],LocationInfo[Select Letter Language]="Portuguese",HQ_MO_OnlyGlobal[[#This Row],[Action Required Portuguese]]),"")</f>
        <v>0</v>
      </c>
      <c r="DD4" s="101" t="s">
        <v>2219</v>
      </c>
      <c r="DE4" s="101"/>
      <c r="DF4" s="101"/>
      <c r="DG4" s="101"/>
      <c r="DH4" s="101"/>
      <c r="DI4" s="101"/>
      <c r="DJ4" s="101"/>
      <c r="DK4" s="101" t="s">
        <v>2215</v>
      </c>
      <c r="DL4" s="101" t="s">
        <v>628</v>
      </c>
      <c r="DM4" s="101"/>
    </row>
    <row r="5" spans="2:117" hidden="1">
      <c r="B5" s="353" t="str">
        <f>Network_AgentGlobal[[#This Row],[Question]]&amp;"."&amp;Network_AgentGlobal[[#This Row],[Action Type]]&amp;Network_AgentGlobal[[#This Row],[Country]]</f>
        <v>GS1.GQ5.SuspensionIndia_FTF</v>
      </c>
      <c r="C5" s="353">
        <f ca="1">IFERROR(VLOOKUP(Network_AgentGlobal[[#This Row],[Question]],INDIRECT('Gen Info'!$D$4&amp;"[#All]"),13,FALSE),VLOOKUP(Network_AgentGlobal[[#This Row],[Question]],INDIRECT('Gen Info'!$D$4&amp;"_"&amp;'Gen Info'!$E$4&amp;"[#All]"),13,FALSE))</f>
        <v>0</v>
      </c>
      <c r="D5" s="353" cm="1">
        <f t="array" aca="1" ref="D5"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5" s="353" t="s">
        <v>2220</v>
      </c>
      <c r="F5" s="353"/>
      <c r="G5" s="353"/>
      <c r="H5" s="353"/>
      <c r="I5" s="353" cm="1">
        <f t="array" ref="I5">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5" s="353" t="s">
        <v>2221</v>
      </c>
      <c r="K5" s="353"/>
      <c r="L5" s="353"/>
      <c r="M5" s="353"/>
      <c r="N5" s="353"/>
      <c r="O5" s="353"/>
      <c r="P5" s="353"/>
      <c r="Q5" s="353" t="s">
        <v>2222</v>
      </c>
      <c r="R5" s="353" t="s">
        <v>618</v>
      </c>
      <c r="S5" s="353" t="s">
        <v>2196</v>
      </c>
      <c r="U5" t="str">
        <f>Master_Agent_HQsGlobal[[#This Row],[Question]]&amp;"."&amp;Master_Agent_HQsGlobal[[#This Row],[Action Type]]&amp;Master_Agent_HQsGlobal[[#This Row],[Country]]</f>
        <v>GS11.GQ1.Resolved_Onsite</v>
      </c>
      <c r="V5" t="str">
        <f ca="1">IFERROR(VLOOKUP(Master_Agent_HQsGlobal[[#This Row],[Question]],Master_Agent_HQs[#All],13,FALSE),VLOOKUP(Master_Agent_HQsGlobal[[#This Row],[Question]],INDIRECT("Master_Agent_HQs"&amp;'Gen Info'!$E$4&amp;"[#All]"),13,FALSE))</f>
        <v>Protección del Consumidor</v>
      </c>
      <c r="W5" t="str" cm="1">
        <f t="array" ref="W5">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está cobrando cargos no autorizados por las transferencias.</v>
      </c>
      <c r="X5" t="s">
        <v>2223</v>
      </c>
      <c r="AB5" t="str" cm="1">
        <f t="array" ref="AB5">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require acción. El agente ha sido debidamente entrenado en este tema durante la revisión.</v>
      </c>
      <c r="AC5" t="s">
        <v>2224</v>
      </c>
      <c r="AD5" t="s">
        <v>2225</v>
      </c>
      <c r="AE5" t="s">
        <v>2226</v>
      </c>
      <c r="AF5" t="s">
        <v>2227</v>
      </c>
      <c r="AG5" t="s">
        <v>2228</v>
      </c>
      <c r="AH5" t="s">
        <v>2229</v>
      </c>
      <c r="AI5" t="s">
        <v>2230</v>
      </c>
      <c r="AJ5" t="s">
        <v>2195</v>
      </c>
      <c r="AK5" t="s">
        <v>1244</v>
      </c>
      <c r="AO5" t="str">
        <f>IndependentGlobal[[#This Row],[Question]]&amp;"."&amp;IndependentGlobal[[#This Row],[Action Type]]&amp;IndependentGlobal[[#This Row],[Country]]</f>
        <v>GS10.GQ1.Response_Required</v>
      </c>
      <c r="AP5" t="str">
        <f ca="1">IFERROR(VLOOKUP(IndependentGlobal[[#This Row],[Question]],Independent[#All],13,FALSE),VLOOKUP(IndependentGlobal[[#This Row],[Question]],INDIRECT("Independent_"&amp;'Gen Info'!$E$4&amp;"[#All]"),13,FALSE))</f>
        <v>Revisión Independiente</v>
      </c>
      <c r="AQ5" t="str" cm="1">
        <f t="array" ref="AQ5">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tiene un programa de control de calidad que realice revisiones regulares e independientes para la evaluación y control del programa de AML/CFT y Anti-Fraude.</v>
      </c>
      <c r="AR5" t="s">
        <v>2205</v>
      </c>
      <c r="AV5" t="str" cm="1">
        <f t="array" ref="AV5">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evidencia que muestre que las Políticas y Procedimientos de AML/CFT y Anti-Fraude tienen un programa de Control de Calidad que realice revisiones regulares e independientes para la adecuada evaluación y control.</v>
      </c>
      <c r="AW5" t="s">
        <v>2231</v>
      </c>
      <c r="AX5" t="s">
        <v>2207</v>
      </c>
      <c r="AY5" t="s">
        <v>2232</v>
      </c>
      <c r="AZ5" t="s">
        <v>2233</v>
      </c>
      <c r="BA5" t="s">
        <v>2234</v>
      </c>
      <c r="BB5" t="s">
        <v>2211</v>
      </c>
      <c r="BC5" t="s">
        <v>2235</v>
      </c>
      <c r="BD5" t="s">
        <v>2215</v>
      </c>
      <c r="BE5" t="s">
        <v>1312</v>
      </c>
      <c r="BH5" t="str">
        <f>Independent_MO_OnlyGlobal[[#This Row],[Question]]&amp;"."&amp;Independent_MO_OnlyGlobal[[#This Row],[Action Type]]&amp;Independent_MO_OnlyGlobal[[#This Row],[Country]]</f>
        <v>GS2.GQ11.Response_Required</v>
      </c>
      <c r="BI5">
        <f ca="1">IFERROR(VLOOKUP(Independent_MO_OnlyGlobal[[#This Row],[Question]],Independent_MO_Only[#All],13,FALSE),VLOOKUP(Independent_MO_OnlyGlobal[[#This Row],[Question]],INDIRECT("Independent_MO_Only"&amp;'Gen Info'!$E$4&amp;"[#All]"),13,FALSE))</f>
        <v>0</v>
      </c>
      <c r="BJ5" cm="1">
        <f t="array" ref="BJ5">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5" t="s">
        <v>2236</v>
      </c>
      <c r="BO5" cm="1">
        <f t="array" ref="BO5">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5" t="s">
        <v>2237</v>
      </c>
      <c r="BW5" t="s">
        <v>2215</v>
      </c>
      <c r="BX5" t="s">
        <v>1938</v>
      </c>
      <c r="CB5" s="101" t="str">
        <f>Network_MO_OnlyGlobal[[#This Row],[Question]]&amp;"."&amp;Network_MO_OnlyGlobal[[#This Row],[Action Type]]&amp;Network_MO_OnlyGlobal[[#This Row],[Country]]</f>
        <v>GS2.GQ1.Response_Required</v>
      </c>
      <c r="CC5" s="101" t="e">
        <f ca="1">IFERROR(VLOOKUP(Network_MO_OnlyGlobal[[#This Row],[Question]],#REF!,13,FALSE),VLOOKUP(Network_MO_OnlyGlobal[[#This Row],[Question]],INDIRECT("Network_Agent_"&amp;'Gen Info'!$E$4&amp;"[#All]"),13,FALSE))</f>
        <v>#REF!</v>
      </c>
      <c r="CD5" s="101" cm="1">
        <f t="array" aca="1" ref="CD5"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5" s="101" t="s">
        <v>2216</v>
      </c>
      <c r="CF5" s="101"/>
      <c r="CG5" s="101"/>
      <c r="CH5" s="101"/>
      <c r="CI5" s="101" cm="1">
        <f t="array" ref="CI5">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5" s="353" t="s">
        <v>2238</v>
      </c>
      <c r="CK5" s="101"/>
      <c r="CL5" s="101"/>
      <c r="CM5" s="101"/>
      <c r="CN5" s="101"/>
      <c r="CO5" s="101"/>
      <c r="CP5" s="101"/>
      <c r="CQ5" s="101" t="s">
        <v>2215</v>
      </c>
      <c r="CR5" s="101" t="s">
        <v>638</v>
      </c>
      <c r="CS5" s="101"/>
      <c r="CV5" s="101" t="str">
        <f>HQ_MO_OnlyGlobal[[#This Row],[Question]]&amp;"."&amp;HQ_MO_OnlyGlobal[[#This Row],[Action Type]]&amp;HQ_MO_OnlyGlobal[[#This Row],[Country]]</f>
        <v>GS1.GQ8.Response_Required</v>
      </c>
      <c r="CW5" s="101" t="e">
        <f ca="1">IFERROR(VLOOKUP(HQ_MO_OnlyGlobal[[#This Row],[Question]],INDIRECT('Gen Info'!$D$4&amp;"[#All]"),13,FALSE),VLOOKUP(HQ_MO_OnlyGlobal[[#This Row],[Question]],INDIRECT('Gen Info'!$D$4&amp;"_"&amp;'Gen Info'!$E$4&amp;"[#All]"),13,FALSE))</f>
        <v>#REF!</v>
      </c>
      <c r="CX5" s="101" cm="1">
        <f t="array" aca="1" ref="CX5" ca="1">IFERROR(_xlfn.IFS(LocationInfo[Select Letter Language]="English",_xlfn.IFS(VLOOKUP(HQ_MO_OnlyGlobal[[#This Row],[Question]],CallTb[[#All],[iWatch '#]:[Finding Type]],6,FALSE)="","",VLOOKUP(HQ_MO_OnlyGlobal[[#This Row],[Question]],CallTb[[#All],[iWatch '#]:[Finding Type]],6,FALSE)="No_AML",HQ_MO_OnlyGlobal[[#This Row],[Finding English AML]],VLOOKUP(HQ_MO_OnlyGlobal[[#This Row],[Question]],CallTb[[#All],[iWatch '#]:[Finding Type]],6,FALSE)="No",HQ_MO_OnlyGlobal[[#This Row],[Finding English]]),LocationInfo[Select Letter Language]="Spanish",HQ_MO_OnlyGlobal[[#This Row],[Finding Spanish]],LocationInfo[Select Letter Language]="French",HQ_MO_OnlyGlobal[[#This Row],[Finding French]],LocationInfo[Select Letter Language]="Portuguese",HQ_MO_OnlyGlobal[[#This Row],[Finding Portuguese]]),"")</f>
        <v>0</v>
      </c>
      <c r="CY5" s="101" t="s">
        <v>2239</v>
      </c>
      <c r="CZ5" s="101"/>
      <c r="DA5" s="101"/>
      <c r="DB5" s="101"/>
      <c r="DC5" s="101" cm="1">
        <f t="array" ref="DC5">IFERROR(_xlfn.IFS(LocationInfo[Select Letter Language]="English",HQ_MO_OnlyGlobal[[#This Row],[Action Required English]],LocationInfo[Select Letter Language]="Spanish",HQ_MO_OnlyGlobal[[#This Row],[Action Required Spanish]],LocationInfo[Select Letter Language]="French",HQ_MO_OnlyGlobal[[#This Row],[Action Required French]],LocationInfo[Select Letter Language]="Portuguese",HQ_MO_OnlyGlobal[[#This Row],[Action Required Portuguese]]),"")</f>
        <v>0</v>
      </c>
      <c r="DD5" s="101" t="s">
        <v>2240</v>
      </c>
      <c r="DE5" s="101"/>
      <c r="DF5" s="101"/>
      <c r="DG5" s="101"/>
      <c r="DH5" s="101"/>
      <c r="DI5" s="101"/>
      <c r="DJ5" s="101"/>
      <c r="DK5" s="101" t="s">
        <v>2215</v>
      </c>
      <c r="DL5" s="101" t="s">
        <v>2241</v>
      </c>
      <c r="DM5" s="101"/>
    </row>
    <row r="6" spans="2:117" hidden="1">
      <c r="B6" s="353" t="str">
        <f>Network_AgentGlobal[[#This Row],[Question]]&amp;"."&amp;Network_AgentGlobal[[#This Row],[Action Type]]&amp;Network_AgentGlobal[[#This Row],[Country]]</f>
        <v>GS1.GQ6.Resolved_OnsiteIndia_FTF</v>
      </c>
      <c r="C6" s="353">
        <f ca="1">IFERROR(VLOOKUP(Network_AgentGlobal[[#This Row],[Question]],INDIRECT('Gen Info'!$D$4&amp;"[#All]"),13,FALSE),VLOOKUP(Network_AgentGlobal[[#This Row],[Question]],INDIRECT('Gen Info'!$D$4&amp;"_"&amp;'Gen Info'!$E$4&amp;"[#All]"),13,FALSE))</f>
        <v>0</v>
      </c>
      <c r="D6" s="353" cm="1">
        <f t="array" aca="1" ref="D6"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6" s="353" t="s">
        <v>2242</v>
      </c>
      <c r="F6" s="353"/>
      <c r="G6" s="353"/>
      <c r="H6" s="353"/>
      <c r="I6" s="353" cm="1">
        <f t="array" ref="I6">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6" s="353" t="s">
        <v>2243</v>
      </c>
      <c r="K6" s="353"/>
      <c r="L6" s="353"/>
      <c r="M6" s="353"/>
      <c r="N6" s="353"/>
      <c r="O6" s="353"/>
      <c r="P6" s="353"/>
      <c r="Q6" s="353" t="s">
        <v>2195</v>
      </c>
      <c r="R6" s="353" t="s">
        <v>628</v>
      </c>
      <c r="S6" s="353" t="s">
        <v>2196</v>
      </c>
      <c r="U6" t="str">
        <f>Master_Agent_HQsGlobal[[#This Row],[Question]]&amp;"."&amp;Master_Agent_HQsGlobal[[#This Row],[Action Type]]&amp;Master_Agent_HQsGlobal[[#This Row],[Country]]</f>
        <v>GS11.GQ2.Resolved_Onsite</v>
      </c>
      <c r="V6" t="str">
        <f ca="1">IFERROR(VLOOKUP(Master_Agent_HQsGlobal[[#This Row],[Question]],Master_Agent_HQs[#All],13,FALSE),VLOOKUP(Master_Agent_HQsGlobal[[#This Row],[Question]],INDIRECT("Master_Agent_HQs"&amp;'Gen Info'!$E$4&amp;"[#All]"),13,FALSE))</f>
        <v>Protección del Consumidor</v>
      </c>
      <c r="W6" t="str" cm="1">
        <f t="array" ref="W6">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paga el monto principal exacto indicado en el sistema de Western Union.</v>
      </c>
      <c r="X6" t="s">
        <v>2244</v>
      </c>
      <c r="AA6" s="143"/>
      <c r="AB6" t="str" cm="1">
        <f t="array" ref="AB6">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require acción. El agente ha sido debidamente entrenado en este tema durante la revisión.</v>
      </c>
      <c r="AC6" t="s">
        <v>2224</v>
      </c>
      <c r="AD6" t="s">
        <v>2245</v>
      </c>
      <c r="AE6" t="s">
        <v>2226</v>
      </c>
      <c r="AF6" t="s">
        <v>2246</v>
      </c>
      <c r="AG6" t="s">
        <v>2228</v>
      </c>
      <c r="AH6" t="s">
        <v>2247</v>
      </c>
      <c r="AI6" t="s">
        <v>2230</v>
      </c>
      <c r="AJ6" t="s">
        <v>2195</v>
      </c>
      <c r="AK6" t="s">
        <v>1541</v>
      </c>
      <c r="AO6" t="str">
        <f>IndependentGlobal[[#This Row],[Question]]&amp;"."&amp;IndependentGlobal[[#This Row],[Action Type]]&amp;IndependentGlobal[[#This Row],[Country]]</f>
        <v>GS10.GQ2.Resolved_Onsite</v>
      </c>
      <c r="AP6" t="str">
        <f ca="1">IFERROR(VLOOKUP(IndependentGlobal[[#This Row],[Question]],Independent[#All],13,FALSE),VLOOKUP(IndependentGlobal[[#This Row],[Question]],INDIRECT("Independent_"&amp;'Gen Info'!$E$4&amp;"[#All]"),13,FALSE))</f>
        <v>Revisión Independiente</v>
      </c>
      <c r="AQ6" t="str" cm="1">
        <f t="array" ref="AQ6">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No hay documentación que compruebe que se ha realizado la Revisión Independiente.</v>
      </c>
      <c r="AR6" t="s">
        <v>2248</v>
      </c>
      <c r="AV6" t="str" cm="1">
        <f t="array" ref="AV6">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El agente ha sido debidamente entrenado en este tema durante la revisión.</v>
      </c>
      <c r="AW6" t="s">
        <v>2224</v>
      </c>
      <c r="AX6" t="s">
        <v>2249</v>
      </c>
      <c r="AY6" t="s">
        <v>2226</v>
      </c>
      <c r="AZ6" t="s">
        <v>2250</v>
      </c>
      <c r="BA6" t="s">
        <v>2251</v>
      </c>
      <c r="BB6" t="s">
        <v>2252</v>
      </c>
      <c r="BC6" t="s">
        <v>2230</v>
      </c>
      <c r="BD6" t="s">
        <v>2195</v>
      </c>
      <c r="BE6" t="s">
        <v>1326</v>
      </c>
      <c r="BH6" t="str">
        <f>Independent_MO_OnlyGlobal[[#This Row],[Question]]&amp;"."&amp;Independent_MO_OnlyGlobal[[#This Row],[Action Type]]&amp;Independent_MO_OnlyGlobal[[#This Row],[Country]]</f>
        <v>GS2.GQ13.Response_Required</v>
      </c>
      <c r="BI6">
        <f ca="1">IFERROR(VLOOKUP(Independent_MO_OnlyGlobal[[#This Row],[Question]],Independent_MO_Only[#All],13,FALSE),VLOOKUP(Independent_MO_OnlyGlobal[[#This Row],[Question]],INDIRECT("Independent_MO_Only"&amp;'Gen Info'!$E$4&amp;"[#All]"),13,FALSE))</f>
        <v>0</v>
      </c>
      <c r="BJ6" cm="1">
        <f t="array" ref="BJ6">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6" t="s">
        <v>2248</v>
      </c>
      <c r="BO6" cm="1">
        <f t="array" ref="BO6">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6" t="s">
        <v>2253</v>
      </c>
      <c r="BW6" t="s">
        <v>2215</v>
      </c>
      <c r="BX6" t="s">
        <v>1957</v>
      </c>
      <c r="CB6" s="101" t="str">
        <f>Network_MO_OnlyGlobal[[#This Row],[Question]]&amp;"."&amp;Network_MO_OnlyGlobal[[#This Row],[Action Type]]&amp;Network_MO_OnlyGlobal[[#This Row],[Country]]</f>
        <v>GS3.GQ1.Resolved_Onsite</v>
      </c>
      <c r="CC6" s="101" t="e">
        <f ca="1">IFERROR(VLOOKUP(Network_MO_OnlyGlobal[[#This Row],[Question]],#REF!,13,FALSE),VLOOKUP(Network_MO_OnlyGlobal[[#This Row],[Question]],INDIRECT("Network_Agent_"&amp;'Gen Info'!$E$4&amp;"[#All]"),13,FALSE))</f>
        <v>#REF!</v>
      </c>
      <c r="CD6" s="101" cm="1">
        <f t="array" aca="1" ref="CD6"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6" s="101" t="s">
        <v>2254</v>
      </c>
      <c r="CF6" s="101"/>
      <c r="CG6" s="101"/>
      <c r="CH6" s="101"/>
      <c r="CI6" s="101" cm="1">
        <f t="array" ref="CI6">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6" s="101" t="s">
        <v>2255</v>
      </c>
      <c r="CK6" s="101"/>
      <c r="CL6" s="101"/>
      <c r="CM6" s="101"/>
      <c r="CN6" s="101"/>
      <c r="CO6" s="101"/>
      <c r="CP6" s="101"/>
      <c r="CQ6" s="101" t="s">
        <v>2195</v>
      </c>
      <c r="CR6" s="101" t="s">
        <v>661</v>
      </c>
      <c r="CS6" s="353"/>
      <c r="CV6" s="101" t="str">
        <f>HQ_MO_OnlyGlobal[[#This Row],[Question]]&amp;"."&amp;HQ_MO_OnlyGlobal[[#This Row],[Action Type]]&amp;HQ_MO_OnlyGlobal[[#This Row],[Country]]</f>
        <v>GS2.GQ1.Response_Required</v>
      </c>
      <c r="CW6" s="101" t="str">
        <f ca="1">IFERROR(VLOOKUP(HQ_MO_OnlyGlobal[[#This Row],[Question]],INDIRECT('Gen Info'!$D$4&amp;"[#All]"),13,FALSE),VLOOKUP(HQ_MO_OnlyGlobal[[#This Row],[Question]],INDIRECT('Gen Info'!$D$4&amp;"_"&amp;'Gen Info'!$E$4&amp;"[#All]"),13,FALSE))</f>
        <v>Historial de Cumplimiento</v>
      </c>
      <c r="CX6" s="101" cm="1">
        <f t="array" aca="1" ref="CX6" ca="1">IFERROR(_xlfn.IFS(LocationInfo[Select Letter Language]="English",_xlfn.IFS(VLOOKUP(HQ_MO_OnlyGlobal[[#This Row],[Question]],CallTb[[#All],[iWatch '#]:[Finding Type]],6,FALSE)="","",VLOOKUP(HQ_MO_OnlyGlobal[[#This Row],[Question]],CallTb[[#All],[iWatch '#]:[Finding Type]],6,FALSE)="No_AML",HQ_MO_OnlyGlobal[[#This Row],[Finding English AML]],VLOOKUP(HQ_MO_OnlyGlobal[[#This Row],[Question]],CallTb[[#All],[iWatch '#]:[Finding Type]],6,FALSE)="No",HQ_MO_OnlyGlobal[[#This Row],[Finding English]]),LocationInfo[Select Letter Language]="Spanish",HQ_MO_OnlyGlobal[[#This Row],[Finding Spanish]],LocationInfo[Select Letter Language]="French",HQ_MO_OnlyGlobal[[#This Row],[Finding French]],LocationInfo[Select Letter Language]="Portuguese",HQ_MO_OnlyGlobal[[#This Row],[Finding Portuguese]]),"")</f>
        <v>0</v>
      </c>
      <c r="CY6" s="101" t="s">
        <v>2256</v>
      </c>
      <c r="CZ6" s="101"/>
      <c r="DA6" s="101"/>
      <c r="DB6" s="101"/>
      <c r="DC6" s="101" cm="1">
        <f t="array" ref="DC6">IFERROR(_xlfn.IFS(LocationInfo[Select Letter Language]="English",HQ_MO_OnlyGlobal[[#This Row],[Action Required English]],LocationInfo[Select Letter Language]="Spanish",HQ_MO_OnlyGlobal[[#This Row],[Action Required Spanish]],LocationInfo[Select Letter Language]="French",HQ_MO_OnlyGlobal[[#This Row],[Action Required French]],LocationInfo[Select Letter Language]="Portuguese",HQ_MO_OnlyGlobal[[#This Row],[Action Required Portuguese]]),"")</f>
        <v>0</v>
      </c>
      <c r="DD6" s="101" t="s">
        <v>2257</v>
      </c>
      <c r="DE6" s="101"/>
      <c r="DF6" s="101"/>
      <c r="DG6" s="101"/>
      <c r="DH6" s="101"/>
      <c r="DI6" s="101"/>
      <c r="DJ6" s="101"/>
      <c r="DK6" s="101" t="s">
        <v>2215</v>
      </c>
      <c r="DL6" s="101" t="s">
        <v>638</v>
      </c>
      <c r="DM6" s="101"/>
    </row>
    <row r="7" spans="2:117" hidden="1">
      <c r="B7" s="353" t="str">
        <f>Network_AgentGlobal[[#This Row],[Question]]&amp;"."&amp;Network_AgentGlobal[[#This Row],[Action Type]]&amp;Network_AgentGlobal[[#This Row],[Country]]</f>
        <v>GS1.GQ7.Response_RequiredIndia_FTF</v>
      </c>
      <c r="C7" s="353" t="e">
        <f ca="1">IFERROR(VLOOKUP(Network_AgentGlobal[[#This Row],[Question]],INDIRECT('Gen Info'!$D$4&amp;"[#All]"),13,FALSE),VLOOKUP(Network_AgentGlobal[[#This Row],[Question]],INDIRECT('Gen Info'!$D$4&amp;"_"&amp;'Gen Info'!$E$4&amp;"[#All]"),13,FALSE))</f>
        <v>#REF!</v>
      </c>
      <c r="D7" s="353" cm="1">
        <f t="array" aca="1" ref="D7"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7" s="353" t="s">
        <v>2244</v>
      </c>
      <c r="F7" s="353"/>
      <c r="G7" s="353"/>
      <c r="H7" s="353"/>
      <c r="I7" s="353" cm="1">
        <f t="array" ref="I7">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7" s="353" t="s">
        <v>2258</v>
      </c>
      <c r="K7" s="353"/>
      <c r="L7" s="353"/>
      <c r="M7" s="353"/>
      <c r="N7" s="353"/>
      <c r="O7" s="353"/>
      <c r="P7" s="353"/>
      <c r="Q7" s="353" t="s">
        <v>2215</v>
      </c>
      <c r="R7" s="353" t="s">
        <v>2259</v>
      </c>
      <c r="S7" s="353" t="s">
        <v>2196</v>
      </c>
      <c r="U7" t="str">
        <f>Master_Agent_HQsGlobal[[#This Row],[Question]]&amp;"."&amp;Master_Agent_HQsGlobal[[#This Row],[Action Type]]&amp;Master_Agent_HQsGlobal[[#This Row],[Country]]</f>
        <v>GS12.GQ1.Resolved_Onsite</v>
      </c>
      <c r="V7" t="str">
        <f ca="1">IFERROR(VLOOKUP(Master_Agent_HQsGlobal[[#This Row],[Question]],Master_Agent_HQs[#All],13,FALSE),VLOOKUP(Master_Agent_HQsGlobal[[#This Row],[Question]],INDIRECT("Master_Agent_HQs"&amp;'Gen Info'!$E$4&amp;"[#All]"),13,FALSE))</f>
        <v>Conservación de Registros</v>
      </c>
      <c r="W7" t="str" cm="1">
        <f t="array" ref="W7">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puede confirmar que tiene Políticas y Procedimientos ni puede proporcionar documentación de que está en cumplimiento.</v>
      </c>
      <c r="X7" t="s">
        <v>2260</v>
      </c>
      <c r="AA7" s="143"/>
      <c r="AB7" t="str" cm="1">
        <f t="array" ref="AB7">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requiere acción. El agente ha sido debidamente entrenado en este tema durante la revisión.</v>
      </c>
      <c r="AC7" t="s">
        <v>2224</v>
      </c>
      <c r="AD7" t="s">
        <v>2261</v>
      </c>
      <c r="AE7" t="s">
        <v>2262</v>
      </c>
      <c r="AF7" t="s">
        <v>2263</v>
      </c>
      <c r="AG7" t="s">
        <v>2228</v>
      </c>
      <c r="AH7" s="97" t="s">
        <v>2264</v>
      </c>
      <c r="AI7" t="s">
        <v>2230</v>
      </c>
      <c r="AJ7" t="s">
        <v>2195</v>
      </c>
      <c r="AK7" t="s">
        <v>1425</v>
      </c>
      <c r="AO7" t="str">
        <f>IndependentGlobal[[#This Row],[Question]]&amp;"."&amp;IndependentGlobal[[#This Row],[Action Type]]&amp;IndependentGlobal[[#This Row],[Country]]</f>
        <v>GS10.GQ2.Response_Required</v>
      </c>
      <c r="AP7" t="str">
        <f ca="1">IFERROR(VLOOKUP(IndependentGlobal[[#This Row],[Question]],Independent[#All],13,FALSE),VLOOKUP(IndependentGlobal[[#This Row],[Question]],INDIRECT("Independent_"&amp;'Gen Info'!$E$4&amp;"[#All]"),13,FALSE))</f>
        <v>Revisión Independiente</v>
      </c>
      <c r="AQ7" t="str" cm="1">
        <f t="array" ref="AQ7">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No hay documentación que compruebe que se ha realizado la Revisión Independiente.</v>
      </c>
      <c r="AR7" t="s">
        <v>2248</v>
      </c>
      <c r="AV7" t="str" cm="1">
        <f t="array" ref="AV7">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evidencia de la Revisión Independiente.</v>
      </c>
      <c r="AW7" t="s">
        <v>2265</v>
      </c>
      <c r="AX7" t="s">
        <v>2249</v>
      </c>
      <c r="AY7" t="s">
        <v>2266</v>
      </c>
      <c r="AZ7" t="s">
        <v>2250</v>
      </c>
      <c r="BA7" t="s">
        <v>2267</v>
      </c>
      <c r="BB7" t="s">
        <v>2252</v>
      </c>
      <c r="BC7" t="s">
        <v>2268</v>
      </c>
      <c r="BD7" t="s">
        <v>2215</v>
      </c>
      <c r="BE7" t="s">
        <v>1326</v>
      </c>
      <c r="BH7" t="str">
        <f>Independent_MO_OnlyGlobal[[#This Row],[Question]]&amp;"."&amp;Independent_MO_OnlyGlobal[[#This Row],[Action Type]]&amp;Independent_MO_OnlyGlobal[[#This Row],[Country]]</f>
        <v>GS2.GQ15.Response_Required</v>
      </c>
      <c r="BI7">
        <f ca="1">IFERROR(VLOOKUP(Independent_MO_OnlyGlobal[[#This Row],[Question]],Independent_MO_Only[#All],13,FALSE),VLOOKUP(Independent_MO_OnlyGlobal[[#This Row],[Question]],INDIRECT("Independent_MO_Only"&amp;'Gen Info'!$E$4&amp;"[#All]"),13,FALSE))</f>
        <v>0</v>
      </c>
      <c r="BJ7" cm="1">
        <f t="array" ref="BJ7">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7" t="s">
        <v>2269</v>
      </c>
      <c r="BO7" cm="1">
        <f t="array" ref="BO7">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7" t="s">
        <v>2270</v>
      </c>
      <c r="BW7" t="s">
        <v>2215</v>
      </c>
      <c r="BX7" t="s">
        <v>1973</v>
      </c>
      <c r="CB7" s="101" t="str">
        <f>Network_MO_OnlyGlobal[[#This Row],[Question]]&amp;"."&amp;Network_MO_OnlyGlobal[[#This Row],[Action Type]]&amp;Network_MO_OnlyGlobal[[#This Row],[Country]]</f>
        <v>GS3.GQ2.Response_Required</v>
      </c>
      <c r="CC7" s="101" t="e">
        <f ca="1">IFERROR(VLOOKUP(Network_MO_OnlyGlobal[[#This Row],[Question]],#REF!,13,FALSE),VLOOKUP(Network_MO_OnlyGlobal[[#This Row],[Question]],INDIRECT("Network_Agent_"&amp;'Gen Info'!$E$4&amp;"[#All]"),13,FALSE))</f>
        <v>#REF!</v>
      </c>
      <c r="CD7" s="101" cm="1">
        <f t="array" aca="1" ref="CD7"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7" s="437" t="e" cm="1">
        <f t="array" ref="CE7">_xlfn.IFS(INDEX(CallTb[#All],MATCH(Network_MO_OnlyGlobal[[#This Row],[QNumber]],CallTb[[#All],[QNumber]],0),7)="No","FLAs are sharing Operator IDs and passwords to speed up processing",INDEX(CallTb[#All],MATCH(Network_MO_OnlyGlobal[[#This Row],[QNumber]],CallTb[[#All],[QNumber]],0),7)="No_AML","FLAs are sharing Operator IDs and passwords to avoid compliance controls.")</f>
        <v>#N/A</v>
      </c>
      <c r="CF7" s="101"/>
      <c r="CG7" s="101"/>
      <c r="CH7" s="101"/>
      <c r="CI7" s="101" cm="1">
        <f t="array" ref="CI7">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7" s="438" t="e" cm="1">
        <f t="array" ref="CJ7">_xlfn.IFS(INDEX(CallTb[#All],MATCH(Network_MO_OnlyGlobal[[#This Row],[QNumber]],CallTb[[#All],[QNumber]],0),7)="No","Ensure FLAs use their personal and unique login credentials (IDs and passcodes) to all Western Union systems. Western Union will follow up on this item to confirm that credentials are properly utilized by each FLA.",INDEX(CallTb[#All],MATCH(Network_MO_OnlyGlobal[[#This Row],[QNumber]],CallTb[[#All],[QNumber]],0),7)="No_AML","Provide Western Union confirmation of FLAs using their personal and unique login credentials (IDs and passcodes) to all Western Union systems (Suspension). Remediation should follow the timeline and requirements as dictated by the reactivation plan. ")</f>
        <v>#N/A</v>
      </c>
      <c r="CK7" s="101"/>
      <c r="CL7" s="101"/>
      <c r="CM7" s="101"/>
      <c r="CN7" s="101"/>
      <c r="CO7" s="101"/>
      <c r="CP7" s="101"/>
      <c r="CQ7" s="101" t="s">
        <v>2215</v>
      </c>
      <c r="CR7" s="101" t="s">
        <v>677</v>
      </c>
      <c r="CS7" s="101"/>
      <c r="CV7" s="101" t="str">
        <f>HQ_MO_OnlyGlobal[[#This Row],[Question]]&amp;"."&amp;HQ_MO_OnlyGlobal[[#This Row],[Action Type]]&amp;HQ_MO_OnlyGlobal[[#This Row],[Country]]</f>
        <v>GS2.GQ3.Resolved_Onsite</v>
      </c>
      <c r="CW7" s="101" t="e">
        <f ca="1">IFERROR(VLOOKUP(HQ_MO_OnlyGlobal[[#This Row],[Question]],INDIRECT('Gen Info'!$D$4&amp;"[#All]"),13,FALSE),VLOOKUP(HQ_MO_OnlyGlobal[[#This Row],[Question]],INDIRECT('Gen Info'!$D$4&amp;"_"&amp;'Gen Info'!$E$4&amp;"[#All]"),13,FALSE))</f>
        <v>#REF!</v>
      </c>
      <c r="CX7" s="101" cm="1">
        <f t="array" aca="1" ref="CX7" ca="1">IFERROR(_xlfn.IFS(LocationInfo[Select Letter Language]="English",_xlfn.IFS(VLOOKUP(HQ_MO_OnlyGlobal[[#This Row],[Question]],CallTb[[#All],[iWatch '#]:[Finding Type]],6,FALSE)="","",VLOOKUP(HQ_MO_OnlyGlobal[[#This Row],[Question]],CallTb[[#All],[iWatch '#]:[Finding Type]],6,FALSE)="No_AML",HQ_MO_OnlyGlobal[[#This Row],[Finding English AML]],VLOOKUP(HQ_MO_OnlyGlobal[[#This Row],[Question]],CallTb[[#All],[iWatch '#]:[Finding Type]],6,FALSE)="No",HQ_MO_OnlyGlobal[[#This Row],[Finding English]]),LocationInfo[Select Letter Language]="Spanish",HQ_MO_OnlyGlobal[[#This Row],[Finding Spanish]],LocationInfo[Select Letter Language]="French",HQ_MO_OnlyGlobal[[#This Row],[Finding French]],LocationInfo[Select Letter Language]="Portuguese",HQ_MO_OnlyGlobal[[#This Row],[Finding Portuguese]]),"")</f>
        <v>0</v>
      </c>
      <c r="CY7" s="101" t="s">
        <v>2271</v>
      </c>
      <c r="CZ7" s="101"/>
      <c r="DA7" s="101"/>
      <c r="DB7" s="101"/>
      <c r="DC7" s="101" cm="1">
        <f t="array" ref="DC7">IFERROR(_xlfn.IFS(LocationInfo[Select Letter Language]="English",HQ_MO_OnlyGlobal[[#This Row],[Action Required English]],LocationInfo[Select Letter Language]="Spanish",HQ_MO_OnlyGlobal[[#This Row],[Action Required Spanish]],LocationInfo[Select Letter Language]="French",HQ_MO_OnlyGlobal[[#This Row],[Action Required French]],LocationInfo[Select Letter Language]="Portuguese",HQ_MO_OnlyGlobal[[#This Row],[Action Required Portuguese]]),"")</f>
        <v>0</v>
      </c>
      <c r="DD7" s="101" t="s">
        <v>2272</v>
      </c>
      <c r="DE7" s="101"/>
      <c r="DF7" s="101"/>
      <c r="DG7" s="101"/>
      <c r="DH7" s="101"/>
      <c r="DI7" s="101"/>
      <c r="DJ7" s="101"/>
      <c r="DK7" s="101" t="s">
        <v>2195</v>
      </c>
      <c r="DL7" s="101" t="s">
        <v>1897</v>
      </c>
      <c r="DM7" s="101"/>
    </row>
    <row r="8" spans="2:117" hidden="1">
      <c r="B8" s="353" t="str">
        <f>Network_AgentGlobal[[#This Row],[Question]]&amp;"."&amp;Network_AgentGlobal[[#This Row],[Action Type]]&amp;Network_AgentGlobal[[#This Row],[Country]]</f>
        <v>GS3.RQ1.Resolved_OnsiteCanada</v>
      </c>
      <c r="C8" s="353" t="e">
        <f ca="1">IFERROR(VLOOKUP(Network_AgentGlobal[[#This Row],[Question]],INDIRECT('Gen Info'!$D$4&amp;"[#All]"),13,FALSE),VLOOKUP(Network_AgentGlobal[[#This Row],[Question]],INDIRECT('Gen Info'!$D$4&amp;"_"&amp;'Gen Info'!$E$4&amp;"[#All]"),13,FALSE))</f>
        <v>#REF!</v>
      </c>
      <c r="D8" s="353" t="str" cm="1">
        <f t="array" aca="1" ref="D8"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El Agente no informa a WU sobre cambios materiales en la información personal o de la empresa relacionados con la propiedad, el registro y/o la gestión del Agente.</v>
      </c>
      <c r="E8" s="353" t="s">
        <v>2273</v>
      </c>
      <c r="F8" s="353"/>
      <c r="G8" s="353"/>
      <c r="H8" s="353"/>
      <c r="I8" s="353" t="str" cm="1">
        <f t="array" ref="I8">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No se requiere accion. El agente ha proporcionado la documentación necesaria requerida.</v>
      </c>
      <c r="J8" s="353" t="s">
        <v>2274</v>
      </c>
      <c r="K8" s="353" t="s">
        <v>2275</v>
      </c>
      <c r="L8" s="353" t="s">
        <v>2276</v>
      </c>
      <c r="M8" s="353" t="s">
        <v>2277</v>
      </c>
      <c r="N8" s="353" t="s">
        <v>2278</v>
      </c>
      <c r="O8" s="353" t="s">
        <v>2279</v>
      </c>
      <c r="P8" s="353" t="s">
        <v>2280</v>
      </c>
      <c r="Q8" s="353" t="s">
        <v>2195</v>
      </c>
      <c r="R8" s="353" t="s">
        <v>630</v>
      </c>
      <c r="S8" s="353" t="s">
        <v>2281</v>
      </c>
      <c r="U8" t="str">
        <f>Master_Agent_HQsGlobal[[#This Row],[Question]]&amp;"."&amp;Master_Agent_HQsGlobal[[#This Row],[Action Type]]&amp;Master_Agent_HQsGlobal[[#This Row],[Country]]</f>
        <v>GS2.GQ1.Resolved_Onsite</v>
      </c>
      <c r="V8" t="str">
        <f ca="1">IFERROR(VLOOKUP(Master_Agent_HQsGlobal[[#This Row],[Question]],Master_Agent_HQs[#All],13,FALSE),VLOOKUP(Master_Agent_HQsGlobal[[#This Row],[Question]],INDIRECT("Master_Agent_HQs"&amp;'Gen Info'!$E$4&amp;"[#All]"),13,FALSE))</f>
        <v>Historial de Cumplimiento</v>
      </c>
      <c r="W8" t="str" cm="1">
        <f t="array" ref="W8">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ha remediado todos los hallazgos o investigaciones de FIU o FRM relacionados con la última revisión del programa, que vencían en la fecha de la presente revisión o antes.</v>
      </c>
      <c r="X8" t="s">
        <v>2282</v>
      </c>
      <c r="AA8" s="143"/>
      <c r="AB8" t="str" cm="1">
        <f t="array" ref="AB8">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Se le ha indicado al agente que corrija todos los hallazgos pendientes por resolver encontrados a partir de la última revisión del programa o investigaciones de FIU o FRM.</v>
      </c>
      <c r="AC8" t="s">
        <v>2283</v>
      </c>
      <c r="AD8" t="s">
        <v>2284</v>
      </c>
      <c r="AE8" t="s">
        <v>2285</v>
      </c>
      <c r="AF8" t="s">
        <v>2286</v>
      </c>
      <c r="AG8" t="s">
        <v>2287</v>
      </c>
      <c r="AH8" t="s">
        <v>2288</v>
      </c>
      <c r="AI8" t="s">
        <v>2289</v>
      </c>
      <c r="AJ8" t="s">
        <v>2195</v>
      </c>
      <c r="AK8" t="s">
        <v>638</v>
      </c>
      <c r="AO8" t="str">
        <f>IndependentGlobal[[#This Row],[Question]]&amp;"."&amp;IndependentGlobal[[#This Row],[Action Type]]&amp;IndependentGlobal[[#This Row],[Country]]</f>
        <v>GS10.GQ3.Resolved_Onsite</v>
      </c>
      <c r="AP8" t="str">
        <f ca="1">IFERROR(VLOOKUP(IndependentGlobal[[#This Row],[Question]],Independent[#All],13,FALSE),VLOOKUP(IndependentGlobal[[#This Row],[Question]],INDIRECT("Independent_"&amp;'Gen Info'!$E$4&amp;"[#All]"),13,FALSE))</f>
        <v>Revisión Independiente</v>
      </c>
      <c r="AQ8" t="str" cm="1">
        <f t="array" ref="AQ8">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Las deficiencias encontradas en la Revisión Independiente, no han sido corregidas.</v>
      </c>
      <c r="AR8" t="s">
        <v>2290</v>
      </c>
      <c r="AV8" t="str" cm="1">
        <f t="array" ref="AV8">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El agente brindó un plan de acción para la corrección de las deficiencias encontradas en la Revisión Independiente.</v>
      </c>
      <c r="AW8" t="s">
        <v>2291</v>
      </c>
      <c r="AX8" t="s">
        <v>2292</v>
      </c>
      <c r="AY8" t="s">
        <v>2293</v>
      </c>
      <c r="AZ8" t="s">
        <v>2294</v>
      </c>
      <c r="BA8" t="s">
        <v>2295</v>
      </c>
      <c r="BB8" t="s">
        <v>2296</v>
      </c>
      <c r="BC8" t="s">
        <v>2297</v>
      </c>
      <c r="BD8" t="s">
        <v>2195</v>
      </c>
      <c r="BE8" t="s">
        <v>1343</v>
      </c>
      <c r="BH8" t="str">
        <f>Independent_MO_OnlyGlobal[[#This Row],[Question]]&amp;"."&amp;Independent_MO_OnlyGlobal[[#This Row],[Action Type]]&amp;Independent_MO_OnlyGlobal[[#This Row],[Country]]</f>
        <v>GS3.GQ1.Response_Required</v>
      </c>
      <c r="BI8">
        <f ca="1">IFERROR(VLOOKUP(Independent_MO_OnlyGlobal[[#This Row],[Question]],Independent_MO_Only[#All],13,FALSE),VLOOKUP(Independent_MO_OnlyGlobal[[#This Row],[Question]],INDIRECT("Independent_MO_Only"&amp;'Gen Info'!$E$4&amp;"[#All]"),13,FALSE))</f>
        <v>0</v>
      </c>
      <c r="BJ8" cm="1">
        <f t="array" ref="BJ8">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8" t="s">
        <v>2298</v>
      </c>
      <c r="BO8" cm="1">
        <f t="array" ref="BO8">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8" t="s">
        <v>2299</v>
      </c>
      <c r="BW8" t="s">
        <v>2215</v>
      </c>
      <c r="BX8" t="s">
        <v>661</v>
      </c>
      <c r="CB8" s="101" t="str">
        <f>Network_MO_OnlyGlobal[[#This Row],[Question]]&amp;"."&amp;Network_MO_OnlyGlobal[[#This Row],[Action Type]]&amp;Network_MO_OnlyGlobal[[#This Row],[Country]]</f>
        <v>GS3.GQ3.Response_Required</v>
      </c>
      <c r="CC8" s="101" t="e">
        <f ca="1">IFERROR(VLOOKUP(Network_MO_OnlyGlobal[[#This Row],[Question]],#REF!,13,FALSE),VLOOKUP(Network_MO_OnlyGlobal[[#This Row],[Question]],INDIRECT("Network_Agent_"&amp;'Gen Info'!$E$4&amp;"[#All]"),13,FALSE))</f>
        <v>#REF!</v>
      </c>
      <c r="CD8" s="101" cm="1">
        <f t="array" aca="1" ref="CD8"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8" s="101" t="s">
        <v>2300</v>
      </c>
      <c r="CF8" s="101"/>
      <c r="CG8" s="101"/>
      <c r="CH8" s="101"/>
      <c r="CI8" s="101" cm="1">
        <f t="array" ref="CI8">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8" s="101" t="s">
        <v>2301</v>
      </c>
      <c r="CK8" s="101"/>
      <c r="CL8" s="101"/>
      <c r="CM8" s="101"/>
      <c r="CN8" s="101"/>
      <c r="CO8" s="101"/>
      <c r="CP8" s="101"/>
      <c r="CQ8" s="101" t="s">
        <v>2215</v>
      </c>
      <c r="CR8" s="101" t="s">
        <v>693</v>
      </c>
      <c r="CS8" s="101"/>
      <c r="CV8" s="101" t="str">
        <f>HQ_MO_OnlyGlobal[[#This Row],[Question]]&amp;"."&amp;HQ_MO_OnlyGlobal[[#This Row],[Action Type]]&amp;HQ_MO_OnlyGlobal[[#This Row],[Country]]</f>
        <v>GS2.GQ4.Response_Required</v>
      </c>
      <c r="CW8" s="101" t="e">
        <f ca="1">IFERROR(VLOOKUP(HQ_MO_OnlyGlobal[[#This Row],[Question]],INDIRECT('Gen Info'!$D$4&amp;"[#All]"),13,FALSE),VLOOKUP(HQ_MO_OnlyGlobal[[#This Row],[Question]],INDIRECT('Gen Info'!$D$4&amp;"_"&amp;'Gen Info'!$E$4&amp;"[#All]"),13,FALSE))</f>
        <v>#REF!</v>
      </c>
      <c r="CX8" s="101" cm="1">
        <f t="array" aca="1" ref="CX8" ca="1">IFERROR(_xlfn.IFS(LocationInfo[Select Letter Language]="English",_xlfn.IFS(VLOOKUP(HQ_MO_OnlyGlobal[[#This Row],[Question]],CallTb[[#All],[iWatch '#]:[Finding Type]],6,FALSE)="","",VLOOKUP(HQ_MO_OnlyGlobal[[#This Row],[Question]],CallTb[[#All],[iWatch '#]:[Finding Type]],6,FALSE)="No_AML",HQ_MO_OnlyGlobal[[#This Row],[Finding English AML]],VLOOKUP(HQ_MO_OnlyGlobal[[#This Row],[Question]],CallTb[[#All],[iWatch '#]:[Finding Type]],6,FALSE)="No",HQ_MO_OnlyGlobal[[#This Row],[Finding English]]),LocationInfo[Select Letter Language]="Spanish",HQ_MO_OnlyGlobal[[#This Row],[Finding Spanish]],LocationInfo[Select Letter Language]="French",HQ_MO_OnlyGlobal[[#This Row],[Finding French]],LocationInfo[Select Letter Language]="Portuguese",HQ_MO_OnlyGlobal[[#This Row],[Finding Portuguese]]),"")</f>
        <v>0</v>
      </c>
      <c r="CY8" s="101" t="s">
        <v>2302</v>
      </c>
      <c r="CZ8" s="101"/>
      <c r="DA8" s="101"/>
      <c r="DB8" s="101"/>
      <c r="DC8" s="101" cm="1">
        <f t="array" ref="DC8">IFERROR(_xlfn.IFS(LocationInfo[Select Letter Language]="English",HQ_MO_OnlyGlobal[[#This Row],[Action Required English]],LocationInfo[Select Letter Language]="Spanish",HQ_MO_OnlyGlobal[[#This Row],[Action Required Spanish]],LocationInfo[Select Letter Language]="French",HQ_MO_OnlyGlobal[[#This Row],[Action Required French]],LocationInfo[Select Letter Language]="Portuguese",HQ_MO_OnlyGlobal[[#This Row],[Action Required Portuguese]]),"")</f>
        <v>0</v>
      </c>
      <c r="DD8" s="101" t="s">
        <v>2303</v>
      </c>
      <c r="DE8" s="101"/>
      <c r="DF8" s="101"/>
      <c r="DG8" s="101"/>
      <c r="DH8" s="101"/>
      <c r="DI8" s="101"/>
      <c r="DJ8" s="101"/>
      <c r="DK8" s="101" t="s">
        <v>2215</v>
      </c>
      <c r="DL8" s="101" t="s">
        <v>1902</v>
      </c>
      <c r="DM8" s="101"/>
    </row>
    <row r="9" spans="2:117" hidden="1">
      <c r="B9" s="353" t="str">
        <f>Network_AgentGlobal[[#This Row],[Question]]&amp;"."&amp;Network_AgentGlobal[[#This Row],[Action Type]]&amp;Network_AgentGlobal[[#This Row],[Country]]</f>
        <v>GS1.RQ1.Resolved_OnsiteIndia_FTF</v>
      </c>
      <c r="C9" s="353" t="e">
        <f ca="1">IFERROR(VLOOKUP(Network_AgentGlobal[[#This Row],[Question]],INDIRECT('Gen Info'!$D$4&amp;"[#All]"),13,FALSE),VLOOKUP(Network_AgentGlobal[[#This Row],[Question]],INDIRECT('Gen Info'!$D$4&amp;"_"&amp;'Gen Info'!$E$4&amp;"[#All]"),13,FALSE))</f>
        <v>#REF!</v>
      </c>
      <c r="D9" s="353" cm="1">
        <f t="array" aca="1" ref="D9"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9" s="353" t="s">
        <v>2304</v>
      </c>
      <c r="F9" s="353"/>
      <c r="G9" s="353"/>
      <c r="H9" s="353"/>
      <c r="I9" s="353" cm="1">
        <f t="array" ref="I9">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9" s="353" t="s">
        <v>2305</v>
      </c>
      <c r="K9" s="353"/>
      <c r="L9" s="353"/>
      <c r="M9" s="353"/>
      <c r="N9" s="353"/>
      <c r="O9" s="353"/>
      <c r="P9" s="353"/>
      <c r="Q9" s="353" t="s">
        <v>2195</v>
      </c>
      <c r="R9" s="353" t="s">
        <v>1645</v>
      </c>
      <c r="S9" s="353" t="s">
        <v>2196</v>
      </c>
      <c r="U9" t="str">
        <f>Master_Agent_HQsGlobal[[#This Row],[Question]]&amp;"."&amp;Master_Agent_HQsGlobal[[#This Row],[Action Type]]&amp;Master_Agent_HQsGlobal[[#This Row],[Country]]</f>
        <v>GS3.GQ2.Resolved_Onsite</v>
      </c>
      <c r="V9" t="str">
        <f ca="1">IFERROR(VLOOKUP(Master_Agent_HQsGlobal[[#This Row],[Question]],Master_Agent_HQs[#All],13,FALSE),VLOOKUP(Master_Agent_HQsGlobal[[#This Row],[Question]],INDIRECT("Master_Agent_HQs"&amp;'Gen Info'!$E$4&amp;"[#All]"),13,FALSE))</f>
        <v>Oficial/Delegado de Cumplimiento</v>
      </c>
      <c r="W9" t="str" cm="1">
        <f t="array" ref="W9">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nombre del Oficial de Cumplimiento del programa de AML/CFT y/o Anti-Fraude, ha cambiado desde la última revisión; sin embargo, Western Union no ha sido notificado.</v>
      </c>
      <c r="X9" t="s">
        <v>2306</v>
      </c>
      <c r="AA9" s="143"/>
      <c r="AB9" t="str" cm="1">
        <f t="array" ref="AB9">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requiere acción. Se ha solicitado al equipo correspondiente la actualización de la información.</v>
      </c>
      <c r="AC9" t="s">
        <v>2307</v>
      </c>
      <c r="AD9" t="s">
        <v>2308</v>
      </c>
      <c r="AE9" t="s">
        <v>2309</v>
      </c>
      <c r="AF9" t="s">
        <v>2310</v>
      </c>
      <c r="AG9" t="s">
        <v>2311</v>
      </c>
      <c r="AH9" t="s">
        <v>2312</v>
      </c>
      <c r="AI9" t="s">
        <v>2313</v>
      </c>
      <c r="AJ9" t="s">
        <v>2195</v>
      </c>
      <c r="AK9" t="s">
        <v>677</v>
      </c>
      <c r="AO9" t="str">
        <f>IndependentGlobal[[#This Row],[Question]]&amp;"."&amp;IndependentGlobal[[#This Row],[Action Type]]&amp;IndependentGlobal[[#This Row],[Country]]</f>
        <v>GS10.GQ3.Response_Required</v>
      </c>
      <c r="AP9" t="str">
        <f ca="1">IFERROR(VLOOKUP(IndependentGlobal[[#This Row],[Question]],Independent[#All],13,FALSE),VLOOKUP(IndependentGlobal[[#This Row],[Question]],INDIRECT("Independent_"&amp;'Gen Info'!$E$4&amp;"[#All]"),13,FALSE))</f>
        <v>Revisión Independiente</v>
      </c>
      <c r="AQ9" t="str" cm="1">
        <f t="array" ref="AQ9">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Las deficiencias encontradas en la Revisión Independiente, no han sido corregidas.</v>
      </c>
      <c r="AR9" t="s">
        <v>2290</v>
      </c>
      <c r="AV9" t="str" cm="1">
        <f t="array" ref="AV9">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un plan de acción para corregir las deficiencias encontradas durante la Revisión Independiente.</v>
      </c>
      <c r="AW9" t="s">
        <v>2314</v>
      </c>
      <c r="AX9" t="s">
        <v>2292</v>
      </c>
      <c r="AY9" t="s">
        <v>2315</v>
      </c>
      <c r="AZ9" t="s">
        <v>2294</v>
      </c>
      <c r="BA9" t="s">
        <v>2316</v>
      </c>
      <c r="BB9" t="s">
        <v>2296</v>
      </c>
      <c r="BC9" t="s">
        <v>2317</v>
      </c>
      <c r="BD9" t="s">
        <v>2215</v>
      </c>
      <c r="BE9" t="s">
        <v>1343</v>
      </c>
      <c r="BH9" t="str">
        <f>Independent_MO_OnlyGlobal[[#This Row],[Question]]&amp;"."&amp;Independent_MO_OnlyGlobal[[#This Row],[Action Type]]&amp;Independent_MO_OnlyGlobal[[#This Row],[Country]]</f>
        <v>GS3.GQ2.Response_Required</v>
      </c>
      <c r="BI9">
        <f ca="1">IFERROR(VLOOKUP(Independent_MO_OnlyGlobal[[#This Row],[Question]],Independent_MO_Only[#All],13,FALSE),VLOOKUP(Independent_MO_OnlyGlobal[[#This Row],[Question]],INDIRECT("Independent_MO_Only"&amp;'Gen Info'!$E$4&amp;"[#All]"),13,FALSE))</f>
        <v>0</v>
      </c>
      <c r="BJ9" cm="1">
        <f t="array" ref="BJ9">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9" t="s">
        <v>2318</v>
      </c>
      <c r="BO9" cm="1">
        <f t="array" ref="BO9">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9" t="s">
        <v>2319</v>
      </c>
      <c r="BW9" t="s">
        <v>2215</v>
      </c>
      <c r="BX9" t="s">
        <v>677</v>
      </c>
      <c r="CB9" s="101" t="str">
        <f>Network_MO_OnlyGlobal[[#This Row],[Question]]&amp;"."&amp;Network_MO_OnlyGlobal[[#This Row],[Action Type]]&amp;Network_MO_OnlyGlobal[[#This Row],[Country]]</f>
        <v>GS4.GQ1.Resolved_Onsite</v>
      </c>
      <c r="CC9" s="101" t="e">
        <f ca="1">IFERROR(VLOOKUP(Network_MO_OnlyGlobal[[#This Row],[Question]],#REF!,13,FALSE),VLOOKUP(Network_MO_OnlyGlobal[[#This Row],[Question]],INDIRECT("Network_Agent_"&amp;'Gen Info'!$E$4&amp;"[#All]"),13,FALSE))</f>
        <v>#REF!</v>
      </c>
      <c r="CD9" s="101" cm="1">
        <f t="array" aca="1" ref="CD9"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9" s="101" t="s">
        <v>2320</v>
      </c>
      <c r="CF9" s="101"/>
      <c r="CG9" s="101"/>
      <c r="CH9" s="101"/>
      <c r="CI9" s="101" cm="1">
        <f t="array" ref="CI9">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9" s="101" t="s">
        <v>2224</v>
      </c>
      <c r="CK9" s="101"/>
      <c r="CL9" s="101"/>
      <c r="CM9" s="101"/>
      <c r="CN9" s="101"/>
      <c r="CO9" s="101"/>
      <c r="CP9" s="101"/>
      <c r="CQ9" s="101" t="s">
        <v>2195</v>
      </c>
      <c r="CR9" s="101" t="s">
        <v>711</v>
      </c>
      <c r="CS9" s="353"/>
      <c r="CV9" s="101" t="str">
        <f>HQ_MO_OnlyGlobal[[#This Row],[Question]]&amp;"."&amp;HQ_MO_OnlyGlobal[[#This Row],[Action Type]]&amp;HQ_MO_OnlyGlobal[[#This Row],[Country]]</f>
        <v>GS3.GQ1.Response_Required</v>
      </c>
      <c r="CW9" s="101" t="str">
        <f ca="1">IFERROR(VLOOKUP(HQ_MO_OnlyGlobal[[#This Row],[Question]],INDIRECT('Gen Info'!$D$4&amp;"[#All]"),13,FALSE),VLOOKUP(HQ_MO_OnlyGlobal[[#This Row],[Question]],INDIRECT('Gen Info'!$D$4&amp;"_"&amp;'Gen Info'!$E$4&amp;"[#All]"),13,FALSE))</f>
        <v>Disponibilidad de la Localidad</v>
      </c>
      <c r="CX9" s="101" cm="1">
        <f t="array" aca="1" ref="CX9" ca="1">IFERROR(_xlfn.IFS(LocationInfo[Select Letter Language]="English",_xlfn.IFS(VLOOKUP(HQ_MO_OnlyGlobal[[#This Row],[Question]],CallTb[[#All],[iWatch '#]:[Finding Type]],6,FALSE)="","",VLOOKUP(HQ_MO_OnlyGlobal[[#This Row],[Question]],CallTb[[#All],[iWatch '#]:[Finding Type]],6,FALSE)="No_AML",HQ_MO_OnlyGlobal[[#This Row],[Finding English AML]],VLOOKUP(HQ_MO_OnlyGlobal[[#This Row],[Question]],CallTb[[#All],[iWatch '#]:[Finding Type]],6,FALSE)="No",HQ_MO_OnlyGlobal[[#This Row],[Finding English]]),LocationInfo[Select Letter Language]="Spanish",HQ_MO_OnlyGlobal[[#This Row],[Finding Spanish]],LocationInfo[Select Letter Language]="French",HQ_MO_OnlyGlobal[[#This Row],[Finding French]],LocationInfo[Select Letter Language]="Portuguese",HQ_MO_OnlyGlobal[[#This Row],[Finding Portuguese]]),"")</f>
        <v>0</v>
      </c>
      <c r="CY9" s="101" t="s">
        <v>2321</v>
      </c>
      <c r="CZ9" s="101"/>
      <c r="DA9" s="101"/>
      <c r="DB9" s="101"/>
      <c r="DC9" s="101" cm="1">
        <f t="array" ref="DC9">IFERROR(_xlfn.IFS(LocationInfo[Select Letter Language]="English",HQ_MO_OnlyGlobal[[#This Row],[Action Required English]],LocationInfo[Select Letter Language]="Spanish",HQ_MO_OnlyGlobal[[#This Row],[Action Required Spanish]],LocationInfo[Select Letter Language]="French",HQ_MO_OnlyGlobal[[#This Row],[Action Required French]],LocationInfo[Select Letter Language]="Portuguese",HQ_MO_OnlyGlobal[[#This Row],[Action Required Portuguese]]),"")</f>
        <v>0</v>
      </c>
      <c r="DD9" s="101" t="s">
        <v>2322</v>
      </c>
      <c r="DE9" s="101"/>
      <c r="DF9" s="101"/>
      <c r="DG9" s="101"/>
      <c r="DH9" s="101"/>
      <c r="DI9" s="101"/>
      <c r="DJ9" s="101"/>
      <c r="DK9" s="101" t="s">
        <v>2215</v>
      </c>
      <c r="DL9" s="101" t="s">
        <v>661</v>
      </c>
      <c r="DM9" s="101"/>
    </row>
    <row r="10" spans="2:117" hidden="1">
      <c r="B10" s="353" t="str">
        <f>Network_AgentGlobal[[#This Row],[Question]]&amp;"."&amp;Network_AgentGlobal[[#This Row],[Action Type]]&amp;Network_AgentGlobal[[#This Row],[Country]]</f>
        <v>GS3.RQ2.Resolved_OnsiteCanada</v>
      </c>
      <c r="C10" s="353" t="e">
        <f ca="1">IFERROR(VLOOKUP(Network_AgentGlobal[[#This Row],[Question]],INDIRECT('Gen Info'!$D$4&amp;"[#All]"),13,FALSE),VLOOKUP(Network_AgentGlobal[[#This Row],[Question]],INDIRECT('Gen Info'!$D$4&amp;"_"&amp;'Gen Info'!$E$4&amp;"[#All]"),13,FALSE))</f>
        <v>#REF!</v>
      </c>
      <c r="D10" s="353" t="str" cm="1">
        <f t="array" aca="1" ref="D10"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El agente no muestra un permiso vigente de Revenu Quebec en un lugar visible.</v>
      </c>
      <c r="E10" s="353" t="s">
        <v>2323</v>
      </c>
      <c r="F10" s="353"/>
      <c r="G10" s="353"/>
      <c r="H10" s="353"/>
      <c r="I10" s="353" t="str" cm="1">
        <f t="array" ref="I10">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No se requiere accion. El agente tiene el registro correspondiente en Revenu Quebec para los servicios prestados por Western Union, pero está pendiente de aprobación.</v>
      </c>
      <c r="J10" s="353" t="s">
        <v>2324</v>
      </c>
      <c r="K10" s="353" t="s">
        <v>2325</v>
      </c>
      <c r="L10" s="353" t="s">
        <v>2326</v>
      </c>
      <c r="M10" s="353" t="s">
        <v>2327</v>
      </c>
      <c r="N10" s="353" t="s">
        <v>2328</v>
      </c>
      <c r="O10" s="353" t="s">
        <v>2329</v>
      </c>
      <c r="P10" s="353" t="s">
        <v>2330</v>
      </c>
      <c r="Q10" s="353" t="s">
        <v>2195</v>
      </c>
      <c r="R10" s="353" t="s">
        <v>803</v>
      </c>
      <c r="S10" s="353" t="s">
        <v>2281</v>
      </c>
      <c r="U10" t="str">
        <f>Master_Agent_HQsGlobal[[#This Row],[Question]]&amp;"."&amp;Master_Agent_HQsGlobal[[#This Row],[Action Type]]&amp;Master_Agent_HQsGlobal[[#This Row],[Country]]</f>
        <v>GS3.GQ5.Resolved_Onsite</v>
      </c>
      <c r="V10" t="str">
        <f ca="1">IFERROR(VLOOKUP(Master_Agent_HQsGlobal[[#This Row],[Question]],Master_Agent_HQs[#All],13,FALSE),VLOOKUP(Master_Agent_HQsGlobal[[#This Row],[Question]],INDIRECT("Master_Agent_HQs"&amp;'Gen Info'!$E$4&amp;"[#All]"),13,FALSE))</f>
        <v>Oficial/Delegado de Cumplimiento</v>
      </c>
      <c r="W10" t="str" cm="1">
        <f t="array" ref="W10">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La línea de jerarquía del Oficial de Cumplimiento no es independiente de las funciones de ventas o negocios.</v>
      </c>
      <c r="X10" t="s">
        <v>2302</v>
      </c>
      <c r="AA10" s="143"/>
      <c r="AB10" t="str" cm="1">
        <f t="array" ref="AB10">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require acción. El agente ha sido debidamente entrenado en este tema durante la revisión.</v>
      </c>
      <c r="AC10" t="s">
        <v>2224</v>
      </c>
      <c r="AD10" t="s">
        <v>2331</v>
      </c>
      <c r="AE10" t="s">
        <v>2226</v>
      </c>
      <c r="AF10" t="s">
        <v>2332</v>
      </c>
      <c r="AG10" t="s">
        <v>2333</v>
      </c>
      <c r="AH10" t="s">
        <v>2334</v>
      </c>
      <c r="AI10" t="s">
        <v>2230</v>
      </c>
      <c r="AJ10" t="s">
        <v>2195</v>
      </c>
      <c r="AK10" t="s">
        <v>1637</v>
      </c>
      <c r="AO10" t="str">
        <f>IndependentGlobal[[#This Row],[Question]]&amp;"."&amp;IndependentGlobal[[#This Row],[Action Type]]&amp;IndependentGlobal[[#This Row],[Country]]</f>
        <v>GS11.GQ1.Resolved_Onsite</v>
      </c>
      <c r="AP10" t="str">
        <f ca="1">IFERROR(VLOOKUP(IndependentGlobal[[#This Row],[Question]],Independent[#All],13,FALSE),VLOOKUP(IndependentGlobal[[#This Row],[Question]],INDIRECT("Independent_"&amp;'Gen Info'!$E$4&amp;"[#All]"),13,FALSE))</f>
        <v>Requisitos de KYC</v>
      </c>
      <c r="AQ10" t="str" cm="1">
        <f t="array" ref="AQ10">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La localidad tiene problemas de integridad de datos.</v>
      </c>
      <c r="AR10" t="s">
        <v>2335</v>
      </c>
      <c r="AV10" t="str" cm="1">
        <f t="array" ref="AV10">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El agente ha sido debidamente entrenado en este tema durante la revisión.</v>
      </c>
      <c r="AW10" t="s">
        <v>2224</v>
      </c>
      <c r="AX10" t="s">
        <v>2336</v>
      </c>
      <c r="AY10" t="s">
        <v>2226</v>
      </c>
      <c r="AZ10" t="s">
        <v>2337</v>
      </c>
      <c r="BA10" t="s">
        <v>2333</v>
      </c>
      <c r="BB10" t="s">
        <v>2338</v>
      </c>
      <c r="BC10" t="s">
        <v>2339</v>
      </c>
      <c r="BD10" t="s">
        <v>2195</v>
      </c>
      <c r="BE10" t="s">
        <v>1244</v>
      </c>
      <c r="BH10" t="str">
        <f>Independent_MO_OnlyGlobal[[#This Row],[Question]]&amp;"."&amp;Independent_MO_OnlyGlobal[[#This Row],[Action Type]]&amp;Independent_MO_OnlyGlobal[[#This Row],[Country]]</f>
        <v>GS3.GQ3.Response_Required</v>
      </c>
      <c r="BI10">
        <f ca="1">IFERROR(VLOOKUP(Independent_MO_OnlyGlobal[[#This Row],[Question]],Independent_MO_Only[#All],13,FALSE),VLOOKUP(Independent_MO_OnlyGlobal[[#This Row],[Question]],INDIRECT("Independent_MO_Only"&amp;'Gen Info'!$E$4&amp;"[#All]"),13,FALSE))</f>
        <v>0</v>
      </c>
      <c r="BJ10" cm="1">
        <f t="array" ref="BJ10">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10" t="s">
        <v>2340</v>
      </c>
      <c r="BO10" cm="1">
        <f t="array" ref="BO10">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10" t="s">
        <v>2341</v>
      </c>
      <c r="BW10" t="s">
        <v>2215</v>
      </c>
      <c r="BX10" t="s">
        <v>693</v>
      </c>
      <c r="CB10" s="101" t="str">
        <f>Network_MO_OnlyGlobal[[#This Row],[Question]]&amp;"."&amp;Network_MO_OnlyGlobal[[#This Row],[Action Type]]&amp;Network_MO_OnlyGlobal[[#This Row],[Country]]</f>
        <v>GS4.GQ1.Response_Required</v>
      </c>
      <c r="CC10" s="101" t="e">
        <f ca="1">IFERROR(VLOOKUP(Network_MO_OnlyGlobal[[#This Row],[Question]],#REF!,13,FALSE),VLOOKUP(Network_MO_OnlyGlobal[[#This Row],[Question]],INDIRECT("Network_Agent_"&amp;'Gen Info'!$E$4&amp;"[#All]"),13,FALSE))</f>
        <v>#REF!</v>
      </c>
      <c r="CD10" s="101" cm="1">
        <f t="array" aca="1" ref="CD10"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10" s="101" t="s">
        <v>2320</v>
      </c>
      <c r="CF10" s="101"/>
      <c r="CG10" s="101"/>
      <c r="CH10" s="101"/>
      <c r="CI10" s="101" cm="1">
        <f t="array" ref="CI10">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10" s="101" t="s">
        <v>2342</v>
      </c>
      <c r="CK10" s="101"/>
      <c r="CL10" s="101"/>
      <c r="CM10" s="101"/>
      <c r="CN10" s="101"/>
      <c r="CO10" s="101"/>
      <c r="CP10" s="101"/>
      <c r="CQ10" s="101" t="s">
        <v>2215</v>
      </c>
      <c r="CR10" s="101" t="s">
        <v>711</v>
      </c>
      <c r="CS10" s="101"/>
      <c r="CV10" s="101" t="str">
        <f>HQ_MO_OnlyGlobal[[#This Row],[Question]]&amp;"."&amp;HQ_MO_OnlyGlobal[[#This Row],[Action Type]]&amp;HQ_MO_OnlyGlobal[[#This Row],[Country]]</f>
        <v>GS3.GQ1.Resolved_Onsite</v>
      </c>
      <c r="CW10" s="101" t="str">
        <f ca="1">IFERROR(VLOOKUP(HQ_MO_OnlyGlobal[[#This Row],[Question]],INDIRECT('Gen Info'!$D$4&amp;"[#All]"),13,FALSE),VLOOKUP(HQ_MO_OnlyGlobal[[#This Row],[Question]],INDIRECT('Gen Info'!$D$4&amp;"_"&amp;'Gen Info'!$E$4&amp;"[#All]"),13,FALSE))</f>
        <v>Disponibilidad de la Localidad</v>
      </c>
      <c r="CX10" s="101" cm="1">
        <f t="array" aca="1" ref="CX10" ca="1">IFERROR(_xlfn.IFS(LocationInfo[Select Letter Language]="English",_xlfn.IFS(VLOOKUP(HQ_MO_OnlyGlobal[[#This Row],[Question]],CallTb[[#All],[iWatch '#]:[Finding Type]],6,FALSE)="","",VLOOKUP(HQ_MO_OnlyGlobal[[#This Row],[Question]],CallTb[[#All],[iWatch '#]:[Finding Type]],6,FALSE)="No_AML",HQ_MO_OnlyGlobal[[#This Row],[Finding English AML]],VLOOKUP(HQ_MO_OnlyGlobal[[#This Row],[Question]],CallTb[[#All],[iWatch '#]:[Finding Type]],6,FALSE)="No",HQ_MO_OnlyGlobal[[#This Row],[Finding English]]),LocationInfo[Select Letter Language]="Spanish",HQ_MO_OnlyGlobal[[#This Row],[Finding Spanish]],LocationInfo[Select Letter Language]="French",HQ_MO_OnlyGlobal[[#This Row],[Finding French]],LocationInfo[Select Letter Language]="Portuguese",HQ_MO_OnlyGlobal[[#This Row],[Finding Portuguese]]),"")</f>
        <v>0</v>
      </c>
      <c r="CY10" s="101" t="s">
        <v>2321</v>
      </c>
      <c r="CZ10" s="101"/>
      <c r="DA10" s="101"/>
      <c r="DB10" s="101"/>
      <c r="DC10" s="101" cm="1">
        <f t="array" ref="DC10">IFERROR(_xlfn.IFS(LocationInfo[Select Letter Language]="English",HQ_MO_OnlyGlobal[[#This Row],[Action Required English]],LocationInfo[Select Letter Language]="Spanish",HQ_MO_OnlyGlobal[[#This Row],[Action Required Spanish]],LocationInfo[Select Letter Language]="French",HQ_MO_OnlyGlobal[[#This Row],[Action Required French]],LocationInfo[Select Letter Language]="Portuguese",HQ_MO_OnlyGlobal[[#This Row],[Action Required Portuguese]]),"")</f>
        <v>0</v>
      </c>
      <c r="DD10" s="101" t="s">
        <v>2272</v>
      </c>
      <c r="DE10" s="101"/>
      <c r="DF10" s="101"/>
      <c r="DG10" s="101"/>
      <c r="DH10" s="101"/>
      <c r="DI10" s="101"/>
      <c r="DJ10" s="101"/>
      <c r="DK10" s="101" t="s">
        <v>2195</v>
      </c>
      <c r="DL10" s="101" t="s">
        <v>661</v>
      </c>
      <c r="DM10" s="101"/>
    </row>
    <row r="11" spans="2:117" hidden="1">
      <c r="B11" s="353" t="str">
        <f>Network_AgentGlobal[[#This Row],[Question]]&amp;"."&amp;Network_AgentGlobal[[#This Row],[Action Type]]&amp;Network_AgentGlobal[[#This Row],[Country]]</f>
        <v>GS3.RQ2.Response_RequiredCanada</v>
      </c>
      <c r="C11" s="353" t="e">
        <f ca="1">IFERROR(VLOOKUP(Network_AgentGlobal[[#This Row],[Question]],INDIRECT('Gen Info'!$D$4&amp;"[#All]"),13,FALSE),VLOOKUP(Network_AgentGlobal[[#This Row],[Question]],INDIRECT('Gen Info'!$D$4&amp;"_"&amp;'Gen Info'!$E$4&amp;"[#All]"),13,FALSE))</f>
        <v>#REF!</v>
      </c>
      <c r="D11" s="353" t="str" cm="1">
        <f t="array" aca="1" ref="D11"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El agente no muestra un permiso vigente de Revenu Quebec en un lugar visible.</v>
      </c>
      <c r="E11" s="353" t="s">
        <v>2323</v>
      </c>
      <c r="F11" s="353"/>
      <c r="G11" s="353"/>
      <c r="H11" s="353"/>
      <c r="I11" s="353" t="str" cm="1">
        <f t="array" ref="I11">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Proporcione a Western Union documentación que demuestre que el permiso está exhibido en la ubicación del agente.</v>
      </c>
      <c r="J11" s="353" t="s">
        <v>2343</v>
      </c>
      <c r="K11" s="353" t="s">
        <v>2325</v>
      </c>
      <c r="L11" s="353" t="s">
        <v>2344</v>
      </c>
      <c r="M11" s="353" t="s">
        <v>2327</v>
      </c>
      <c r="N11" s="353" t="s">
        <v>2345</v>
      </c>
      <c r="O11" s="353" t="s">
        <v>2329</v>
      </c>
      <c r="P11" s="353" t="s">
        <v>2346</v>
      </c>
      <c r="Q11" s="353" t="s">
        <v>2215</v>
      </c>
      <c r="R11" s="353" t="s">
        <v>803</v>
      </c>
      <c r="S11" s="353" t="s">
        <v>2281</v>
      </c>
      <c r="U11" t="str">
        <f>Master_Agent_HQsGlobal[[#This Row],[Question]]&amp;"."&amp;Master_Agent_HQsGlobal[[#This Row],[Action Type]]&amp;Master_Agent_HQsGlobal[[#This Row],[Country]]</f>
        <v>GS3.GQ6.Resolved_Onsite</v>
      </c>
      <c r="V11" t="str">
        <f ca="1">IFERROR(VLOOKUP(Master_Agent_HQsGlobal[[#This Row],[Question]],Master_Agent_HQs[#All],13,FALSE),VLOOKUP(Master_Agent_HQsGlobal[[#This Row],[Question]],INDIRECT("Master_Agent_HQs"&amp;'Gen Info'!$E$4&amp;"[#All]"),13,FALSE))</f>
        <v>Oficial/Delegado de Cumplimiento</v>
      </c>
      <c r="W11" t="str" cm="1">
        <f t="array" ref="W11">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Las responsabilidades del Oficial de Cumplimiento en su rol como encargado del programa de cumplimiento no se encuentran debidamente documentadas.</v>
      </c>
      <c r="X11" t="s">
        <v>2347</v>
      </c>
      <c r="AA11" s="143"/>
      <c r="AB11" t="str" cm="1">
        <f t="array" ref="AB11">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requiere acción. Se ha entrenado al agente y se ha obtenido el documento correspondiente con las responsibilidades del Oficial de Cumplimiento.</v>
      </c>
      <c r="AC11" t="s">
        <v>2348</v>
      </c>
      <c r="AD11" t="s">
        <v>2349</v>
      </c>
      <c r="AE11" t="s">
        <v>2350</v>
      </c>
      <c r="AF11" t="s">
        <v>2351</v>
      </c>
      <c r="AG11" t="s">
        <v>2352</v>
      </c>
      <c r="AH11" t="s">
        <v>2353</v>
      </c>
      <c r="AI11" t="s">
        <v>2354</v>
      </c>
      <c r="AJ11" t="s">
        <v>2195</v>
      </c>
      <c r="AK11" t="s">
        <v>1650</v>
      </c>
      <c r="AO11" t="str">
        <f>IndependentGlobal[[#This Row],[Question]]&amp;"."&amp;IndependentGlobal[[#This Row],[Action Type]]&amp;IndependentGlobal[[#This Row],[Country]]</f>
        <v>GS11.GQ1.Response_Required</v>
      </c>
      <c r="AP11" t="str">
        <f ca="1">IFERROR(VLOOKUP(IndependentGlobal[[#This Row],[Question]],Independent[#All],13,FALSE),VLOOKUP(IndependentGlobal[[#This Row],[Question]],INDIRECT("Independent_"&amp;'Gen Info'!$E$4&amp;"[#All]"),13,FALSE))</f>
        <v>Requisitos de KYC</v>
      </c>
      <c r="AQ11" t="str" cm="1">
        <f t="array" ref="AQ11">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La localidad tiene problemas de integridad de datos.</v>
      </c>
      <c r="AR11" t="s">
        <v>2335</v>
      </c>
      <c r="AV11" t="str" cm="1">
        <f t="array" ref="AV11">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Proporcione documentación a Western Union que demuestre que todos los empleados han recibido capacitación sobre el tema. Asegúrese que la confirmación incluya el tema cubierto, el nombre de las personas que asistieron a la sesión y la fecha de la capacitación. Western Union monitoreará y evaluará si este ítem ha  sido debidamente remediado.</v>
      </c>
      <c r="AW11" t="s">
        <v>2355</v>
      </c>
      <c r="AX11" t="s">
        <v>2336</v>
      </c>
      <c r="AY11" t="s">
        <v>2356</v>
      </c>
      <c r="AZ11" t="s">
        <v>2337</v>
      </c>
      <c r="BA11" t="s">
        <v>2357</v>
      </c>
      <c r="BB11" t="s">
        <v>2338</v>
      </c>
      <c r="BC11" t="s">
        <v>2358</v>
      </c>
      <c r="BD11" t="s">
        <v>2215</v>
      </c>
      <c r="BE11" t="s">
        <v>1244</v>
      </c>
      <c r="BH11" t="str">
        <f>Independent_MO_OnlyGlobal[[#This Row],[Question]]&amp;"."&amp;Independent_MO_OnlyGlobal[[#This Row],[Action Type]]&amp;Independent_MO_OnlyGlobal[[#This Row],[Country]]</f>
        <v>GS3.GQ4.Response_Required</v>
      </c>
      <c r="BI11">
        <f ca="1">IFERROR(VLOOKUP(Independent_MO_OnlyGlobal[[#This Row],[Question]],Independent_MO_Only[#All],13,FALSE),VLOOKUP(Independent_MO_OnlyGlobal[[#This Row],[Question]],INDIRECT("Independent_MO_Only"&amp;'Gen Info'!$E$4&amp;"[#All]"),13,FALSE))</f>
        <v>0</v>
      </c>
      <c r="BJ11" cm="1">
        <f t="array" ref="BJ11">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11" t="s">
        <v>2359</v>
      </c>
      <c r="BO11" cm="1">
        <f t="array" ref="BO11">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11" t="s">
        <v>2360</v>
      </c>
      <c r="BW11" t="s">
        <v>2215</v>
      </c>
      <c r="BX11" t="s">
        <v>1517</v>
      </c>
      <c r="CB11" s="101" t="str">
        <f>Network_MO_OnlyGlobal[[#This Row],[Question]]&amp;"."&amp;Network_MO_OnlyGlobal[[#This Row],[Action Type]]&amp;Network_MO_OnlyGlobal[[#This Row],[Country]]</f>
        <v>GS4.GQ2.Resolved_Onsite</v>
      </c>
      <c r="CC11" s="101" t="e">
        <f ca="1">IFERROR(VLOOKUP(Network_MO_OnlyGlobal[[#This Row],[Question]],#REF!,13,FALSE),VLOOKUP(Network_MO_OnlyGlobal[[#This Row],[Question]],INDIRECT("Network_Agent_"&amp;'Gen Info'!$E$4&amp;"[#All]"),13,FALSE))</f>
        <v>#REF!</v>
      </c>
      <c r="CD11" s="101" cm="1">
        <f t="array" aca="1" ref="CD11"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11" s="101" t="s">
        <v>2361</v>
      </c>
      <c r="CF11" s="101"/>
      <c r="CG11" s="101"/>
      <c r="CH11" s="101"/>
      <c r="CI11" s="101" cm="1">
        <f t="array" ref="CI11">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11" s="353" t="s">
        <v>2362</v>
      </c>
      <c r="CK11" s="101"/>
      <c r="CL11" s="101"/>
      <c r="CM11" s="101"/>
      <c r="CN11" s="101"/>
      <c r="CO11" s="101"/>
      <c r="CP11" s="101"/>
      <c r="CQ11" s="101" t="s">
        <v>2195</v>
      </c>
      <c r="CR11" s="101" t="s">
        <v>723</v>
      </c>
      <c r="CS11" s="353"/>
      <c r="CV11" s="101" t="str">
        <f>HQ_MO_OnlyGlobal[[#This Row],[Question]]&amp;"."&amp;HQ_MO_OnlyGlobal[[#This Row],[Action Type]]&amp;HQ_MO_OnlyGlobal[[#This Row],[Country]]</f>
        <v>GS3.GQ3.Response_Required</v>
      </c>
      <c r="CW11" s="101" t="str">
        <f ca="1">IFERROR(VLOOKUP(HQ_MO_OnlyGlobal[[#This Row],[Question]],INDIRECT('Gen Info'!$D$4&amp;"[#All]"),13,FALSE),VLOOKUP(HQ_MO_OnlyGlobal[[#This Row],[Question]],INDIRECT('Gen Info'!$D$4&amp;"_"&amp;'Gen Info'!$E$4&amp;"[#All]"),13,FALSE))</f>
        <v>Disponibilidad de la Localidad</v>
      </c>
      <c r="CX11" s="101" cm="1">
        <f t="array" aca="1" ref="CX11" ca="1">IFERROR(_xlfn.IFS(LocationInfo[Select Letter Language]="English",_xlfn.IFS(VLOOKUP(HQ_MO_OnlyGlobal[[#This Row],[Question]],CallTb[[#All],[iWatch '#]:[Finding Type]],6,FALSE)="","",VLOOKUP(HQ_MO_OnlyGlobal[[#This Row],[Question]],CallTb[[#All],[iWatch '#]:[Finding Type]],6,FALSE)="No_AML",HQ_MO_OnlyGlobal[[#This Row],[Finding English AML]],VLOOKUP(HQ_MO_OnlyGlobal[[#This Row],[Question]],CallTb[[#All],[iWatch '#]:[Finding Type]],6,FALSE)="No",HQ_MO_OnlyGlobal[[#This Row],[Finding English]]),LocationInfo[Select Letter Language]="Spanish",HQ_MO_OnlyGlobal[[#This Row],[Finding Spanish]],LocationInfo[Select Letter Language]="French",HQ_MO_OnlyGlobal[[#This Row],[Finding French]],LocationInfo[Select Letter Language]="Portuguese",HQ_MO_OnlyGlobal[[#This Row],[Finding Portuguese]]),"")</f>
        <v>0</v>
      </c>
      <c r="CY11" s="101" t="s">
        <v>2363</v>
      </c>
      <c r="CZ11" s="101"/>
      <c r="DA11" s="101"/>
      <c r="DB11" s="101"/>
      <c r="DC11" s="101" cm="1">
        <f t="array" ref="DC11">IFERROR(_xlfn.IFS(LocationInfo[Select Letter Language]="English",HQ_MO_OnlyGlobal[[#This Row],[Action Required English]],LocationInfo[Select Letter Language]="Spanish",HQ_MO_OnlyGlobal[[#This Row],[Action Required Spanish]],LocationInfo[Select Letter Language]="French",HQ_MO_OnlyGlobal[[#This Row],[Action Required French]],LocationInfo[Select Letter Language]="Portuguese",HQ_MO_OnlyGlobal[[#This Row],[Action Required Portuguese]]),"")</f>
        <v>0</v>
      </c>
      <c r="DD11" s="101" t="s">
        <v>2364</v>
      </c>
      <c r="DE11" s="101"/>
      <c r="DF11" s="101"/>
      <c r="DG11" s="101"/>
      <c r="DH11" s="101"/>
      <c r="DI11" s="101"/>
      <c r="DJ11" s="101"/>
      <c r="DK11" s="101" t="s">
        <v>2215</v>
      </c>
      <c r="DL11" s="101" t="s">
        <v>693</v>
      </c>
      <c r="DM11" s="101"/>
    </row>
    <row r="12" spans="2:117" hidden="1">
      <c r="B12" s="353" t="str">
        <f>Network_AgentGlobal[[#This Row],[Question]]&amp;"."&amp;Network_AgentGlobal[[#This Row],[Action Type]]&amp;Network_AgentGlobal[[#This Row],[Country]]</f>
        <v>GS3.RQ3.Resolved_OnsiteCanada</v>
      </c>
      <c r="C12" s="353" t="e">
        <f ca="1">IFERROR(VLOOKUP(Network_AgentGlobal[[#This Row],[Question]],INDIRECT('Gen Info'!$D$4&amp;"[#All]"),13,FALSE),VLOOKUP(Network_AgentGlobal[[#This Row],[Question]],INDIRECT('Gen Info'!$D$4&amp;"_"&amp;'Gen Info'!$E$4&amp;"[#All]"),13,FALSE))</f>
        <v>#REF!</v>
      </c>
      <c r="D12" s="353" t="str" cm="1">
        <f t="array" aca="1" ref="D12"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El agente no puede describir los pasos apropiados en los LCTR</v>
      </c>
      <c r="E12" s="353" t="s">
        <v>2365</v>
      </c>
      <c r="F12" s="353"/>
      <c r="G12" s="353"/>
      <c r="H12" s="353"/>
      <c r="I12" s="353" t="str" cm="1">
        <f t="array" ref="I12">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No se requiere accion. El agente ha proporcionado la documentación necesaria requerida.</v>
      </c>
      <c r="J12" s="353" t="s">
        <v>2274</v>
      </c>
      <c r="K12" s="353" t="s">
        <v>2366</v>
      </c>
      <c r="L12" s="353" t="s">
        <v>2276</v>
      </c>
      <c r="M12" s="353" t="s">
        <v>2367</v>
      </c>
      <c r="N12" s="353" t="s">
        <v>2278</v>
      </c>
      <c r="O12" s="353" t="s">
        <v>2368</v>
      </c>
      <c r="P12" s="353" t="s">
        <v>2330</v>
      </c>
      <c r="Q12" s="353" t="s">
        <v>2195</v>
      </c>
      <c r="R12" s="353" t="s">
        <v>810</v>
      </c>
      <c r="S12" s="353" t="s">
        <v>2281</v>
      </c>
      <c r="U12" t="str">
        <f>Master_Agent_HQsGlobal[[#This Row],[Question]]&amp;"."&amp;Master_Agent_HQsGlobal[[#This Row],[Action Type]]&amp;Master_Agent_HQsGlobal[[#This Row],[Country]]</f>
        <v>GS4.GQ1.Resolved_Onsite</v>
      </c>
      <c r="V12" t="str">
        <f ca="1">IFERROR(VLOOKUP(Master_Agent_HQsGlobal[[#This Row],[Question]],Master_Agent_HQs[#All],13,FALSE),VLOOKUP(Master_Agent_HQsGlobal[[#This Row],[Question]],INDIRECT("Master_Agent_HQs"&amp;'Gen Info'!$E$4&amp;"[#All]"),13,FALSE))</f>
        <v>Políticas y Procedimientos</v>
      </c>
      <c r="W12" t="str" cm="1">
        <f t="array" ref="W12">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tiene políiticas de cumplimiento de AML/CFT debidamente documentadas.</v>
      </c>
      <c r="X12" t="s">
        <v>2369</v>
      </c>
      <c r="AA12" s="143"/>
      <c r="AB12" t="str" cm="1">
        <f t="array" ref="AB12">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 xml:space="preserve">No se requiere acción. Se ha obtenido el documento correspondiente con las Políticas y Procedimientos del programa de AML/CFT. </v>
      </c>
      <c r="AC12" t="s">
        <v>2370</v>
      </c>
      <c r="AD12" t="s">
        <v>2371</v>
      </c>
      <c r="AE12" t="s">
        <v>2372</v>
      </c>
      <c r="AF12" t="s">
        <v>2373</v>
      </c>
      <c r="AG12" t="s">
        <v>2374</v>
      </c>
      <c r="AH12" t="s">
        <v>2375</v>
      </c>
      <c r="AI12" t="s">
        <v>2376</v>
      </c>
      <c r="AJ12" t="s">
        <v>2195</v>
      </c>
      <c r="AK12" t="s">
        <v>711</v>
      </c>
      <c r="AO12" t="str">
        <f>IndependentGlobal[[#This Row],[Question]]&amp;"."&amp;IndependentGlobal[[#This Row],[Action Type]]&amp;IndependentGlobal[[#This Row],[Country]]</f>
        <v>GS11.GQ3.Resolved_Onsite</v>
      </c>
      <c r="AP12" t="str">
        <f ca="1">IFERROR(VLOOKUP(IndependentGlobal[[#This Row],[Question]],Independent[#All],13,FALSE),VLOOKUP(IndependentGlobal[[#This Row],[Question]],INDIRECT("Independent_"&amp;'Gen Info'!$E$4&amp;"[#All]"),13,FALSE))</f>
        <v>Requisitos de KYC</v>
      </c>
      <c r="AQ12" t="str" cm="1">
        <f t="array" ref="AQ12">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Los operadores desconocen los tipos de identificación aceptados para las transferencias de Western Union.</v>
      </c>
      <c r="AR12" t="s">
        <v>2377</v>
      </c>
      <c r="AV12" t="str" cm="1">
        <f t="array" ref="AV12">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Todos los operadores han sido debidamente entrenados en este tema durante la revisión.</v>
      </c>
      <c r="AW12" t="s">
        <v>2378</v>
      </c>
      <c r="AX12" t="s">
        <v>2379</v>
      </c>
      <c r="AY12" t="s">
        <v>2380</v>
      </c>
      <c r="AZ12" t="s">
        <v>2381</v>
      </c>
      <c r="BA12" t="s">
        <v>2382</v>
      </c>
      <c r="BB12" t="s">
        <v>2383</v>
      </c>
      <c r="BC12" t="s">
        <v>2384</v>
      </c>
      <c r="BD12" t="s">
        <v>2195</v>
      </c>
      <c r="BE12" t="s">
        <v>1257</v>
      </c>
      <c r="BH12" t="str">
        <f>Independent_MO_OnlyGlobal[[#This Row],[Question]]&amp;"."&amp;Independent_MO_OnlyGlobal[[#This Row],[Action Type]]&amp;Independent_MO_OnlyGlobal[[#This Row],[Country]]</f>
        <v>GS4.GQ1.Response_Required</v>
      </c>
      <c r="BI12">
        <f ca="1">IFERROR(VLOOKUP(Independent_MO_OnlyGlobal[[#This Row],[Question]],Independent_MO_Only[#All],13,FALSE),VLOOKUP(Independent_MO_OnlyGlobal[[#This Row],[Question]],INDIRECT("Independent_MO_Only"&amp;'Gen Info'!$E$4&amp;"[#All]"),13,FALSE))</f>
        <v>0</v>
      </c>
      <c r="BJ12" cm="1">
        <f t="array" ref="BJ12">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12" t="s">
        <v>2385</v>
      </c>
      <c r="BO12" cm="1">
        <f t="array" ref="BO12">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12" t="s">
        <v>2386</v>
      </c>
      <c r="BW12" t="s">
        <v>2215</v>
      </c>
      <c r="BX12" t="s">
        <v>711</v>
      </c>
      <c r="CB12" s="101" t="str">
        <f>Network_MO_OnlyGlobal[[#This Row],[Question]]&amp;"."&amp;Network_MO_OnlyGlobal[[#This Row],[Action Type]]&amp;Network_MO_OnlyGlobal[[#This Row],[Country]]</f>
        <v>GS4.GQ2.Response_Required</v>
      </c>
      <c r="CC12" s="101" t="e">
        <f ca="1">IFERROR(VLOOKUP(Network_MO_OnlyGlobal[[#This Row],[Question]],#REF!,13,FALSE),VLOOKUP(Network_MO_OnlyGlobal[[#This Row],[Question]],INDIRECT("Network_Agent_"&amp;'Gen Info'!$E$4&amp;"[#All]"),13,FALSE))</f>
        <v>#REF!</v>
      </c>
      <c r="CD12" s="101" cm="1">
        <f t="array" aca="1" ref="CD12"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12" s="101" t="s">
        <v>2361</v>
      </c>
      <c r="CF12" s="101"/>
      <c r="CG12" s="101"/>
      <c r="CH12" s="101"/>
      <c r="CI12" s="101" cm="1">
        <f t="array" ref="CI12">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12" s="353" t="s">
        <v>2387</v>
      </c>
      <c r="CK12" s="101"/>
      <c r="CL12" s="101"/>
      <c r="CM12" s="101"/>
      <c r="CN12" s="101"/>
      <c r="CO12" s="101"/>
      <c r="CP12" s="101"/>
      <c r="CQ12" s="101" t="s">
        <v>2215</v>
      </c>
      <c r="CR12" s="101" t="s">
        <v>723</v>
      </c>
      <c r="CS12" s="101"/>
      <c r="CV12" s="101" t="str">
        <f>HQ_MO_OnlyGlobal[[#This Row],[Question]]&amp;"."&amp;HQ_MO_OnlyGlobal[[#This Row],[Action Type]]&amp;HQ_MO_OnlyGlobal[[#This Row],[Country]]</f>
        <v>GS3.GQ3.Resolved_Onsite</v>
      </c>
      <c r="CW12" s="101" t="str">
        <f ca="1">IFERROR(VLOOKUP(HQ_MO_OnlyGlobal[[#This Row],[Question]],INDIRECT('Gen Info'!$D$4&amp;"[#All]"),13,FALSE),VLOOKUP(HQ_MO_OnlyGlobal[[#This Row],[Question]],INDIRECT('Gen Info'!$D$4&amp;"_"&amp;'Gen Info'!$E$4&amp;"[#All]"),13,FALSE))</f>
        <v>Disponibilidad de la Localidad</v>
      </c>
      <c r="CX12" s="101" cm="1">
        <f t="array" aca="1" ref="CX12" ca="1">IFERROR(_xlfn.IFS(LocationInfo[Select Letter Language]="English",_xlfn.IFS(VLOOKUP(HQ_MO_OnlyGlobal[[#This Row],[Question]],CallTb[[#All],[iWatch '#]:[Finding Type]],6,FALSE)="","",VLOOKUP(HQ_MO_OnlyGlobal[[#This Row],[Question]],CallTb[[#All],[iWatch '#]:[Finding Type]],6,FALSE)="No_AML",HQ_MO_OnlyGlobal[[#This Row],[Finding English AML]],VLOOKUP(HQ_MO_OnlyGlobal[[#This Row],[Question]],CallTb[[#All],[iWatch '#]:[Finding Type]],6,FALSE)="No",HQ_MO_OnlyGlobal[[#This Row],[Finding English]]),LocationInfo[Select Letter Language]="Spanish",HQ_MO_OnlyGlobal[[#This Row],[Finding Spanish]],LocationInfo[Select Letter Language]="French",HQ_MO_OnlyGlobal[[#This Row],[Finding French]],LocationInfo[Select Letter Language]="Portuguese",HQ_MO_OnlyGlobal[[#This Row],[Finding Portuguese]]),"")</f>
        <v>0</v>
      </c>
      <c r="CY12" s="101" t="s">
        <v>2363</v>
      </c>
      <c r="CZ12" s="101"/>
      <c r="DA12" s="101"/>
      <c r="DB12" s="101"/>
      <c r="DC12" s="101" cm="1">
        <f t="array" ref="DC12">IFERROR(_xlfn.IFS(LocationInfo[Select Letter Language]="English",HQ_MO_OnlyGlobal[[#This Row],[Action Required English]],LocationInfo[Select Letter Language]="Spanish",HQ_MO_OnlyGlobal[[#This Row],[Action Required Spanish]],LocationInfo[Select Letter Language]="French",HQ_MO_OnlyGlobal[[#This Row],[Action Required French]],LocationInfo[Select Letter Language]="Portuguese",HQ_MO_OnlyGlobal[[#This Row],[Action Required Portuguese]]),"")</f>
        <v>0</v>
      </c>
      <c r="DD12" s="101" t="s">
        <v>2272</v>
      </c>
      <c r="DE12" s="101"/>
      <c r="DF12" s="101"/>
      <c r="DG12" s="101"/>
      <c r="DH12" s="101"/>
      <c r="DI12" s="101"/>
      <c r="DJ12" s="101"/>
      <c r="DK12" s="101" t="s">
        <v>2195</v>
      </c>
      <c r="DL12" s="101" t="s">
        <v>693</v>
      </c>
      <c r="DM12" s="101"/>
    </row>
    <row r="13" spans="2:117" hidden="1">
      <c r="B13" s="353" t="str">
        <f>Network_AgentGlobal[[#This Row],[Question]]&amp;"."&amp;Network_AgentGlobal[[#This Row],[Action Type]]&amp;Network_AgentGlobal[[#This Row],[Country]]</f>
        <v>GS3.RQ3.Response_RequiredCanada</v>
      </c>
      <c r="C13" s="353" t="e">
        <f ca="1">IFERROR(VLOOKUP(Network_AgentGlobal[[#This Row],[Question]],INDIRECT('Gen Info'!$D$4&amp;"[#All]"),13,FALSE),VLOOKUP(Network_AgentGlobal[[#This Row],[Question]],INDIRECT('Gen Info'!$D$4&amp;"_"&amp;'Gen Info'!$E$4&amp;"[#All]"),13,FALSE))</f>
        <v>#REF!</v>
      </c>
      <c r="D13" s="353" t="str" cm="1">
        <f t="array" aca="1" ref="D13"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El agente no puede describir los pasos apropiados en los LCTR</v>
      </c>
      <c r="E13" s="353" t="s">
        <v>2365</v>
      </c>
      <c r="F13" s="353"/>
      <c r="G13" s="353"/>
      <c r="H13" s="353"/>
      <c r="I13" s="353" t="str" cm="1">
        <f t="array" ref="I13">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Brinde a Western Union evidencia o confirmación que todos los operadores han sido entrenados en el tema. Asegúrese que la confirmación incluya el tema cubierto, el nombre de las personas que asistieron a la sesión y la fecha de la capacitación.</v>
      </c>
      <c r="J13" s="353" t="s">
        <v>2388</v>
      </c>
      <c r="K13" s="353" t="s">
        <v>2366</v>
      </c>
      <c r="L13" s="353" t="s">
        <v>2389</v>
      </c>
      <c r="M13" s="353" t="s">
        <v>2367</v>
      </c>
      <c r="N13" s="353" t="s">
        <v>2390</v>
      </c>
      <c r="O13" s="353" t="s">
        <v>2390</v>
      </c>
      <c r="P13" s="353" t="s">
        <v>2391</v>
      </c>
      <c r="Q13" s="353" t="s">
        <v>2215</v>
      </c>
      <c r="R13" s="353" t="s">
        <v>810</v>
      </c>
      <c r="S13" s="353" t="s">
        <v>2281</v>
      </c>
      <c r="U13" t="str">
        <f>Master_Agent_HQsGlobal[[#This Row],[Question]]&amp;"."&amp;Master_Agent_HQsGlobal[[#This Row],[Action Type]]&amp;Master_Agent_HQsGlobal[[#This Row],[Country]]</f>
        <v>GS4.GQ2.Resolved_Onsite</v>
      </c>
      <c r="V13" t="str">
        <f ca="1">IFERROR(VLOOKUP(Master_Agent_HQsGlobal[[#This Row],[Question]],Master_Agent_HQs[#All],13,FALSE),VLOOKUP(Master_Agent_HQsGlobal[[#This Row],[Question]],INDIRECT("Master_Agent_HQs"&amp;'Gen Info'!$E$4&amp;"[#All]"),13,FALSE))</f>
        <v>Políticas y Procedimientos</v>
      </c>
      <c r="W13" t="str" cm="1">
        <f t="array" ref="W13">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Las Políticas y Procedimientos de AML/CFT, estan incompletas.</v>
      </c>
      <c r="X13" t="s">
        <v>2392</v>
      </c>
      <c r="AA13" s="143"/>
      <c r="AB13" t="str" cm="1">
        <f t="array" ref="AB13">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 xml:space="preserve">No se requiere acción. Se ha obtenido el documento completo con las Políticas y Procedimientos del programa de AML/CFT. </v>
      </c>
      <c r="AC13" t="s">
        <v>2393</v>
      </c>
      <c r="AD13" t="s">
        <v>2394</v>
      </c>
      <c r="AE13" t="s">
        <v>2395</v>
      </c>
      <c r="AF13" t="s">
        <v>2396</v>
      </c>
      <c r="AG13" t="s">
        <v>2397</v>
      </c>
      <c r="AH13" t="s">
        <v>2398</v>
      </c>
      <c r="AI13" t="s">
        <v>2399</v>
      </c>
      <c r="AJ13" t="s">
        <v>2195</v>
      </c>
      <c r="AK13" t="s">
        <v>723</v>
      </c>
      <c r="AO13" t="str">
        <f>IndependentGlobal[[#This Row],[Question]]&amp;"."&amp;IndependentGlobal[[#This Row],[Action Type]]&amp;IndependentGlobal[[#This Row],[Country]]</f>
        <v>GS11.GQ3.Response_Required</v>
      </c>
      <c r="AP13" t="str">
        <f ca="1">IFERROR(VLOOKUP(IndependentGlobal[[#This Row],[Question]],Independent[#All],13,FALSE),VLOOKUP(IndependentGlobal[[#This Row],[Question]],INDIRECT("Independent_"&amp;'Gen Info'!$E$4&amp;"[#All]"),13,FALSE))</f>
        <v>Requisitos de KYC</v>
      </c>
      <c r="AQ13" t="str" cm="1">
        <f t="array" ref="AQ13">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Los operadores desconocen los tipos de identificación aceptados para las transferencias de Western Union.</v>
      </c>
      <c r="AR13" t="s">
        <v>2377</v>
      </c>
      <c r="AV13" t="str" cm="1">
        <f t="array" ref="AV13">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confirmación donde se evidencie que todos los empleados han sido entrenados en este tema. Asegúrese que la confirmación incluya el tema cubierto, el nombre de las personas que asistieron a la sesión y la fecha de la capacitación.</v>
      </c>
      <c r="AW13" t="s">
        <v>2400</v>
      </c>
      <c r="AX13" t="s">
        <v>2379</v>
      </c>
      <c r="AY13" t="s">
        <v>2401</v>
      </c>
      <c r="AZ13" t="s">
        <v>2381</v>
      </c>
      <c r="BA13" t="s">
        <v>2402</v>
      </c>
      <c r="BB13" t="s">
        <v>2383</v>
      </c>
      <c r="BC13" t="s">
        <v>2403</v>
      </c>
      <c r="BD13" t="s">
        <v>2215</v>
      </c>
      <c r="BE13" t="s">
        <v>1257</v>
      </c>
      <c r="BH13" t="str">
        <f>Independent_MO_OnlyGlobal[[#This Row],[Question]]&amp;"."&amp;Independent_MO_OnlyGlobal[[#This Row],[Action Type]]&amp;Independent_MO_OnlyGlobal[[#This Row],[Country]]</f>
        <v>GS4.GQ4.Response_Required</v>
      </c>
      <c r="BI13">
        <f ca="1">IFERROR(VLOOKUP(Independent_MO_OnlyGlobal[[#This Row],[Question]],Independent_MO_Only[#All],13,FALSE),VLOOKUP(Independent_MO_OnlyGlobal[[#This Row],[Question]],INDIRECT("Independent_MO_Only"&amp;'Gen Info'!$E$4&amp;"[#All]"),13,FALSE))</f>
        <v>0</v>
      </c>
      <c r="BJ13" cm="1">
        <f t="array" ref="BJ13">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13" t="s">
        <v>2404</v>
      </c>
      <c r="BO13" cm="1">
        <f t="array" ref="BO13">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13" t="s">
        <v>2405</v>
      </c>
      <c r="BW13" t="s">
        <v>2215</v>
      </c>
      <c r="BX13" t="s">
        <v>753</v>
      </c>
      <c r="CB13" s="101" t="str">
        <f>Network_MO_OnlyGlobal[[#This Row],[Question]]&amp;"."&amp;Network_MO_OnlyGlobal[[#This Row],[Action Type]]&amp;Network_MO_OnlyGlobal[[#This Row],[Country]]</f>
        <v>GS4.GQ3.Resolved_Onsite</v>
      </c>
      <c r="CC13" s="101" t="e">
        <f ca="1">IFERROR(VLOOKUP(Network_MO_OnlyGlobal[[#This Row],[Question]],#REF!,13,FALSE),VLOOKUP(Network_MO_OnlyGlobal[[#This Row],[Question]],INDIRECT("Network_Agent_"&amp;'Gen Info'!$E$4&amp;"[#All]"),13,FALSE))</f>
        <v>#REF!</v>
      </c>
      <c r="CD13" s="101" cm="1">
        <f t="array" aca="1" ref="CD13"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13" s="101" t="s">
        <v>2406</v>
      </c>
      <c r="CF13" s="101"/>
      <c r="CG13" s="101"/>
      <c r="CH13" s="101"/>
      <c r="CI13" s="101" cm="1">
        <f t="array" ref="CI13">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13" s="353" t="s">
        <v>2362</v>
      </c>
      <c r="CK13" s="101"/>
      <c r="CL13" s="101"/>
      <c r="CM13" s="101"/>
      <c r="CN13" s="101"/>
      <c r="CO13" s="101"/>
      <c r="CP13" s="101"/>
      <c r="CQ13" s="101" t="s">
        <v>2195</v>
      </c>
      <c r="CR13" s="101" t="s">
        <v>738</v>
      </c>
      <c r="CS13" s="353"/>
      <c r="CV13" s="101" t="str">
        <f>HQ_MO_OnlyGlobal[[#This Row],[Question]]&amp;"."&amp;HQ_MO_OnlyGlobal[[#This Row],[Action Type]]&amp;HQ_MO_OnlyGlobal[[#This Row],[Country]]</f>
        <v>GS3.GQ5.Response_Required</v>
      </c>
      <c r="CW13" s="101" t="e">
        <f ca="1">IFERROR(VLOOKUP(HQ_MO_OnlyGlobal[[#This Row],[Question]],INDIRECT('Gen Info'!$D$4&amp;"[#All]"),13,FALSE),VLOOKUP(HQ_MO_OnlyGlobal[[#This Row],[Question]],INDIRECT('Gen Info'!$D$4&amp;"_"&amp;'Gen Info'!$E$4&amp;"[#All]"),13,FALSE))</f>
        <v>#REF!</v>
      </c>
      <c r="CX13" s="101" cm="1">
        <f t="array" aca="1" ref="CX13" ca="1">IFERROR(_xlfn.IFS(LocationInfo[Select Letter Language]="English",_xlfn.IFS(VLOOKUP(HQ_MO_OnlyGlobal[[#This Row],[Question]],CallTb[[#All],[iWatch '#]:[Finding Type]],6,FALSE)="","",VLOOKUP(HQ_MO_OnlyGlobal[[#This Row],[Question]],CallTb[[#All],[iWatch '#]:[Finding Type]],6,FALSE)="No_AML",HQ_MO_OnlyGlobal[[#This Row],[Finding English AML]],VLOOKUP(HQ_MO_OnlyGlobal[[#This Row],[Question]],CallTb[[#All],[iWatch '#]:[Finding Type]],6,FALSE)="No",HQ_MO_OnlyGlobal[[#This Row],[Finding English]]),LocationInfo[Select Letter Language]="Spanish",HQ_MO_OnlyGlobal[[#This Row],[Finding Spanish]],LocationInfo[Select Letter Language]="French",HQ_MO_OnlyGlobal[[#This Row],[Finding French]],LocationInfo[Select Letter Language]="Portuguese",HQ_MO_OnlyGlobal[[#This Row],[Finding Portuguese]]),"")</f>
        <v>0</v>
      </c>
      <c r="CY13" s="101" t="s">
        <v>2407</v>
      </c>
      <c r="CZ13" s="101"/>
      <c r="DA13" s="101"/>
      <c r="DB13" s="101"/>
      <c r="DC13" s="101" cm="1">
        <f t="array" ref="DC13">IFERROR(_xlfn.IFS(LocationInfo[Select Letter Language]="English",HQ_MO_OnlyGlobal[[#This Row],[Action Required English]],LocationInfo[Select Letter Language]="Spanish",HQ_MO_OnlyGlobal[[#This Row],[Action Required Spanish]],LocationInfo[Select Letter Language]="French",HQ_MO_OnlyGlobal[[#This Row],[Action Required French]],LocationInfo[Select Letter Language]="Portuguese",HQ_MO_OnlyGlobal[[#This Row],[Action Required Portuguese]]),"")</f>
        <v>0</v>
      </c>
      <c r="DD13" s="101" t="s">
        <v>2408</v>
      </c>
      <c r="DE13" s="101"/>
      <c r="DF13" s="101"/>
      <c r="DG13" s="101"/>
      <c r="DH13" s="101"/>
      <c r="DI13" s="101"/>
      <c r="DJ13" s="101"/>
      <c r="DK13" s="101" t="s">
        <v>2215</v>
      </c>
      <c r="DL13" s="101" t="s">
        <v>1637</v>
      </c>
      <c r="DM13" s="101"/>
    </row>
    <row r="14" spans="2:117" hidden="1">
      <c r="B14" s="353" t="str">
        <f>Network_AgentGlobal[[#This Row],[Question]]&amp;"."&amp;Network_AgentGlobal[[#This Row],[Action Type]]&amp;Network_AgentGlobal[[#This Row],[Country]]</f>
        <v>GS2.GQ1.Resolved_Onsite</v>
      </c>
      <c r="C14" s="353" t="str">
        <f ca="1">IFERROR(VLOOKUP(Network_AgentGlobal[[#This Row],[Question]],INDIRECT('Gen Info'!$D$4&amp;"[#All]"),13,FALSE),VLOOKUP(Network_AgentGlobal[[#This Row],[Question]],INDIRECT('Gen Info'!$D$4&amp;"_"&amp;'Gen Info'!$E$4&amp;"[#All]"),13,FALSE))</f>
        <v>Historial de Cumplimiento</v>
      </c>
      <c r="D14" s="353" t="str" cm="1">
        <f t="array" aca="1" ref="D14"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El Agente no ha remediado todos los hallazgos relacionados con la última revisión del programa o investigaciones de FIU/FRM, que vencían en la fecha de la presente revisión o antes.</v>
      </c>
      <c r="E14" s="353" t="s">
        <v>2282</v>
      </c>
      <c r="F14" s="353"/>
      <c r="G14" s="353"/>
      <c r="H14" s="353"/>
      <c r="I14" s="353" t="str" cm="1">
        <f t="array" ref="I14">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No se require acción. El agente ha corregido todos los hallazgos pendientes de la última revisión del programa y/o investigaciones de FIU/FRM.</v>
      </c>
      <c r="J14" s="353" t="s">
        <v>2217</v>
      </c>
      <c r="K14" s="353" t="s">
        <v>2409</v>
      </c>
      <c r="L14" s="353" t="s">
        <v>2410</v>
      </c>
      <c r="M14" s="353" t="s">
        <v>2411</v>
      </c>
      <c r="N14" s="353" t="s">
        <v>2412</v>
      </c>
      <c r="O14" s="353" t="s">
        <v>2413</v>
      </c>
      <c r="P14" s="353" t="s">
        <v>2414</v>
      </c>
      <c r="Q14" s="353" t="s">
        <v>2195</v>
      </c>
      <c r="R14" s="353" t="s">
        <v>638</v>
      </c>
      <c r="S14" s="353"/>
      <c r="U14" t="str">
        <f>Master_Agent_HQsGlobal[[#This Row],[Question]]&amp;"."&amp;Master_Agent_HQsGlobal[[#This Row],[Action Type]]&amp;Master_Agent_HQsGlobal[[#This Row],[Country]]</f>
        <v>GS4.GQ3.Resolved_Onsite</v>
      </c>
      <c r="V14" t="str">
        <f ca="1">IFERROR(VLOOKUP(Master_Agent_HQsGlobal[[#This Row],[Question]],Master_Agent_HQs[#All],13,FALSE),VLOOKUP(Master_Agent_HQsGlobal[[#This Row],[Question]],INDIRECT("Master_Agent_HQs"&amp;'Gen Info'!$E$4&amp;"[#All]"),13,FALSE))</f>
        <v>Políticas y Procedimientos</v>
      </c>
      <c r="W14" t="str" cm="1">
        <f t="array" ref="W14">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tiene políiticas de cumplimiento de Anti-Fraude debidamente documentadas.</v>
      </c>
      <c r="X14" t="s">
        <v>2415</v>
      </c>
      <c r="AA14" s="143"/>
      <c r="AB14" t="str" cm="1">
        <f t="array" ref="AB14">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 xml:space="preserve">No se requiere acción. Se ha obtenido el documento correspondiente con las Políticas y Procedimientos del programa de Anti-Fraude. </v>
      </c>
      <c r="AC14" t="s">
        <v>2416</v>
      </c>
      <c r="AD14" t="s">
        <v>2417</v>
      </c>
      <c r="AE14" t="s">
        <v>2418</v>
      </c>
      <c r="AF14" t="s">
        <v>2419</v>
      </c>
      <c r="AG14" t="s">
        <v>2420</v>
      </c>
      <c r="AH14" t="s">
        <v>2421</v>
      </c>
      <c r="AI14" t="s">
        <v>2422</v>
      </c>
      <c r="AJ14" t="s">
        <v>2195</v>
      </c>
      <c r="AK14" t="s">
        <v>738</v>
      </c>
      <c r="AO14" t="str">
        <f>IndependentGlobal[[#This Row],[Question]]&amp;"."&amp;IndependentGlobal[[#This Row],[Action Type]]&amp;IndependentGlobal[[#This Row],[Country]]</f>
        <v>GS11.GQ4.Resolved_Onsite</v>
      </c>
      <c r="AP14" t="str">
        <f ca="1">IFERROR(VLOOKUP(IndependentGlobal[[#This Row],[Question]],Independent[#All],13,FALSE),VLOOKUP(IndependentGlobal[[#This Row],[Question]],INDIRECT("Independent_"&amp;'Gen Info'!$E$4&amp;"[#All]"),13,FALSE))</f>
        <v>Requisitos de KYC</v>
      </c>
      <c r="AQ14" t="str" cm="1">
        <f t="array" ref="AQ14">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Los operadores no se aseguran que las identificaciones de los clientes cumplan con los requerimientos mínimos.</v>
      </c>
      <c r="AR14" t="s">
        <v>2423</v>
      </c>
      <c r="AV14" t="str" cm="1">
        <f t="array" ref="AV14">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Todos los operadores han sido debidamente entrenados en este tema durante la revisión.</v>
      </c>
      <c r="AW14" t="s">
        <v>2378</v>
      </c>
      <c r="AX14" t="s">
        <v>2424</v>
      </c>
      <c r="AY14" t="s">
        <v>2380</v>
      </c>
      <c r="AZ14" t="s">
        <v>2425</v>
      </c>
      <c r="BA14" t="s">
        <v>2382</v>
      </c>
      <c r="BB14" t="s">
        <v>2426</v>
      </c>
      <c r="BC14" t="s">
        <v>2384</v>
      </c>
      <c r="BD14" t="s">
        <v>2195</v>
      </c>
      <c r="BE14" t="s">
        <v>1264</v>
      </c>
      <c r="BH14" t="str">
        <f>Independent_MO_OnlyGlobal[[#This Row],[Question]]&amp;"."&amp;Independent_MO_OnlyGlobal[[#This Row],[Action Type]]&amp;Independent_MO_OnlyGlobal[[#This Row],[Country]]</f>
        <v>GS5.GQ1.Response_Required</v>
      </c>
      <c r="BI14">
        <f ca="1">IFERROR(VLOOKUP(Independent_MO_OnlyGlobal[[#This Row],[Question]],Independent_MO_Only[#All],13,FALSE),VLOOKUP(Independent_MO_OnlyGlobal[[#This Row],[Question]],INDIRECT("Independent_MO_Only"&amp;'Gen Info'!$E$4&amp;"[#All]"),13,FALSE))</f>
        <v>0</v>
      </c>
      <c r="BJ14" cm="1">
        <f t="array" ref="BJ14">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14" t="s">
        <v>2427</v>
      </c>
      <c r="BO14" cm="1">
        <f t="array" ref="BO14">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14" t="s">
        <v>2428</v>
      </c>
      <c r="BW14" t="s">
        <v>2215</v>
      </c>
      <c r="BX14" t="s">
        <v>797</v>
      </c>
      <c r="CB14" s="101" t="str">
        <f>Network_MO_OnlyGlobal[[#This Row],[Question]]&amp;"."&amp;Network_MO_OnlyGlobal[[#This Row],[Action Type]]&amp;Network_MO_OnlyGlobal[[#This Row],[Country]]</f>
        <v>GS4.GQ3.Response_Required</v>
      </c>
      <c r="CC14" s="101" t="e">
        <f ca="1">IFERROR(VLOOKUP(Network_MO_OnlyGlobal[[#This Row],[Question]],#REF!,13,FALSE),VLOOKUP(Network_MO_OnlyGlobal[[#This Row],[Question]],INDIRECT("Network_Agent_"&amp;'Gen Info'!$E$4&amp;"[#All]"),13,FALSE))</f>
        <v>#REF!</v>
      </c>
      <c r="CD14" s="101" cm="1">
        <f t="array" aca="1" ref="CD14"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14" s="101" t="s">
        <v>2406</v>
      </c>
      <c r="CF14" s="101"/>
      <c r="CG14" s="101"/>
      <c r="CH14" s="101"/>
      <c r="CI14" s="101" cm="1">
        <f t="array" ref="CI14">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14" s="101" t="s">
        <v>2429</v>
      </c>
      <c r="CK14" s="101"/>
      <c r="CL14" s="101"/>
      <c r="CM14" s="101"/>
      <c r="CN14" s="101"/>
      <c r="CO14" s="101"/>
      <c r="CP14" s="101"/>
      <c r="CQ14" s="101" t="s">
        <v>2215</v>
      </c>
      <c r="CR14" s="101" t="s">
        <v>738</v>
      </c>
      <c r="CS14" s="101"/>
      <c r="CV14" s="101" t="str">
        <f>HQ_MO_OnlyGlobal[[#This Row],[Question]]&amp;"."&amp;HQ_MO_OnlyGlobal[[#This Row],[Action Type]]&amp;HQ_MO_OnlyGlobal[[#This Row],[Country]]</f>
        <v>GS3.GQ6.Response_Required</v>
      </c>
      <c r="CW14" s="101" t="e">
        <f ca="1">IFERROR(VLOOKUP(HQ_MO_OnlyGlobal[[#This Row],[Question]],INDIRECT('Gen Info'!$D$4&amp;"[#All]"),13,FALSE),VLOOKUP(HQ_MO_OnlyGlobal[[#This Row],[Question]],INDIRECT('Gen Info'!$D$4&amp;"_"&amp;'Gen Info'!$E$4&amp;"[#All]"),13,FALSE))</f>
        <v>#REF!</v>
      </c>
      <c r="CX14" s="101" cm="1">
        <f t="array" aca="1" ref="CX14" ca="1">IFERROR(_xlfn.IFS(LocationInfo[Select Letter Language]="English",_xlfn.IFS(VLOOKUP(HQ_MO_OnlyGlobal[[#This Row],[Question]],CallTb[[#All],[iWatch '#]:[Finding Type]],6,FALSE)="","",VLOOKUP(HQ_MO_OnlyGlobal[[#This Row],[Question]],CallTb[[#All],[iWatch '#]:[Finding Type]],6,FALSE)="No_AML",HQ_MO_OnlyGlobal[[#This Row],[Finding English AML]],VLOOKUP(HQ_MO_OnlyGlobal[[#This Row],[Question]],CallTb[[#All],[iWatch '#]:[Finding Type]],6,FALSE)="No",HQ_MO_OnlyGlobal[[#This Row],[Finding English]]),LocationInfo[Select Letter Language]="Spanish",HQ_MO_OnlyGlobal[[#This Row],[Finding Spanish]],LocationInfo[Select Letter Language]="French",HQ_MO_OnlyGlobal[[#This Row],[Finding French]],LocationInfo[Select Letter Language]="Portuguese",HQ_MO_OnlyGlobal[[#This Row],[Finding Portuguese]]),"")</f>
        <v>0</v>
      </c>
      <c r="CY14" s="101" t="s">
        <v>2430</v>
      </c>
      <c r="CZ14" s="101"/>
      <c r="DA14" s="101"/>
      <c r="DB14" s="101"/>
      <c r="DC14" s="101" cm="1">
        <f t="array" ref="DC14">IFERROR(_xlfn.IFS(LocationInfo[Select Letter Language]="English",HQ_MO_OnlyGlobal[[#This Row],[Action Required English]],LocationInfo[Select Letter Language]="Spanish",HQ_MO_OnlyGlobal[[#This Row],[Action Required Spanish]],LocationInfo[Select Letter Language]="French",HQ_MO_OnlyGlobal[[#This Row],[Action Required French]],LocationInfo[Select Letter Language]="Portuguese",HQ_MO_OnlyGlobal[[#This Row],[Action Required Portuguese]]),"")</f>
        <v>0</v>
      </c>
      <c r="DD14" s="101" t="s">
        <v>2431</v>
      </c>
      <c r="DE14" s="101"/>
      <c r="DF14" s="101"/>
      <c r="DG14" s="101"/>
      <c r="DH14" s="101"/>
      <c r="DI14" s="101"/>
      <c r="DJ14" s="101"/>
      <c r="DK14" s="101" t="s">
        <v>2215</v>
      </c>
      <c r="DL14" s="101" t="s">
        <v>1650</v>
      </c>
      <c r="DM14" s="101"/>
    </row>
    <row r="15" spans="2:117" hidden="1">
      <c r="B15" s="353" t="str">
        <f>Network_AgentGlobal[[#This Row],[Question]]&amp;"."&amp;Network_AgentGlobal[[#This Row],[Action Type]]&amp;Network_AgentGlobal[[#This Row],[Country]]</f>
        <v>GS2.GQ1.Resolved_OnsiteIndia_FTF</v>
      </c>
      <c r="C15" s="353" t="str">
        <f ca="1">IFERROR(VLOOKUP(Network_AgentGlobal[[#This Row],[Question]],INDIRECT('Gen Info'!$D$4&amp;"[#All]"),13,FALSE),VLOOKUP(Network_AgentGlobal[[#This Row],[Question]],INDIRECT('Gen Info'!$D$4&amp;"_"&amp;'Gen Info'!$E$4&amp;"[#All]"),13,FALSE))</f>
        <v>Historial de Cumplimiento</v>
      </c>
      <c r="D15" s="353" cm="1">
        <f t="array" aca="1" ref="D15"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15" s="353" t="s">
        <v>2432</v>
      </c>
      <c r="F15" s="353"/>
      <c r="G15" s="353"/>
      <c r="H15" s="353"/>
      <c r="I15" s="353" cm="1">
        <f t="array" ref="I15">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15" s="353" t="s">
        <v>2433</v>
      </c>
      <c r="K15" s="353"/>
      <c r="L15" s="353"/>
      <c r="M15" s="353"/>
      <c r="N15" s="353"/>
      <c r="O15" s="353"/>
      <c r="P15" s="353"/>
      <c r="Q15" s="353" t="s">
        <v>2195</v>
      </c>
      <c r="R15" s="353" t="s">
        <v>638</v>
      </c>
      <c r="S15" s="353" t="s">
        <v>2196</v>
      </c>
      <c r="U15" t="str">
        <f>Master_Agent_HQsGlobal[[#This Row],[Question]]&amp;"."&amp;Master_Agent_HQsGlobal[[#This Row],[Action Type]]&amp;Master_Agent_HQsGlobal[[#This Row],[Country]]</f>
        <v>GS4.GQ4.Resolved_Onsite</v>
      </c>
      <c r="V15" t="str">
        <f ca="1">IFERROR(VLOOKUP(Master_Agent_HQsGlobal[[#This Row],[Question]],Master_Agent_HQs[#All],13,FALSE),VLOOKUP(Master_Agent_HQsGlobal[[#This Row],[Question]],INDIRECT("Master_Agent_HQs"&amp;'Gen Info'!$E$4&amp;"[#All]"),13,FALSE))</f>
        <v>Políticas y Procedimientos</v>
      </c>
      <c r="W15" t="str" cm="1">
        <f t="array" ref="W15">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Las Políticas y Procedimientos de Anti-Fraude, estan incompletas.</v>
      </c>
      <c r="X15" t="s">
        <v>2434</v>
      </c>
      <c r="AA15" s="143"/>
      <c r="AB15" t="str" cm="1">
        <f t="array" ref="AB15">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 xml:space="preserve">No se requiere acción. Se ha obtenido el documento completo con las Políticas y Procedimientos del programa de Anti-Fraude. </v>
      </c>
      <c r="AC15" t="s">
        <v>2435</v>
      </c>
      <c r="AD15" t="s">
        <v>2436</v>
      </c>
      <c r="AE15" t="s">
        <v>2437</v>
      </c>
      <c r="AF15" t="s">
        <v>2438</v>
      </c>
      <c r="AG15" t="s">
        <v>2420</v>
      </c>
      <c r="AH15" t="s">
        <v>2439</v>
      </c>
      <c r="AI15" t="s">
        <v>2440</v>
      </c>
      <c r="AJ15" t="s">
        <v>2195</v>
      </c>
      <c r="AK15" t="s">
        <v>753</v>
      </c>
      <c r="AO15" t="str">
        <f>IndependentGlobal[[#This Row],[Question]]&amp;"."&amp;IndependentGlobal[[#This Row],[Action Type]]&amp;IndependentGlobal[[#This Row],[Country]]</f>
        <v>GS11.GQ4.Response_Required</v>
      </c>
      <c r="AP15" t="str">
        <f ca="1">IFERROR(VLOOKUP(IndependentGlobal[[#This Row],[Question]],Independent[#All],13,FALSE),VLOOKUP(IndependentGlobal[[#This Row],[Question]],INDIRECT("Independent_"&amp;'Gen Info'!$E$4&amp;"[#All]"),13,FALSE))</f>
        <v>Requisitos de KYC</v>
      </c>
      <c r="AQ15" t="str" cm="1">
        <f t="array" ref="AQ15">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Los operadores no se aseguran que las identificaciones de los clientes cumplan con los requerimientos mínimos.</v>
      </c>
      <c r="AR15" t="s">
        <v>2423</v>
      </c>
      <c r="AV15" t="str" cm="1">
        <f t="array" ref="AV15">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confirmación donde se evidencie que todos los empleados han sido entrenados en este tema. Asegúrese que la confirmación incluya el tema cubierto, el nombre de las personas que asistieron a la sesión y la fecha de la capacitación.</v>
      </c>
      <c r="AW15" t="s">
        <v>2400</v>
      </c>
      <c r="AX15" t="s">
        <v>2424</v>
      </c>
      <c r="AY15" t="s">
        <v>2401</v>
      </c>
      <c r="AZ15" t="s">
        <v>2425</v>
      </c>
      <c r="BA15" t="s">
        <v>2402</v>
      </c>
      <c r="BB15" t="s">
        <v>2426</v>
      </c>
      <c r="BC15" t="s">
        <v>2403</v>
      </c>
      <c r="BD15" t="s">
        <v>2215</v>
      </c>
      <c r="BE15" t="s">
        <v>1264</v>
      </c>
      <c r="BH15" t="str">
        <f>Independent_MO_OnlyGlobal[[#This Row],[Question]]&amp;"."&amp;Independent_MO_OnlyGlobal[[#This Row],[Action Type]]&amp;Independent_MO_OnlyGlobal[[#This Row],[Country]]</f>
        <v>GS5.GQ3.Response_Required</v>
      </c>
      <c r="BI15">
        <f ca="1">IFERROR(VLOOKUP(Independent_MO_OnlyGlobal[[#This Row],[Question]],Independent_MO_Only[#All],13,FALSE),VLOOKUP(Independent_MO_OnlyGlobal[[#This Row],[Question]],INDIRECT("Independent_MO_Only"&amp;'Gen Info'!$E$4&amp;"[#All]"),13,FALSE))</f>
        <v>0</v>
      </c>
      <c r="BJ15" cm="1">
        <f t="array" ref="BJ15">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15" t="s">
        <v>2363</v>
      </c>
      <c r="BO15" cm="1">
        <f t="array" ref="BO15">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15" t="s">
        <v>2441</v>
      </c>
      <c r="BW15" t="s">
        <v>2215</v>
      </c>
      <c r="BX15" t="s">
        <v>815</v>
      </c>
      <c r="CB15" s="101" t="str">
        <f>Network_MO_OnlyGlobal[[#This Row],[Question]]&amp;"."&amp;Network_MO_OnlyGlobal[[#This Row],[Action Type]]&amp;Network_MO_OnlyGlobal[[#This Row],[Country]]</f>
        <v>GS4.GQ4.Resolved_Onsite</v>
      </c>
      <c r="CC15" s="101" t="e">
        <f ca="1">IFERROR(VLOOKUP(Network_MO_OnlyGlobal[[#This Row],[Question]],#REF!,13,FALSE),VLOOKUP(Network_MO_OnlyGlobal[[#This Row],[Question]],INDIRECT("Network_Agent_"&amp;'Gen Info'!$E$4&amp;"[#All]"),13,FALSE))</f>
        <v>#REF!</v>
      </c>
      <c r="CD15" s="101" cm="1">
        <f t="array" aca="1" ref="CD15"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15" s="101" t="s">
        <v>2442</v>
      </c>
      <c r="CF15" s="101"/>
      <c r="CG15" s="101"/>
      <c r="CH15" s="101"/>
      <c r="CI15" s="101" cm="1">
        <f t="array" ref="CI15">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15" s="353" t="s">
        <v>2362</v>
      </c>
      <c r="CK15" s="101"/>
      <c r="CL15" s="101"/>
      <c r="CM15" s="101"/>
      <c r="CN15" s="101"/>
      <c r="CO15" s="101"/>
      <c r="CP15" s="101"/>
      <c r="CQ15" s="101" t="s">
        <v>2195</v>
      </c>
      <c r="CR15" s="101" t="s">
        <v>753</v>
      </c>
      <c r="CS15" s="353"/>
      <c r="CV15" s="101" t="str">
        <f>HQ_MO_OnlyGlobal[[#This Row],[Question]]&amp;"."&amp;HQ_MO_OnlyGlobal[[#This Row],[Action Type]]&amp;HQ_MO_OnlyGlobal[[#This Row],[Country]]</f>
        <v>GS3.GQ7.Response_Required</v>
      </c>
      <c r="CW15" s="101" t="e">
        <f ca="1">IFERROR(VLOOKUP(HQ_MO_OnlyGlobal[[#This Row],[Question]],INDIRECT('Gen Info'!$D$4&amp;"[#All]"),13,FALSE),VLOOKUP(HQ_MO_OnlyGlobal[[#This Row],[Question]],INDIRECT('Gen Info'!$D$4&amp;"_"&amp;'Gen Info'!$E$4&amp;"[#All]"),13,FALSE))</f>
        <v>#REF!</v>
      </c>
      <c r="CX15" s="101" cm="1">
        <f t="array" aca="1" ref="CX15" ca="1">IFERROR(_xlfn.IFS(LocationInfo[Select Letter Language]="English",_xlfn.IFS(VLOOKUP(HQ_MO_OnlyGlobal[[#This Row],[Question]],CallTb[[#All],[iWatch '#]:[Finding Type]],6,FALSE)="","",VLOOKUP(HQ_MO_OnlyGlobal[[#This Row],[Question]],CallTb[[#All],[iWatch '#]:[Finding Type]],6,FALSE)="No_AML",HQ_MO_OnlyGlobal[[#This Row],[Finding English AML]],VLOOKUP(HQ_MO_OnlyGlobal[[#This Row],[Question]],CallTb[[#All],[iWatch '#]:[Finding Type]],6,FALSE)="No",HQ_MO_OnlyGlobal[[#This Row],[Finding English]]),LocationInfo[Select Letter Language]="Spanish",HQ_MO_OnlyGlobal[[#This Row],[Finding Spanish]],LocationInfo[Select Letter Language]="French",HQ_MO_OnlyGlobal[[#This Row],[Finding French]],LocationInfo[Select Letter Language]="Portuguese",HQ_MO_OnlyGlobal[[#This Row],[Finding Portuguese]]),"")</f>
        <v>0</v>
      </c>
      <c r="CY15" s="101" t="s">
        <v>2443</v>
      </c>
      <c r="CZ15" s="101"/>
      <c r="DA15" s="101"/>
      <c r="DB15" s="101"/>
      <c r="DC15" s="101" cm="1">
        <f t="array" ref="DC15">IFERROR(_xlfn.IFS(LocationInfo[Select Letter Language]="English",HQ_MO_OnlyGlobal[[#This Row],[Action Required English]],LocationInfo[Select Letter Language]="Spanish",HQ_MO_OnlyGlobal[[#This Row],[Action Required Spanish]],LocationInfo[Select Letter Language]="French",HQ_MO_OnlyGlobal[[#This Row],[Action Required French]],LocationInfo[Select Letter Language]="Portuguese",HQ_MO_OnlyGlobal[[#This Row],[Action Required Portuguese]]),"")</f>
        <v>0</v>
      </c>
      <c r="DD15" s="101" t="s">
        <v>2444</v>
      </c>
      <c r="DE15" s="101"/>
      <c r="DF15" s="101"/>
      <c r="DG15" s="101"/>
      <c r="DH15" s="101"/>
      <c r="DI15" s="101"/>
      <c r="DJ15" s="101"/>
      <c r="DK15" s="101" t="s">
        <v>2215</v>
      </c>
      <c r="DL15" s="101" t="s">
        <v>2445</v>
      </c>
      <c r="DM15" s="101"/>
    </row>
    <row r="16" spans="2:117" hidden="1">
      <c r="B16" s="353" t="str">
        <f>Network_AgentGlobal[[#This Row],[Question]]&amp;"."&amp;Network_AgentGlobal[[#This Row],[Action Type]]&amp;Network_AgentGlobal[[#This Row],[Country]]</f>
        <v>GS2.GQ1.Response_Required</v>
      </c>
      <c r="C16" s="353" t="str">
        <f ca="1">IFERROR(VLOOKUP(Network_AgentGlobal[[#This Row],[Question]],INDIRECT('Gen Info'!$D$4&amp;"[#All]"),13,FALSE),VLOOKUP(Network_AgentGlobal[[#This Row],[Question]],INDIRECT('Gen Info'!$D$4&amp;"_"&amp;'Gen Info'!$E$4&amp;"[#All]"),13,FALSE))</f>
        <v>Historial de Cumplimiento</v>
      </c>
      <c r="D16" s="353" t="str" cm="1">
        <f t="array" aca="1" ref="D16"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El Agente no ha remediado todos los hallazgos relacionados con la última revisión del programa o investigaciones de FIU/FRM, que vencían en la fecha de la presente revisión o antes.</v>
      </c>
      <c r="E16" s="353" t="s">
        <v>2282</v>
      </c>
      <c r="F16" s="353"/>
      <c r="G16" s="353"/>
      <c r="H16" s="353"/>
      <c r="I16" s="353" t="str" cm="1">
        <f t="array" ref="I16">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Brinde a Western Union documentación que demuestre que se remediaron los hallazgos de la última revisión del programa o de las investigaciones de FIU/FRM según sea el caso.</v>
      </c>
      <c r="J16" s="353" t="s">
        <v>2238</v>
      </c>
      <c r="K16" s="353" t="s">
        <v>2409</v>
      </c>
      <c r="L16" s="353" t="s">
        <v>2446</v>
      </c>
      <c r="M16" s="353" t="s">
        <v>2411</v>
      </c>
      <c r="N16" s="353" t="s">
        <v>2447</v>
      </c>
      <c r="O16" s="353" t="s">
        <v>2413</v>
      </c>
      <c r="P16" s="353" t="s">
        <v>2448</v>
      </c>
      <c r="Q16" s="353" t="s">
        <v>2215</v>
      </c>
      <c r="R16" s="353" t="s">
        <v>638</v>
      </c>
      <c r="S16" s="353"/>
      <c r="U16" t="str">
        <f>Master_Agent_HQsGlobal[[#This Row],[Question]]&amp;"."&amp;Master_Agent_HQsGlobal[[#This Row],[Action Type]]&amp;Master_Agent_HQsGlobal[[#This Row],[Country]]</f>
        <v>GS4.GQ5.Resolved_Onsite</v>
      </c>
      <c r="V16" t="str">
        <f ca="1">IFERROR(VLOOKUP(Master_Agent_HQsGlobal[[#This Row],[Question]],Master_Agent_HQs[#All],13,FALSE),VLOOKUP(Master_Agent_HQsGlobal[[#This Row],[Question]],INDIRECT("Master_Agent_HQs"&amp;'Gen Info'!$E$4&amp;"[#All]"),13,FALSE))</f>
        <v>Políticas y Procedimientos</v>
      </c>
      <c r="W16" t="str" cm="1">
        <f t="array" ref="W16">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Las Políticas y Procedimientos AML/CFTy Anti-fraude no se actualizan periódicamente.</v>
      </c>
      <c r="X16" t="s">
        <v>2449</v>
      </c>
      <c r="AA16" s="143"/>
      <c r="AB16" t="str" cm="1">
        <f t="array" ref="AB16">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requiere acción. El agente proporcionó confirmación que demuestra que sus Políticas y Procedimientos de AML/CFT y Anti-fraude se actualizan periódicamente y/o una declaración escrita indicando el proceso para actualizar sus procedimientos periódicamente.</v>
      </c>
      <c r="AC16" t="s">
        <v>2450</v>
      </c>
      <c r="AD16" t="s">
        <v>2451</v>
      </c>
      <c r="AE16" t="s">
        <v>2452</v>
      </c>
      <c r="AF16" t="s">
        <v>2453</v>
      </c>
      <c r="AG16" t="s">
        <v>2454</v>
      </c>
      <c r="AH16" t="s">
        <v>2455</v>
      </c>
      <c r="AI16" t="s">
        <v>2456</v>
      </c>
      <c r="AJ16" t="s">
        <v>2195</v>
      </c>
      <c r="AK16" t="s">
        <v>761</v>
      </c>
      <c r="AO16" t="str">
        <f>IndependentGlobal[[#This Row],[Question]]&amp;"."&amp;IndependentGlobal[[#This Row],[Action Type]]&amp;IndependentGlobal[[#This Row],[Country]]</f>
        <v>GS11.GQ5.Resolved_Onsite</v>
      </c>
      <c r="AP16" t="str">
        <f ca="1">IFERROR(VLOOKUP(IndependentGlobal[[#This Row],[Question]],Independent[#All],13,FALSE),VLOOKUP(IndependentGlobal[[#This Row],[Question]],INDIRECT("Independent_"&amp;'Gen Info'!$E$4&amp;"[#All]"),13,FALSE))</f>
        <v>Requisitos de KYC</v>
      </c>
      <c r="AQ16" t="str" cm="1">
        <f t="array" ref="AQ16">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Los operadores no saben que las transferencias a terceros son prohibidas.</v>
      </c>
      <c r="AR16" t="s">
        <v>2457</v>
      </c>
      <c r="AV16" t="str" cm="1">
        <f t="array" ref="AV16">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Todos los operadores han sido debidamente entrenados en este tema durante la revisión.</v>
      </c>
      <c r="AW16" t="s">
        <v>2378</v>
      </c>
      <c r="AX16" t="s">
        <v>2458</v>
      </c>
      <c r="AY16" t="s">
        <v>2380</v>
      </c>
      <c r="AZ16" t="s">
        <v>2459</v>
      </c>
      <c r="BA16" t="s">
        <v>2382</v>
      </c>
      <c r="BB16" t="s">
        <v>2460</v>
      </c>
      <c r="BC16" t="s">
        <v>2384</v>
      </c>
      <c r="BD16" t="s">
        <v>2195</v>
      </c>
      <c r="BE16" t="s">
        <v>1272</v>
      </c>
      <c r="BH16" t="str">
        <f>Independent_MO_OnlyGlobal[[#This Row],[Question]]&amp;"."&amp;Independent_MO_OnlyGlobal[[#This Row],[Action Type]]&amp;Independent_MO_OnlyGlobal[[#This Row],[Country]]</f>
        <v>GS5.GQ5.Response_Required</v>
      </c>
      <c r="BI16">
        <f ca="1">IFERROR(VLOOKUP(Independent_MO_OnlyGlobal[[#This Row],[Question]],Independent_MO_Only[#All],13,FALSE),VLOOKUP(Independent_MO_OnlyGlobal[[#This Row],[Question]],INDIRECT("Independent_MO_Only"&amp;'Gen Info'!$E$4&amp;"[#All]"),13,FALSE))</f>
        <v>0</v>
      </c>
      <c r="BJ16" cm="1">
        <f t="array" ref="BJ16">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16" t="s">
        <v>2461</v>
      </c>
      <c r="BO16" cm="1">
        <f t="array" ref="BO16">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16" t="s">
        <v>2462</v>
      </c>
      <c r="BW16" t="s">
        <v>2215</v>
      </c>
      <c r="BX16" t="s">
        <v>841</v>
      </c>
      <c r="CB16" s="101" t="str">
        <f>Network_MO_OnlyGlobal[[#This Row],[Question]]&amp;"."&amp;Network_MO_OnlyGlobal[[#This Row],[Action Type]]&amp;Network_MO_OnlyGlobal[[#This Row],[Country]]</f>
        <v>GS4.GQ4.Response_Required</v>
      </c>
      <c r="CC16" s="101" t="e">
        <f ca="1">IFERROR(VLOOKUP(Network_MO_OnlyGlobal[[#This Row],[Question]],#REF!,13,FALSE),VLOOKUP(Network_MO_OnlyGlobal[[#This Row],[Question]],INDIRECT("Network_Agent_"&amp;'Gen Info'!$E$4&amp;"[#All]"),13,FALSE))</f>
        <v>#REF!</v>
      </c>
      <c r="CD16" s="101" cm="1">
        <f t="array" aca="1" ref="CD16"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16" s="101" t="s">
        <v>2442</v>
      </c>
      <c r="CF16" s="101"/>
      <c r="CG16" s="101"/>
      <c r="CH16" s="101"/>
      <c r="CI16" s="101" cm="1">
        <f t="array" ref="CI16">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16" s="353" t="s">
        <v>2463</v>
      </c>
      <c r="CK16" s="101"/>
      <c r="CL16" s="101"/>
      <c r="CM16" s="101"/>
      <c r="CN16" s="101"/>
      <c r="CO16" s="101"/>
      <c r="CP16" s="101"/>
      <c r="CQ16" s="101" t="s">
        <v>2215</v>
      </c>
      <c r="CR16" s="101" t="s">
        <v>753</v>
      </c>
      <c r="CS16" s="101"/>
      <c r="CV16" s="101" t="str">
        <f>HQ_MO_OnlyGlobal[[#This Row],[Question]]&amp;"."&amp;HQ_MO_OnlyGlobal[[#This Row],[Action Type]]&amp;HQ_MO_OnlyGlobal[[#This Row],[Country]]</f>
        <v>GS3.GQ8.Response_Required</v>
      </c>
      <c r="CW16" s="101" t="e">
        <f ca="1">IFERROR(VLOOKUP(HQ_MO_OnlyGlobal[[#This Row],[Question]],INDIRECT('Gen Info'!$D$4&amp;"[#All]"),13,FALSE),VLOOKUP(HQ_MO_OnlyGlobal[[#This Row],[Question]],INDIRECT('Gen Info'!$D$4&amp;"_"&amp;'Gen Info'!$E$4&amp;"[#All]"),13,FALSE))</f>
        <v>#REF!</v>
      </c>
      <c r="CX16" s="101" cm="1">
        <f t="array" aca="1" ref="CX16" ca="1">IFERROR(_xlfn.IFS(LocationInfo[Select Letter Language]="English",_xlfn.IFS(VLOOKUP(HQ_MO_OnlyGlobal[[#This Row],[Question]],CallTb[[#All],[iWatch '#]:[Finding Type]],6,FALSE)="","",VLOOKUP(HQ_MO_OnlyGlobal[[#This Row],[Question]],CallTb[[#All],[iWatch '#]:[Finding Type]],6,FALSE)="No_AML",HQ_MO_OnlyGlobal[[#This Row],[Finding English AML]],VLOOKUP(HQ_MO_OnlyGlobal[[#This Row],[Question]],CallTb[[#All],[iWatch '#]:[Finding Type]],6,FALSE)="No",HQ_MO_OnlyGlobal[[#This Row],[Finding English]]),LocationInfo[Select Letter Language]="Spanish",HQ_MO_OnlyGlobal[[#This Row],[Finding Spanish]],LocationInfo[Select Letter Language]="French",HQ_MO_OnlyGlobal[[#This Row],[Finding French]],LocationInfo[Select Letter Language]="Portuguese",HQ_MO_OnlyGlobal[[#This Row],[Finding Portuguese]]),"")</f>
        <v>0</v>
      </c>
      <c r="CY16" s="101" t="s">
        <v>2464</v>
      </c>
      <c r="CZ16" s="101"/>
      <c r="DA16" s="101"/>
      <c r="DB16" s="101"/>
      <c r="DC16" s="101" cm="1">
        <f t="array" ref="DC16">IFERROR(_xlfn.IFS(LocationInfo[Select Letter Language]="English",HQ_MO_OnlyGlobal[[#This Row],[Action Required English]],LocationInfo[Select Letter Language]="Spanish",HQ_MO_OnlyGlobal[[#This Row],[Action Required Spanish]],LocationInfo[Select Letter Language]="French",HQ_MO_OnlyGlobal[[#This Row],[Action Required French]],LocationInfo[Select Letter Language]="Portuguese",HQ_MO_OnlyGlobal[[#This Row],[Action Required Portuguese]]),"")</f>
        <v>0</v>
      </c>
      <c r="DD16" s="101" t="s">
        <v>2465</v>
      </c>
      <c r="DE16" s="101"/>
      <c r="DF16" s="101"/>
      <c r="DG16" s="101"/>
      <c r="DH16" s="101"/>
      <c r="DI16" s="101"/>
      <c r="DJ16" s="101"/>
      <c r="DK16" s="101" t="s">
        <v>2215</v>
      </c>
      <c r="DL16" s="101" t="s">
        <v>2466</v>
      </c>
      <c r="DM16" s="101"/>
    </row>
    <row r="17" spans="2:117" hidden="1">
      <c r="B17" s="353" t="str">
        <f>Network_AgentGlobal[[#This Row],[Question]]&amp;"."&amp;Network_AgentGlobal[[#This Row],[Action Type]]&amp;Network_AgentGlobal[[#This Row],[Country]]</f>
        <v>GS2.GQ2.Resolved_OnsiteIndia_FTF</v>
      </c>
      <c r="C17" s="353">
        <f ca="1">IFERROR(VLOOKUP(Network_AgentGlobal[[#This Row],[Question]],INDIRECT('Gen Info'!$D$4&amp;"[#All]"),13,FALSE),VLOOKUP(Network_AgentGlobal[[#This Row],[Question]],INDIRECT('Gen Info'!$D$4&amp;"_"&amp;'Gen Info'!$E$4&amp;"[#All]"),13,FALSE))</f>
        <v>0</v>
      </c>
      <c r="D17" s="353" cm="1">
        <f t="array" aca="1" ref="D17"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17" s="353" t="s">
        <v>2467</v>
      </c>
      <c r="F17" s="353"/>
      <c r="G17" s="353"/>
      <c r="H17" s="353"/>
      <c r="I17" s="353" cm="1">
        <f t="array" ref="I17">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17" s="353" t="s">
        <v>2468</v>
      </c>
      <c r="K17" s="353"/>
      <c r="L17" s="353"/>
      <c r="M17" s="353"/>
      <c r="N17" s="353"/>
      <c r="O17" s="353"/>
      <c r="P17" s="353"/>
      <c r="Q17" s="353" t="s">
        <v>2195</v>
      </c>
      <c r="R17" s="353" t="s">
        <v>652</v>
      </c>
      <c r="S17" s="353" t="s">
        <v>2196</v>
      </c>
      <c r="U17" t="str">
        <f>Master_Agent_HQsGlobal[[#This Row],[Question]]&amp;"."&amp;Master_Agent_HQsGlobal[[#This Row],[Action Type]]&amp;Master_Agent_HQsGlobal[[#This Row],[Country]]</f>
        <v>GS4.GQ7.Resolved_Onsite</v>
      </c>
      <c r="V17" t="str">
        <f ca="1">IFERROR(VLOOKUP(Master_Agent_HQsGlobal[[#This Row],[Question]],Master_Agent_HQs[#All],13,FALSE),VLOOKUP(Master_Agent_HQsGlobal[[#This Row],[Question]],INDIRECT("Master_Agent_HQs"&amp;'Gen Info'!$E$4&amp;"[#All]"),13,FALSE))</f>
        <v>Políticas y Procedimientos</v>
      </c>
      <c r="W17" t="str" cm="1">
        <f t="array" ref="W17">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Las Políticas y Procedimientos de AML/CFT y Anti-Fraude, no han sido debidamente comunicadas a los empleados anualmente.</v>
      </c>
      <c r="X17" t="s">
        <v>2469</v>
      </c>
      <c r="AA17" s="143"/>
      <c r="AB17" t="str" cm="1">
        <f t="array" ref="AB17">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requiere acción. Se ha brindado capacitación de AML/CFT y Anti-Fraude a todos los empleados con acceso a los sistemas de Western Union. Se le ha indicado al agente que continue comunicando el programa a todos los operadores de forma annual.</v>
      </c>
      <c r="AC17" t="s">
        <v>2470</v>
      </c>
      <c r="AD17" t="s">
        <v>2471</v>
      </c>
      <c r="AE17" t="s">
        <v>2472</v>
      </c>
      <c r="AF17" t="s">
        <v>2473</v>
      </c>
      <c r="AG17" t="s">
        <v>2474</v>
      </c>
      <c r="AH17" t="s">
        <v>2475</v>
      </c>
      <c r="AI17" t="s">
        <v>2476</v>
      </c>
      <c r="AJ17" t="s">
        <v>2195</v>
      </c>
      <c r="AK17" t="s">
        <v>777</v>
      </c>
      <c r="AO17" t="str">
        <f>IndependentGlobal[[#This Row],[Question]]&amp;"."&amp;IndependentGlobal[[#This Row],[Action Type]]&amp;IndependentGlobal[[#This Row],[Country]]</f>
        <v>GS11.GQ5.Response_Required</v>
      </c>
      <c r="AP17" t="str">
        <f ca="1">IFERROR(VLOOKUP(IndependentGlobal[[#This Row],[Question]],Independent[#All],13,FALSE),VLOOKUP(IndependentGlobal[[#This Row],[Question]],INDIRECT("Independent_"&amp;'Gen Info'!$E$4&amp;"[#All]"),13,FALSE))</f>
        <v>Requisitos de KYC</v>
      </c>
      <c r="AQ17" t="str" cm="1">
        <f t="array" ref="AQ17">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Los operadores no saben que las transferencias a terceros son prohibidas.</v>
      </c>
      <c r="AR17" t="s">
        <v>2457</v>
      </c>
      <c r="AV17" t="str" cm="1">
        <f t="array" ref="AV17">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confirmación donde se evidencie que todos los empleados han sido entrenados en este tema. Asegúrese que la confirmación incluya el tema cubierto, el nombre de las personas que asistieron a la sesión y la fecha de la capacitación.</v>
      </c>
      <c r="AW17" t="s">
        <v>2400</v>
      </c>
      <c r="AX17" t="s">
        <v>2458</v>
      </c>
      <c r="AY17" t="s">
        <v>2401</v>
      </c>
      <c r="AZ17" t="s">
        <v>2459</v>
      </c>
      <c r="BA17" t="s">
        <v>2402</v>
      </c>
      <c r="BB17" t="s">
        <v>2460</v>
      </c>
      <c r="BC17" t="s">
        <v>2403</v>
      </c>
      <c r="BD17" t="s">
        <v>2215</v>
      </c>
      <c r="BE17" t="s">
        <v>1272</v>
      </c>
      <c r="BH17" t="str">
        <f>Independent_MO_OnlyGlobal[[#This Row],[Question]]&amp;"."&amp;Independent_MO_OnlyGlobal[[#This Row],[Action Type]]&amp;Independent_MO_OnlyGlobal[[#This Row],[Country]]</f>
        <v>GS5.GQ6.Response_Required</v>
      </c>
      <c r="BI17">
        <f ca="1">IFERROR(VLOOKUP(Independent_MO_OnlyGlobal[[#This Row],[Question]],Independent_MO_Only[#All],13,FALSE),VLOOKUP(Independent_MO_OnlyGlobal[[#This Row],[Question]],INDIRECT("Independent_MO_Only"&amp;'Gen Info'!$E$4&amp;"[#All]"),13,FALSE))</f>
        <v>0</v>
      </c>
      <c r="BJ17" cm="1">
        <f t="array" ref="BJ17">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17" t="s">
        <v>2477</v>
      </c>
      <c r="BO17" cm="1">
        <f t="array" ref="BO17">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17" t="s">
        <v>2478</v>
      </c>
      <c r="BW17" t="s">
        <v>2215</v>
      </c>
      <c r="BX17" t="s">
        <v>849</v>
      </c>
      <c r="CB17" s="101" t="str">
        <f>Network_MO_OnlyGlobal[[#This Row],[Question]]&amp;"."&amp;Network_MO_OnlyGlobal[[#This Row],[Action Type]]&amp;Network_MO_OnlyGlobal[[#This Row],[Country]]</f>
        <v>GS4.GQ5.Resolved_Onsite</v>
      </c>
      <c r="CC17" s="101" t="e">
        <f ca="1">IFERROR(VLOOKUP(Network_MO_OnlyGlobal[[#This Row],[Question]],#REF!,13,FALSE),VLOOKUP(Network_MO_OnlyGlobal[[#This Row],[Question]],INDIRECT("Network_Agent_"&amp;'Gen Info'!$E$4&amp;"[#All]"),13,FALSE))</f>
        <v>#REF!</v>
      </c>
      <c r="CD17" s="101" cm="1">
        <f t="array" aca="1" ref="CD17"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17" s="101" t="s">
        <v>2479</v>
      </c>
      <c r="CF17" s="101"/>
      <c r="CG17" s="101"/>
      <c r="CH17" s="101"/>
      <c r="CI17" s="101" cm="1">
        <f t="array" ref="CI17">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17" s="353" t="s">
        <v>2362</v>
      </c>
      <c r="CK17" s="101"/>
      <c r="CL17" s="101"/>
      <c r="CM17" s="101"/>
      <c r="CN17" s="101"/>
      <c r="CO17" s="101"/>
      <c r="CP17" s="101"/>
      <c r="CQ17" s="101" t="s">
        <v>2195</v>
      </c>
      <c r="CR17" s="101" t="s">
        <v>761</v>
      </c>
      <c r="CS17" s="353"/>
      <c r="CV17" s="101" t="str">
        <f>HQ_MO_OnlyGlobal[[#This Row],[Question]]&amp;"."&amp;HQ_MO_OnlyGlobal[[#This Row],[Action Type]]&amp;HQ_MO_OnlyGlobal[[#This Row],[Country]]</f>
        <v>GS4.GQ1.Response_Required</v>
      </c>
      <c r="CW17" s="101" t="str">
        <f ca="1">IFERROR(VLOOKUP(HQ_MO_OnlyGlobal[[#This Row],[Question]],INDIRECT('Gen Info'!$D$4&amp;"[#All]"),13,FALSE),VLOOKUP(HQ_MO_OnlyGlobal[[#This Row],[Question]],INDIRECT('Gen Info'!$D$4&amp;"_"&amp;'Gen Info'!$E$4&amp;"[#All]"),13,FALSE))</f>
        <v>Conocimiento de Operador - Actividad Sospechosa y Fraude</v>
      </c>
      <c r="CX17" s="101" cm="1">
        <f t="array" aca="1" ref="CX17" ca="1">IFERROR(_xlfn.IFS(LocationInfo[Select Letter Language]="English",_xlfn.IFS(VLOOKUP(HQ_MO_OnlyGlobal[[#This Row],[Question]],CallTb[[#All],[iWatch '#]:[Finding Type]],6,FALSE)="","",VLOOKUP(HQ_MO_OnlyGlobal[[#This Row],[Question]],CallTb[[#All],[iWatch '#]:[Finding Type]],6,FALSE)="No_AML",HQ_MO_OnlyGlobal[[#This Row],[Finding English AML]],VLOOKUP(HQ_MO_OnlyGlobal[[#This Row],[Question]],CallTb[[#All],[iWatch '#]:[Finding Type]],6,FALSE)="No",HQ_MO_OnlyGlobal[[#This Row],[Finding English]]),LocationInfo[Select Letter Language]="Spanish",HQ_MO_OnlyGlobal[[#This Row],[Finding Spanish]],LocationInfo[Select Letter Language]="French",HQ_MO_OnlyGlobal[[#This Row],[Finding French]],LocationInfo[Select Letter Language]="Portuguese",HQ_MO_OnlyGlobal[[#This Row],[Finding Portuguese]]),"")</f>
        <v>0</v>
      </c>
      <c r="CY17" s="101" t="s">
        <v>2480</v>
      </c>
      <c r="CZ17" s="101"/>
      <c r="DA17" s="101"/>
      <c r="DB17" s="101"/>
      <c r="DC17" s="101" cm="1">
        <f t="array" ref="DC17">IFERROR(_xlfn.IFS(LocationInfo[Select Letter Language]="English",HQ_MO_OnlyGlobal[[#This Row],[Action Required English]],LocationInfo[Select Letter Language]="Spanish",HQ_MO_OnlyGlobal[[#This Row],[Action Required Spanish]],LocationInfo[Select Letter Language]="French",HQ_MO_OnlyGlobal[[#This Row],[Action Required French]],LocationInfo[Select Letter Language]="Portuguese",HQ_MO_OnlyGlobal[[#This Row],[Action Required Portuguese]]),"")</f>
        <v>0</v>
      </c>
      <c r="DD17" s="101" t="s">
        <v>2481</v>
      </c>
      <c r="DE17" s="101"/>
      <c r="DF17" s="101"/>
      <c r="DG17" s="101"/>
      <c r="DH17" s="101"/>
      <c r="DI17" s="101"/>
      <c r="DJ17" s="101"/>
      <c r="DK17" s="101" t="s">
        <v>2215</v>
      </c>
      <c r="DL17" s="101" t="s">
        <v>711</v>
      </c>
      <c r="DM17" s="101"/>
    </row>
    <row r="18" spans="2:117" hidden="1">
      <c r="B18" s="353" t="str">
        <f>Network_AgentGlobal[[#This Row],[Question]]&amp;"."&amp;Network_AgentGlobal[[#This Row],[Action Type]]&amp;Network_AgentGlobal[[#This Row],[Country]]</f>
        <v>GS2.GQ2.Response_RequiredIndia_FTF</v>
      </c>
      <c r="C18" s="353">
        <f ca="1">IFERROR(VLOOKUP(Network_AgentGlobal[[#This Row],[Question]],INDIRECT('Gen Info'!$D$4&amp;"[#All]"),13,FALSE),VLOOKUP(Network_AgentGlobal[[#This Row],[Question]],INDIRECT('Gen Info'!$D$4&amp;"_"&amp;'Gen Info'!$E$4&amp;"[#All]"),13,FALSE))</f>
        <v>0</v>
      </c>
      <c r="D18" s="353" cm="1">
        <f t="array" aca="1" ref="D18"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18" s="353" t="s">
        <v>2467</v>
      </c>
      <c r="F18" s="353"/>
      <c r="G18" s="353"/>
      <c r="H18" s="353"/>
      <c r="I18" s="353" cm="1">
        <f t="array" ref="I18">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18" s="353" t="s">
        <v>2482</v>
      </c>
      <c r="K18" s="353"/>
      <c r="L18" s="353"/>
      <c r="M18" s="353"/>
      <c r="N18" s="353"/>
      <c r="O18" s="353"/>
      <c r="P18" s="353"/>
      <c r="Q18" s="353" t="s">
        <v>2215</v>
      </c>
      <c r="R18" s="353" t="s">
        <v>652</v>
      </c>
      <c r="S18" s="353" t="s">
        <v>2196</v>
      </c>
      <c r="U18" t="str">
        <f>Master_Agent_HQsGlobal[[#This Row],[Question]]&amp;"."&amp;Master_Agent_HQsGlobal[[#This Row],[Action Type]]&amp;Master_Agent_HQsGlobal[[#This Row],[Country]]</f>
        <v>GS5.GQ1.Resolved_Onsite</v>
      </c>
      <c r="V18" t="str">
        <f ca="1">IFERROR(VLOOKUP(Master_Agent_HQsGlobal[[#This Row],[Question]],Master_Agent_HQs[#All],13,FALSE),VLOOKUP(Master_Agent_HQsGlobal[[#This Row],[Question]],INDIRECT("Master_Agent_HQs"&amp;'Gen Info'!$E$4&amp;"[#All]"),13,FALSE))</f>
        <v>Elaboración de Informes</v>
      </c>
      <c r="W18" t="str" cm="1">
        <f t="array" ref="W18">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tiene un proceso claramente comunicado para que sus operadores, Sub-agentes o la administración de Agentes informen inquietudes sobre actividades sospechosas al Oficial de Cumplimiento.</v>
      </c>
      <c r="X18" t="s">
        <v>2483</v>
      </c>
      <c r="AA18" s="143"/>
      <c r="AB18" t="str" cm="1">
        <f t="array" ref="AB18">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requiere acción. El agente ha sido debidamente entrenado en este tema durante la revisión.</v>
      </c>
      <c r="AC18" t="s">
        <v>2224</v>
      </c>
      <c r="AD18" t="s">
        <v>2484</v>
      </c>
      <c r="AE18" t="s">
        <v>2262</v>
      </c>
      <c r="AF18" t="s">
        <v>2485</v>
      </c>
      <c r="AG18" t="s">
        <v>2333</v>
      </c>
      <c r="AH18" t="s">
        <v>2486</v>
      </c>
      <c r="AI18" t="s">
        <v>2230</v>
      </c>
      <c r="AJ18" t="s">
        <v>2195</v>
      </c>
      <c r="AK18" t="s">
        <v>797</v>
      </c>
      <c r="AO18" t="str">
        <f>IndependentGlobal[[#This Row],[Question]]&amp;"."&amp;IndependentGlobal[[#This Row],[Action Type]]&amp;IndependentGlobal[[#This Row],[Country]]</f>
        <v>GS11.GQ6.Resolved_Onsite</v>
      </c>
      <c r="AP18" t="str">
        <f ca="1">IFERROR(VLOOKUP(IndependentGlobal[[#This Row],[Question]],Independent[#All],13,FALSE),VLOOKUP(IndependentGlobal[[#This Row],[Question]],INDIRECT("Independent_"&amp;'Gen Info'!$E$4&amp;"[#All]"),13,FALSE))</f>
        <v>Requisitos de KYC</v>
      </c>
      <c r="AQ18" t="str" cm="1">
        <f t="array" ref="AQ18">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Algunos operadores no saben que los consumidores (o sus representantes) deben estar físicamente presentes.</v>
      </c>
      <c r="AR18" t="s">
        <v>2487</v>
      </c>
      <c r="AV18" t="str" cm="1">
        <f t="array" ref="AV18">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Todos los operadores han sido debidamente entrenados en este tema durante la revisión.</v>
      </c>
      <c r="AW18" t="s">
        <v>2378</v>
      </c>
      <c r="AX18" t="s">
        <v>2488</v>
      </c>
      <c r="AY18" t="s">
        <v>2380</v>
      </c>
      <c r="AZ18" t="s">
        <v>2489</v>
      </c>
      <c r="BA18" t="s">
        <v>2382</v>
      </c>
      <c r="BB18" t="s">
        <v>2490</v>
      </c>
      <c r="BC18" t="s">
        <v>2384</v>
      </c>
      <c r="BD18" t="s">
        <v>2195</v>
      </c>
      <c r="BE18" t="s">
        <v>1276</v>
      </c>
      <c r="BH18" t="str">
        <f>Independent_MO_OnlyGlobal[[#This Row],[Question]]&amp;"."&amp;Independent_MO_OnlyGlobal[[#This Row],[Action Type]]&amp;Independent_MO_OnlyGlobal[[#This Row],[Country]]</f>
        <v>GS5.GQ7.Response_Required</v>
      </c>
      <c r="BI18">
        <f ca="1">IFERROR(VLOOKUP(Independent_MO_OnlyGlobal[[#This Row],[Question]],Independent_MO_Only[#All],13,FALSE),VLOOKUP(Independent_MO_OnlyGlobal[[#This Row],[Question]],INDIRECT("Independent_MO_Only"&amp;'Gen Info'!$E$4&amp;"[#All]"),13,FALSE))</f>
        <v>0</v>
      </c>
      <c r="BJ18" cm="1">
        <f t="array" ref="BJ18">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18" t="s">
        <v>2464</v>
      </c>
      <c r="BO18" cm="1">
        <f t="array" ref="BO18">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18" t="s">
        <v>2491</v>
      </c>
      <c r="BW18" t="s">
        <v>2215</v>
      </c>
      <c r="BX18" t="s">
        <v>858</v>
      </c>
      <c r="CB18" s="101" t="str">
        <f>Network_MO_OnlyGlobal[[#This Row],[Question]]&amp;"."&amp;Network_MO_OnlyGlobal[[#This Row],[Action Type]]&amp;Network_MO_OnlyGlobal[[#This Row],[Country]]</f>
        <v>GS4.GQ5.Response_Required</v>
      </c>
      <c r="CC18" s="101" t="e">
        <f ca="1">IFERROR(VLOOKUP(Network_MO_OnlyGlobal[[#This Row],[Question]],#REF!,13,FALSE),VLOOKUP(Network_MO_OnlyGlobal[[#This Row],[Question]],INDIRECT("Network_Agent_"&amp;'Gen Info'!$E$4&amp;"[#All]"),13,FALSE))</f>
        <v>#REF!</v>
      </c>
      <c r="CD18" s="101" cm="1">
        <f t="array" aca="1" ref="CD18"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18" s="101" t="s">
        <v>2479</v>
      </c>
      <c r="CF18" s="101"/>
      <c r="CG18" s="101"/>
      <c r="CH18" s="101"/>
      <c r="CI18" s="101" cm="1">
        <f t="array" ref="CI18">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18" s="353" t="s">
        <v>2463</v>
      </c>
      <c r="CK18" s="101"/>
      <c r="CL18" s="101"/>
      <c r="CM18" s="101"/>
      <c r="CN18" s="101"/>
      <c r="CO18" s="101"/>
      <c r="CP18" s="101"/>
      <c r="CQ18" s="101" t="s">
        <v>2215</v>
      </c>
      <c r="CR18" s="101" t="s">
        <v>761</v>
      </c>
      <c r="CS18" s="101"/>
      <c r="CV18" s="101" t="str">
        <f>HQ_MO_OnlyGlobal[[#This Row],[Question]]&amp;"."&amp;HQ_MO_OnlyGlobal[[#This Row],[Action Type]]&amp;HQ_MO_OnlyGlobal[[#This Row],[Country]]</f>
        <v>GS4.GQ3.Response_Required</v>
      </c>
      <c r="CW18" s="101" t="str">
        <f ca="1">IFERROR(VLOOKUP(HQ_MO_OnlyGlobal[[#This Row],[Question]],INDIRECT('Gen Info'!$D$4&amp;"[#All]"),13,FALSE),VLOOKUP(HQ_MO_OnlyGlobal[[#This Row],[Question]],INDIRECT('Gen Info'!$D$4&amp;"_"&amp;'Gen Info'!$E$4&amp;"[#All]"),13,FALSE))</f>
        <v>Conocimiento de Operador - Actividad Sospechosa y Fraude</v>
      </c>
      <c r="CX18" s="101" cm="1">
        <f t="array" aca="1" ref="CX18" ca="1">IFERROR(_xlfn.IFS(LocationInfo[Select Letter Language]="English",_xlfn.IFS(VLOOKUP(HQ_MO_OnlyGlobal[[#This Row],[Question]],CallTb[[#All],[iWatch '#]:[Finding Type]],6,FALSE)="","",VLOOKUP(HQ_MO_OnlyGlobal[[#This Row],[Question]],CallTb[[#All],[iWatch '#]:[Finding Type]],6,FALSE)="No_AML",HQ_MO_OnlyGlobal[[#This Row],[Finding English AML]],VLOOKUP(HQ_MO_OnlyGlobal[[#This Row],[Question]],CallTb[[#All],[iWatch '#]:[Finding Type]],6,FALSE)="No",HQ_MO_OnlyGlobal[[#This Row],[Finding English]]),LocationInfo[Select Letter Language]="Spanish",HQ_MO_OnlyGlobal[[#This Row],[Finding Spanish]],LocationInfo[Select Letter Language]="French",HQ_MO_OnlyGlobal[[#This Row],[Finding French]],LocationInfo[Select Letter Language]="Portuguese",HQ_MO_OnlyGlobal[[#This Row],[Finding Portuguese]]),"")</f>
        <v>0</v>
      </c>
      <c r="CY18" s="101" t="s">
        <v>2492</v>
      </c>
      <c r="CZ18" s="101"/>
      <c r="DA18" s="101"/>
      <c r="DB18" s="101"/>
      <c r="DC18" s="101" cm="1">
        <f t="array" ref="DC18">IFERROR(_xlfn.IFS(LocationInfo[Select Letter Language]="English",HQ_MO_OnlyGlobal[[#This Row],[Action Required English]],LocationInfo[Select Letter Language]="Spanish",HQ_MO_OnlyGlobal[[#This Row],[Action Required Spanish]],LocationInfo[Select Letter Language]="French",HQ_MO_OnlyGlobal[[#This Row],[Action Required French]],LocationInfo[Select Letter Language]="Portuguese",HQ_MO_OnlyGlobal[[#This Row],[Action Required Portuguese]]),"")</f>
        <v>0</v>
      </c>
      <c r="DD18" s="101" t="s">
        <v>2493</v>
      </c>
      <c r="DE18" s="101"/>
      <c r="DF18" s="101"/>
      <c r="DG18" s="101"/>
      <c r="DH18" s="101"/>
      <c r="DI18" s="101"/>
      <c r="DJ18" s="101"/>
      <c r="DK18" s="101" t="s">
        <v>2215</v>
      </c>
      <c r="DL18" s="101" t="s">
        <v>738</v>
      </c>
      <c r="DM18" s="101"/>
    </row>
    <row r="19" spans="2:117" hidden="1">
      <c r="B19" s="353" t="str">
        <f>Network_AgentGlobal[[#This Row],[Question]]&amp;"."&amp;Network_AgentGlobal[[#This Row],[Action Type]]&amp;Network_AgentGlobal[[#This Row],[Country]]</f>
        <v>GS2.GQ2.SuspensionIndia_FTF</v>
      </c>
      <c r="C19" s="353">
        <f ca="1">IFERROR(VLOOKUP(Network_AgentGlobal[[#This Row],[Question]],INDIRECT('Gen Info'!$D$4&amp;"[#All]"),13,FALSE),VLOOKUP(Network_AgentGlobal[[#This Row],[Question]],INDIRECT('Gen Info'!$D$4&amp;"_"&amp;'Gen Info'!$E$4&amp;"[#All]"),13,FALSE))</f>
        <v>0</v>
      </c>
      <c r="D19" s="353" cm="1">
        <f t="array" aca="1" ref="D19"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19" s="353" t="s">
        <v>2494</v>
      </c>
      <c r="F19" s="353"/>
      <c r="G19" s="353"/>
      <c r="H19" s="353"/>
      <c r="I19" s="353" cm="1">
        <f t="array" ref="I19">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19" s="353" t="s">
        <v>2221</v>
      </c>
      <c r="K19" s="353"/>
      <c r="L19" s="353"/>
      <c r="M19" s="353"/>
      <c r="N19" s="353"/>
      <c r="O19" s="353"/>
      <c r="P19" s="353"/>
      <c r="Q19" s="353" t="s">
        <v>2222</v>
      </c>
      <c r="R19" s="353" t="s">
        <v>652</v>
      </c>
      <c r="S19" s="353" t="s">
        <v>2196</v>
      </c>
      <c r="U19" t="str">
        <f>Master_Agent_HQsGlobal[[#This Row],[Question]]&amp;"."&amp;Master_Agent_HQsGlobal[[#This Row],[Action Type]]&amp;Master_Agent_HQsGlobal[[#This Row],[Country]]</f>
        <v>GS5.GQ2.Resolved_Onsite</v>
      </c>
      <c r="V19" t="str">
        <f ca="1">IFERROR(VLOOKUP(Master_Agent_HQsGlobal[[#This Row],[Question]],Master_Agent_HQs[#All],13,FALSE),VLOOKUP(Master_Agent_HQsGlobal[[#This Row],[Question]],INDIRECT("Master_Agent_HQs"&amp;'Gen Info'!$E$4&amp;"[#All]"),13,FALSE))</f>
        <v>Elaboración de Informes</v>
      </c>
      <c r="W19" t="e" cm="1">
        <f t="array" ref="W19">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#N/A</v>
      </c>
      <c r="X19" s="163" t="e" cm="1">
        <f t="array" ref="X19">_xlfn.IFS(INDEX(CallTb[#All],MATCH(Master_Agent_HQsGlobal[[#This Row],[Qnumber]],CallTb[[#All],[QNumber]],0),7)="No","The Agent is not aware of all applicable regulatory reporting requirements.",INDEX(CallTb[#All],MATCH(Master_Agent_HQsGlobal[[#This Row],[Qnumber]],CallTb[[#All],[QNumber]],0),7)="No_AML","The Agent is not complying with all applicable regulatory reporting requirements.")</f>
        <v>#N/A</v>
      </c>
      <c r="AA19" s="143"/>
      <c r="AB19" t="str" cm="1">
        <f t="array" ref="AB19">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requiere acción. Se capacitó al agente durante la revisión. Se brindó también material de capacitación.</v>
      </c>
      <c r="AC19" t="s">
        <v>2495</v>
      </c>
      <c r="AD19" s="163" t="e" cm="1">
        <f t="array" ref="AD19">_xlfn.IFS(INDEX(CallTb[#All],MATCH(Master_Agent_HQsGlobal[[#This Row],[Qnumber]],CallTb[[#All],[QNumber]],0),7)="No","El agente no conoce todos los requerimientos aplicables regulatorios de reporte.",INDEX(CallTb[#All],MATCH(Master_Agent_HQsGlobal[[#This Row],[Qnumber]],CallTb[[#All],[QNumber]],0),7)="No_AML","El agente no está cumpliendo con todos los requerimientos aplicables regulatorios de reporte.")</f>
        <v>#N/A</v>
      </c>
      <c r="AE19" t="s">
        <v>2496</v>
      </c>
      <c r="AF19" s="163" t="e" cm="1">
        <f t="array" ref="AF19">_xlfn.IFS(INDEX(CallTb[#All],MATCH(Master_Agent_HQsGlobal[[#This Row],[Qnumber]],CallTb[[#All],[QNumber]],0),7)="No","O Agente não está ciente de todos os requisitos de relatórios regulamentares aplicáveis.",INDEX(CallTb[#All],MATCH(Master_Agent_HQsGlobal[[#This Row],[Qnumber]],CallTb[[#All],[QNumber]],0),7)="No_AML","O Agente não está em conformidade com todos os requisitos de relatórios regulamentares aplicáveis.")</f>
        <v>#N/A</v>
      </c>
      <c r="AG19" t="s">
        <v>2497</v>
      </c>
      <c r="AH19" s="163" t="e" cm="1">
        <f t="array" ref="AH19">_xlfn.IFS(INDEX(CallTb[#All],MATCH(Master_Agent_HQsGlobal[[#This Row],[Qnumber]],CallTb[[#All],[QNumber]],0),7)="No","O Agente não está ciente de todos os requisitos de relatórios regulamentares aplicáveis.",INDEX(CallTb[#All],MATCH(Master_Agent_HQsGlobal[[#This Row],[Qnumber]],CallTb[[#All],[QNumber]],0),7)="No_AML","O Agente não está em conformidade com todos os requisitos de relatórios regulamentares aplicáveis.")</f>
        <v>#N/A</v>
      </c>
      <c r="AI19" t="s">
        <v>2498</v>
      </c>
      <c r="AJ19" t="s">
        <v>2195</v>
      </c>
      <c r="AK19" t="s">
        <v>807</v>
      </c>
      <c r="AO19" t="str">
        <f>IndependentGlobal[[#This Row],[Question]]&amp;"."&amp;IndependentGlobal[[#This Row],[Action Type]]&amp;IndependentGlobal[[#This Row],[Country]]</f>
        <v>GS11.GQ6.Response_Required</v>
      </c>
      <c r="AP19" t="str">
        <f ca="1">IFERROR(VLOOKUP(IndependentGlobal[[#This Row],[Question]],Independent[#All],13,FALSE),VLOOKUP(IndependentGlobal[[#This Row],[Question]],INDIRECT("Independent_"&amp;'Gen Info'!$E$4&amp;"[#All]"),13,FALSE))</f>
        <v>Requisitos de KYC</v>
      </c>
      <c r="AQ19" t="str" cm="1">
        <f t="array" ref="AQ19">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Algunos operadores no saben que los consumidores (o sus representantes) deben estar físicamente presentes.</v>
      </c>
      <c r="AR19" t="s">
        <v>2487</v>
      </c>
      <c r="AV19" t="str" cm="1">
        <f t="array" ref="AV19">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confirmación donde se evidencie que todos los empleados han sido entrenados en este tema. Asegúrese que la confirmación incluya el tema cubierto, el nombre de las personas que asistieron a la sesión y la fecha de la capacitación.</v>
      </c>
      <c r="AW19" t="s">
        <v>2400</v>
      </c>
      <c r="AX19" t="s">
        <v>2488</v>
      </c>
      <c r="AY19" t="s">
        <v>2401</v>
      </c>
      <c r="AZ19" t="s">
        <v>2489</v>
      </c>
      <c r="BA19" t="s">
        <v>2402</v>
      </c>
      <c r="BB19" t="s">
        <v>2490</v>
      </c>
      <c r="BC19" t="s">
        <v>2403</v>
      </c>
      <c r="BD19" t="s">
        <v>2215</v>
      </c>
      <c r="BE19" t="s">
        <v>1276</v>
      </c>
      <c r="BH19" t="str">
        <f>Independent_MO_OnlyGlobal[[#This Row],[Question]]&amp;"."&amp;Independent_MO_OnlyGlobal[[#This Row],[Action Type]]&amp;Independent_MO_OnlyGlobal[[#This Row],[Country]]</f>
        <v>GS6.GQ1.Response_Required</v>
      </c>
      <c r="BI19">
        <f ca="1">IFERROR(VLOOKUP(Independent_MO_OnlyGlobal[[#This Row],[Question]],Independent_MO_Only[#All],13,FALSE),VLOOKUP(Independent_MO_OnlyGlobal[[#This Row],[Question]],INDIRECT("Independent_MO_Only"&amp;'Gen Info'!$E$4&amp;"[#All]"),13,FALSE))</f>
        <v>0</v>
      </c>
      <c r="BJ19" cm="1">
        <f t="array" ref="BJ19">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19" t="s">
        <v>2499</v>
      </c>
      <c r="BO19" cm="1">
        <f t="array" ref="BO19">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19" t="s">
        <v>2500</v>
      </c>
      <c r="BW19" t="s">
        <v>2215</v>
      </c>
      <c r="BX19" t="s">
        <v>881</v>
      </c>
      <c r="CB19" s="101" t="str">
        <f>Network_MO_OnlyGlobal[[#This Row],[Question]]&amp;"."&amp;Network_MO_OnlyGlobal[[#This Row],[Action Type]]&amp;Network_MO_OnlyGlobal[[#This Row],[Country]]</f>
        <v>GS5.GQ1.Resolved_Onsite</v>
      </c>
      <c r="CC19" s="101" t="e">
        <f ca="1">IFERROR(VLOOKUP(Network_MO_OnlyGlobal[[#This Row],[Question]],#REF!,13,FALSE),VLOOKUP(Network_MO_OnlyGlobal[[#This Row],[Question]],INDIRECT("Network_Agent_"&amp;'Gen Info'!$E$4&amp;"[#All]"),13,FALSE))</f>
        <v>#REF!</v>
      </c>
      <c r="CD19" s="101" cm="1">
        <f t="array" aca="1" ref="CD19"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19" s="101" t="s">
        <v>2377</v>
      </c>
      <c r="CF19" s="101"/>
      <c r="CG19" s="101"/>
      <c r="CH19" s="101"/>
      <c r="CI19" s="101" cm="1">
        <f t="array" ref="CI19">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19" s="101" t="s">
        <v>2224</v>
      </c>
      <c r="CK19" s="101"/>
      <c r="CL19" s="101"/>
      <c r="CM19" s="101"/>
      <c r="CN19" s="101"/>
      <c r="CO19" s="101"/>
      <c r="CP19" s="101"/>
      <c r="CQ19" s="101" t="s">
        <v>2195</v>
      </c>
      <c r="CR19" s="101" t="s">
        <v>797</v>
      </c>
      <c r="CS19" s="353"/>
      <c r="CV19" s="101" t="str">
        <f>HQ_MO_OnlyGlobal[[#This Row],[Question]]&amp;"."&amp;HQ_MO_OnlyGlobal[[#This Row],[Action Type]]&amp;HQ_MO_OnlyGlobal[[#This Row],[Country]]</f>
        <v>GS4.GQ5.Response_Required</v>
      </c>
      <c r="CW19" s="101" t="str">
        <f ca="1">IFERROR(VLOOKUP(HQ_MO_OnlyGlobal[[#This Row],[Question]],INDIRECT('Gen Info'!$D$4&amp;"[#All]"),13,FALSE),VLOOKUP(HQ_MO_OnlyGlobal[[#This Row],[Question]],INDIRECT('Gen Info'!$D$4&amp;"_"&amp;'Gen Info'!$E$4&amp;"[#All]"),13,FALSE))</f>
        <v>Conocimiento de Operador - Actividad Sospechosa y Fraude</v>
      </c>
      <c r="CX19" s="101" cm="1">
        <f t="array" aca="1" ref="CX19" ca="1">IFERROR(_xlfn.IFS(LocationInfo[Select Letter Language]="English",_xlfn.IFS(VLOOKUP(HQ_MO_OnlyGlobal[[#This Row],[Question]],CallTb[[#All],[iWatch '#]:[Finding Type]],6,FALSE)="","",VLOOKUP(HQ_MO_OnlyGlobal[[#This Row],[Question]],CallTb[[#All],[iWatch '#]:[Finding Type]],6,FALSE)="No_AML",HQ_MO_OnlyGlobal[[#This Row],[Finding English AML]],VLOOKUP(HQ_MO_OnlyGlobal[[#This Row],[Question]],CallTb[[#All],[iWatch '#]:[Finding Type]],6,FALSE)="No",HQ_MO_OnlyGlobal[[#This Row],[Finding English]]),LocationInfo[Select Letter Language]="Spanish",HQ_MO_OnlyGlobal[[#This Row],[Finding Spanish]],LocationInfo[Select Letter Language]="French",HQ_MO_OnlyGlobal[[#This Row],[Finding French]],LocationInfo[Select Letter Language]="Portuguese",HQ_MO_OnlyGlobal[[#This Row],[Finding Portuguese]]),"")</f>
        <v>0</v>
      </c>
      <c r="CY19" s="101" t="s">
        <v>2501</v>
      </c>
      <c r="CZ19" s="101"/>
      <c r="DA19" s="101"/>
      <c r="DB19" s="101"/>
      <c r="DC19" s="101" cm="1">
        <f t="array" ref="DC19">IFERROR(_xlfn.IFS(LocationInfo[Select Letter Language]="English",HQ_MO_OnlyGlobal[[#This Row],[Action Required English]],LocationInfo[Select Letter Language]="Spanish",HQ_MO_OnlyGlobal[[#This Row],[Action Required Spanish]],LocationInfo[Select Letter Language]="French",HQ_MO_OnlyGlobal[[#This Row],[Action Required French]],LocationInfo[Select Letter Language]="Portuguese",HQ_MO_OnlyGlobal[[#This Row],[Action Required Portuguese]]),"")</f>
        <v>0</v>
      </c>
      <c r="DD19" s="101" t="s">
        <v>2502</v>
      </c>
      <c r="DE19" s="101"/>
      <c r="DF19" s="101"/>
      <c r="DG19" s="101"/>
      <c r="DH19" s="101"/>
      <c r="DI19" s="101"/>
      <c r="DJ19" s="101"/>
      <c r="DK19" s="101" t="s">
        <v>2215</v>
      </c>
      <c r="DL19" s="101" t="s">
        <v>761</v>
      </c>
      <c r="DM19" s="101"/>
    </row>
    <row r="20" spans="2:117" hidden="1">
      <c r="B20" s="353" t="str">
        <f>Network_AgentGlobal[[#This Row],[Question]]&amp;"."&amp;Network_AgentGlobal[[#This Row],[Action Type]]&amp;Network_AgentGlobal[[#This Row],[Country]]</f>
        <v>GS2.GQ3.Resolved_OnsiteIndia_FTF</v>
      </c>
      <c r="C20" s="353" t="e">
        <f ca="1">IFERROR(VLOOKUP(Network_AgentGlobal[[#This Row],[Question]],INDIRECT('Gen Info'!$D$4&amp;"[#All]"),13,FALSE),VLOOKUP(Network_AgentGlobal[[#This Row],[Question]],INDIRECT('Gen Info'!$D$4&amp;"_"&amp;'Gen Info'!$E$4&amp;"[#All]"),13,FALSE))</f>
        <v>#REF!</v>
      </c>
      <c r="D20" s="353" cm="1">
        <f t="array" aca="1" ref="D20"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20" s="353" t="s">
        <v>2503</v>
      </c>
      <c r="F20" s="353"/>
      <c r="G20" s="353"/>
      <c r="H20" s="353"/>
      <c r="I20" s="353" cm="1">
        <f t="array" ref="I20">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20" s="353" t="s">
        <v>2504</v>
      </c>
      <c r="K20" s="353"/>
      <c r="L20" s="353"/>
      <c r="M20" s="353"/>
      <c r="N20" s="353"/>
      <c r="O20" s="353"/>
      <c r="P20" s="353"/>
      <c r="Q20" s="353" t="s">
        <v>2195</v>
      </c>
      <c r="R20" s="353" t="s">
        <v>1897</v>
      </c>
      <c r="S20" s="353" t="s">
        <v>2196</v>
      </c>
      <c r="U20" t="str">
        <f>Master_Agent_HQsGlobal[[#This Row],[Question]]&amp;"."&amp;Master_Agent_HQsGlobal[[#This Row],[Action Type]]&amp;Master_Agent_HQsGlobal[[#This Row],[Country]]</f>
        <v>GS6.GQ1.Resolved_Onsite</v>
      </c>
      <c r="V20" t="str">
        <f ca="1">IFERROR(VLOOKUP(Master_Agent_HQsGlobal[[#This Row],[Question]],Master_Agent_HQs[#All],13,FALSE),VLOOKUP(Master_Agent_HQsGlobal[[#This Row],[Question]],INDIRECT("Master_Agent_HQs"&amp;'Gen Info'!$E$4&amp;"[#All]"),13,FALSE))</f>
        <v>Programa de Capacitación</v>
      </c>
      <c r="W20" t="str" cm="1">
        <f t="array" ref="W20">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tiene un programa de capacitación debidamente documentado.</v>
      </c>
      <c r="X20" t="s">
        <v>2505</v>
      </c>
      <c r="AA20" s="143"/>
      <c r="AB20" t="str" cm="1">
        <f t="array" ref="AB20">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requiere acción. Se le ha brindado material de capacitación al agente durante la revisión.</v>
      </c>
      <c r="AC20" t="s">
        <v>2506</v>
      </c>
      <c r="AD20" t="s">
        <v>2507</v>
      </c>
      <c r="AE20" t="s">
        <v>2508</v>
      </c>
      <c r="AF20" t="s">
        <v>2509</v>
      </c>
      <c r="AG20" t="s">
        <v>2510</v>
      </c>
      <c r="AH20" t="s">
        <v>2511</v>
      </c>
      <c r="AI20" t="s">
        <v>2512</v>
      </c>
      <c r="AJ20" t="s">
        <v>2195</v>
      </c>
      <c r="AK20" t="s">
        <v>881</v>
      </c>
      <c r="AO20" t="str">
        <f>IndependentGlobal[[#This Row],[Question]]&amp;"."&amp;IndependentGlobal[[#This Row],[Action Type]]&amp;IndependentGlobal[[#This Row],[Country]]</f>
        <v>GS11.GQ6.Suspension</v>
      </c>
      <c r="AP20" t="str">
        <f ca="1">IFERROR(VLOOKUP(IndependentGlobal[[#This Row],[Question]],Independent[#All],13,FALSE),VLOOKUP(IndependentGlobal[[#This Row],[Question]],INDIRECT("Independent_"&amp;'Gen Info'!$E$4&amp;"[#All]"),13,FALSE))</f>
        <v>Requisitos de KYC</v>
      </c>
      <c r="AQ20" t="str" cm="1">
        <f t="array" ref="AQ20">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Algunos operadores procesan deliberadamente transacciones sabiendo que los consumidores deben estar físicamente presentes para evadir controles de cumplimiento.</v>
      </c>
      <c r="AR20" t="s">
        <v>2513</v>
      </c>
      <c r="AV20" t="str" cm="1">
        <f t="array" ref="AV20">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confirmación donde se evidencie que todos los empleados han sido entrenados en este tema (Suspensión). Asegúrese que la confirmación incluya el tema cubierto, el nombre de las personas que asistieron a la sesión y la fecha de la capacitación.</v>
      </c>
      <c r="AW20" t="s">
        <v>2514</v>
      </c>
      <c r="AX20" t="s">
        <v>2515</v>
      </c>
      <c r="AY20" t="s">
        <v>2516</v>
      </c>
      <c r="AZ20" t="s">
        <v>2517</v>
      </c>
      <c r="BA20" t="s">
        <v>2518</v>
      </c>
      <c r="BB20" t="s">
        <v>2519</v>
      </c>
      <c r="BC20" t="s">
        <v>2520</v>
      </c>
      <c r="BD20" t="s">
        <v>2222</v>
      </c>
      <c r="BE20" t="s">
        <v>1276</v>
      </c>
      <c r="BH20" t="str">
        <f>Independent_MO_OnlyGlobal[[#This Row],[Question]]&amp;"."&amp;Independent_MO_OnlyGlobal[[#This Row],[Action Type]]&amp;Independent_MO_OnlyGlobal[[#This Row],[Country]]</f>
        <v>GS6.GQ2.Response_Required</v>
      </c>
      <c r="BI20">
        <f ca="1">IFERROR(VLOOKUP(Independent_MO_OnlyGlobal[[#This Row],[Question]],Independent_MO_Only[#All],13,FALSE),VLOOKUP(Independent_MO_OnlyGlobal[[#This Row],[Question]],INDIRECT("Independent_MO_Only"&amp;'Gen Info'!$E$4&amp;"[#All]"),13,FALSE))</f>
        <v>0</v>
      </c>
      <c r="BJ20" cm="1">
        <f t="array" ref="BJ20">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20" t="s">
        <v>2521</v>
      </c>
      <c r="BO20" cm="1">
        <f t="array" ref="BO20">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20" t="s">
        <v>2522</v>
      </c>
      <c r="BW20" t="s">
        <v>2215</v>
      </c>
      <c r="BX20" t="s">
        <v>893</v>
      </c>
      <c r="CB20" s="101" t="str">
        <f>Network_MO_OnlyGlobal[[#This Row],[Question]]&amp;"."&amp;Network_MO_OnlyGlobal[[#This Row],[Action Type]]&amp;Network_MO_OnlyGlobal[[#This Row],[Country]]</f>
        <v>GS5.GQ1.Response_Required</v>
      </c>
      <c r="CC20" s="101" t="e">
        <f ca="1">IFERROR(VLOOKUP(Network_MO_OnlyGlobal[[#This Row],[Question]],#REF!,13,FALSE),VLOOKUP(Network_MO_OnlyGlobal[[#This Row],[Question]],INDIRECT("Network_Agent_"&amp;'Gen Info'!$E$4&amp;"[#All]"),13,FALSE))</f>
        <v>#REF!</v>
      </c>
      <c r="CD20" s="101" cm="1">
        <f t="array" aca="1" ref="CD20"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20" s="101" t="s">
        <v>2377</v>
      </c>
      <c r="CF20" s="101"/>
      <c r="CG20" s="101"/>
      <c r="CH20" s="101"/>
      <c r="CI20" s="101" cm="1">
        <f t="array" ref="CI20">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20" s="353" t="s">
        <v>2463</v>
      </c>
      <c r="CK20" s="101"/>
      <c r="CL20" s="101"/>
      <c r="CM20" s="101"/>
      <c r="CN20" s="101"/>
      <c r="CO20" s="101"/>
      <c r="CP20" s="101"/>
      <c r="CQ20" s="101" t="s">
        <v>2215</v>
      </c>
      <c r="CR20" s="101" t="s">
        <v>797</v>
      </c>
      <c r="CS20" s="101"/>
      <c r="CV20" s="101" t="str">
        <f>HQ_MO_OnlyGlobal[[#This Row],[Question]]&amp;"."&amp;HQ_MO_OnlyGlobal[[#This Row],[Action Type]]&amp;HQ_MO_OnlyGlobal[[#This Row],[Country]]</f>
        <v>GS4.GQ5.Resolved_Onsite</v>
      </c>
      <c r="CW20" s="101" t="str">
        <f ca="1">IFERROR(VLOOKUP(HQ_MO_OnlyGlobal[[#This Row],[Question]],INDIRECT('Gen Info'!$D$4&amp;"[#All]"),13,FALSE),VLOOKUP(HQ_MO_OnlyGlobal[[#This Row],[Question]],INDIRECT('Gen Info'!$D$4&amp;"_"&amp;'Gen Info'!$E$4&amp;"[#All]"),13,FALSE))</f>
        <v>Conocimiento de Operador - Actividad Sospechosa y Fraude</v>
      </c>
      <c r="CX20" s="101" cm="1">
        <f t="array" aca="1" ref="CX20" ca="1">IFERROR(_xlfn.IFS(LocationInfo[Select Letter Language]="English",_xlfn.IFS(VLOOKUP(HQ_MO_OnlyGlobal[[#This Row],[Question]],CallTb[[#All],[iWatch '#]:[Finding Type]],6,FALSE)="","",VLOOKUP(HQ_MO_OnlyGlobal[[#This Row],[Question]],CallTb[[#All],[iWatch '#]:[Finding Type]],6,FALSE)="No_AML",HQ_MO_OnlyGlobal[[#This Row],[Finding English AML]],VLOOKUP(HQ_MO_OnlyGlobal[[#This Row],[Question]],CallTb[[#All],[iWatch '#]:[Finding Type]],6,FALSE)="No",HQ_MO_OnlyGlobal[[#This Row],[Finding English]]),LocationInfo[Select Letter Language]="Spanish",HQ_MO_OnlyGlobal[[#This Row],[Finding Spanish]],LocationInfo[Select Letter Language]="French",HQ_MO_OnlyGlobal[[#This Row],[Finding French]],LocationInfo[Select Letter Language]="Portuguese",HQ_MO_OnlyGlobal[[#This Row],[Finding Portuguese]]),"")</f>
        <v>0</v>
      </c>
      <c r="CY20" s="101" t="s">
        <v>2501</v>
      </c>
      <c r="CZ20" s="101"/>
      <c r="DA20" s="101"/>
      <c r="DB20" s="101"/>
      <c r="DC20" s="101" cm="1">
        <f t="array" ref="DC20">IFERROR(_xlfn.IFS(LocationInfo[Select Letter Language]="English",HQ_MO_OnlyGlobal[[#This Row],[Action Required English]],LocationInfo[Select Letter Language]="Spanish",HQ_MO_OnlyGlobal[[#This Row],[Action Required Spanish]],LocationInfo[Select Letter Language]="French",HQ_MO_OnlyGlobal[[#This Row],[Action Required French]],LocationInfo[Select Letter Language]="Portuguese",HQ_MO_OnlyGlobal[[#This Row],[Action Required Portuguese]]),"")</f>
        <v>0</v>
      </c>
      <c r="DD20" s="101" t="s">
        <v>2272</v>
      </c>
      <c r="DE20" s="101"/>
      <c r="DF20" s="101"/>
      <c r="DG20" s="101"/>
      <c r="DH20" s="101"/>
      <c r="DI20" s="101"/>
      <c r="DJ20" s="101"/>
      <c r="DK20" s="101" t="s">
        <v>2195</v>
      </c>
      <c r="DL20" s="101" t="s">
        <v>761</v>
      </c>
      <c r="DM20" s="101"/>
    </row>
    <row r="21" spans="2:117" hidden="1">
      <c r="B21" s="353" t="str">
        <f>Network_AgentGlobal[[#This Row],[Question]]&amp;"."&amp;Network_AgentGlobal[[#This Row],[Action Type]]&amp;Network_AgentGlobal[[#This Row],[Country]]</f>
        <v>GS2.GQ3.Response_RequiredIndia_FTF</v>
      </c>
      <c r="C21" s="353" t="e">
        <f ca="1">IFERROR(VLOOKUP(Network_AgentGlobal[[#This Row],[Question]],INDIRECT('Gen Info'!$D$4&amp;"[#All]"),13,FALSE),VLOOKUP(Network_AgentGlobal[[#This Row],[Question]],INDIRECT('Gen Info'!$D$4&amp;"_"&amp;'Gen Info'!$E$4&amp;"[#All]"),13,FALSE))</f>
        <v>#REF!</v>
      </c>
      <c r="D21" s="353" cm="1">
        <f t="array" aca="1" ref="D21"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21" s="353" t="s">
        <v>2503</v>
      </c>
      <c r="F21" s="353"/>
      <c r="G21" s="353"/>
      <c r="H21" s="353"/>
      <c r="I21" s="353" cm="1">
        <f t="array" ref="I21">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21" s="353" t="s">
        <v>2482</v>
      </c>
      <c r="K21" s="353"/>
      <c r="L21" s="353"/>
      <c r="M21" s="353"/>
      <c r="N21" s="353"/>
      <c r="O21" s="353"/>
      <c r="P21" s="353"/>
      <c r="Q21" s="353" t="s">
        <v>2215</v>
      </c>
      <c r="R21" s="353" t="s">
        <v>1897</v>
      </c>
      <c r="S21" s="353" t="s">
        <v>2196</v>
      </c>
      <c r="U21" t="str">
        <f>Master_Agent_HQsGlobal[[#This Row],[Question]]&amp;"."&amp;Master_Agent_HQsGlobal[[#This Row],[Action Type]]&amp;Master_Agent_HQsGlobal[[#This Row],[Country]]</f>
        <v>GS6.GQ2.Resolved_Onsite</v>
      </c>
      <c r="V21" t="str">
        <f ca="1">IFERROR(VLOOKUP(Master_Agent_HQsGlobal[[#This Row],[Question]],Master_Agent_HQs[#All],13,FALSE),VLOOKUP(Master_Agent_HQsGlobal[[#This Row],[Question]],INDIRECT("Master_Agent_HQs"&amp;'Gen Info'!$E$4&amp;"[#All]"),13,FALSE))</f>
        <v>Programa de Capacitación</v>
      </c>
      <c r="W21" t="e" cm="1">
        <f t="array" ref="W21">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#N/A</v>
      </c>
      <c r="X21" s="164" t="e" cm="1">
        <f t="array" ref="X21">_xlfn.IFS(INDEX(CallTb[#All],MATCH(Master_Agent_HQsGlobal[[#This Row],[Qnumber]],CallTb[[#All],[QNumber]],0),7)="No_AML/CFT","Agent training material does not include AML/CFT topics.",INDEX(CallTb[#All],MATCH(Master_Agent_HQsGlobal[[#This Row],[Qnumber]],CallTb[[#All],[QNumber]],0),7)="No_AntiFraud","Agent training material does not include guidance on detecting fraud and handling of fraud-induced money transfers.",INDEX(CallTb[#All],MATCH(Master_Agent_HQsGlobal[[#This Row],[Qnumber]],CallTb[[#All],[QNumber]],0),7)="No_AML/CFT/AntiFraud","Agent training material does not include AML/CFT topics and guidance on detecting fraud and handling of fraud-induced money transfers.")</f>
        <v>#N/A</v>
      </c>
      <c r="AA21" s="143"/>
      <c r="AB21" t="str" cm="1">
        <f t="array" ref="AB21">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requiere acción. El Agente brindó la evidencia correspondiente durante la revisión.</v>
      </c>
      <c r="AC21" t="s">
        <v>2523</v>
      </c>
      <c r="AD21" s="164" t="e" cm="1">
        <f t="array" ref="AD21">_xlfn.IFS(INDEX(CallTb[#All],MATCH(Master_Agent_HQsGlobal[[#This Row],[Qnumber]],CallTb[[#All],[QNumber]],0),7)="No_AML/CFT","El material de capacitación del agente no contiene los temas de AML/CFT.",INDEX(CallTb[#All],MATCH(Master_Agent_HQsGlobal[[#This Row],[Qnumber]],CallTb[[#All],[QNumber]],0),7)="No_AntiFraud","El material de capacitación del agente no incluye guías en cuanto en cuanto a la detección de fraude o transferencias fraudulentas.",INDEX(CallTb[#All],MATCH(Master_Agent_HQsGlobal[[#This Row],[Qnumber]],CallTb[[#All],[QNumber]],0),7)="No_AML/CFT/AntiFraud","El material de capacitación del agente no contiene los temas de AML/CFT ni incluye guías en cuanto a la detección de fraude o transferencias fraudulentas.")</f>
        <v>#N/A</v>
      </c>
      <c r="AE21" t="s">
        <v>2524</v>
      </c>
      <c r="AF21" s="164" t="e" cm="1">
        <f t="array" ref="AF21">_xlfn.IFS(INDEX(CallTb[#All],MATCH(Master_Agent_HQsGlobal[[#This Row],[Qnumber]],CallTb[[#All],[QNumber]],0),7)="No_AML/CFT","Le matériel de formation de l'Agent ne contient pas les sujets relatifs à la LAB/CFT.",INDEX(CallTb[#All],MATCH(Master_Agent_HQsGlobal[[#This Row],[Qnumber]],CallTb[[#All],[QNumber]],0),7)="No_AntiFraud","Le matériel de formation de l'Agent ne contient pas une guide pour la détection de la fraude et le traitement des transferts d'argent frauduleux.",INDEX(CallTb[#All],MATCH(Master_Agent_HQsGlobal[[#This Row],[Qnumber]],CallTb[[#All],[QNumber]],0),7)="No_AML/CFT/AntiFraud","Le matériel de formation de l'Agent ne contient pas les sujets relatifs à la LAB/CFT et une guide pour le traitement des transferts d'argent frauduleux.")</f>
        <v>#N/A</v>
      </c>
      <c r="AG21" t="s">
        <v>2525</v>
      </c>
      <c r="AH21" s="164" t="e" cm="1">
        <f t="array" ref="AH21">_xlfn.IFS(INDEX(CallTb[#All],MATCH(Master_Agent_HQsGlobal[[#This Row],[Qnumber]],CallTb[[#All],[QNumber]],0),7)="No_AML/CFT","O material de treinamento de agentes não inclui tópicos PLD (Prevenção à Lavagem de Dinheiro), CFT (Combate ao Financiamento do Terrorismo).",INDEX(CallTb[#All],MATCH(Master_Agent_HQsGlobal[[#This Row],[Qnumber]],CallTb[[#All],[QNumber]],0),7)="No_AntiFraud","O material de treinamento de agentes não inclui orientação sobre detecção de fraude e gestão de transferências de dinheiro induzidas por fraude.",INDEX(CallTb[#All],MATCH(Master_Agent_HQsGlobal[[#This Row],[Qnumber]],CallTb[[#All],[QNumber]],0),7)="No_AML/CFT/AntiFraud","O material de treinamento de agentes não inclui tópicos PLD (Prevenção à Lavagem de Dinheiro), CFT (Combate ao Financiamento do Terrorismo) e orientação sobre detecção de fraude e gestão de transferências de dinheiro induzidas por fraude.")</f>
        <v>#N/A</v>
      </c>
      <c r="AI21" t="s">
        <v>2526</v>
      </c>
      <c r="AJ21" t="s">
        <v>2195</v>
      </c>
      <c r="AK21" t="s">
        <v>893</v>
      </c>
      <c r="AO21" t="str">
        <f>IndependentGlobal[[#This Row],[Question]]&amp;"."&amp;IndependentGlobal[[#This Row],[Action Type]]&amp;IndependentGlobal[[#This Row],[Country]]</f>
        <v>GS11.GQ7.Resolved_Onsite</v>
      </c>
      <c r="AP21" t="str">
        <f ca="1">IFERROR(VLOOKUP(IndependentGlobal[[#This Row],[Question]],Independent[#All],13,FALSE),VLOOKUP(IndependentGlobal[[#This Row],[Question]],INDIRECT("Independent_"&amp;'Gen Info'!$E$4&amp;"[#All]"),13,FALSE))</f>
        <v>Requisitos de KYC</v>
      </c>
      <c r="AQ21" t="str" cm="1">
        <f t="array" ref="AQ21">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Los operadores no se aseguran que todos los recibos/formularios estén debidamente completados y firmados.</v>
      </c>
      <c r="AR21" t="s">
        <v>2527</v>
      </c>
      <c r="AV21" t="str" cm="1">
        <f t="array" ref="AV21">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Todos los operadores han sido debidamente entrenados en este tema durante la revisión. El agente ha brindado por escrito un compromiso detallando el proceso implementado para asegurarse que todos los formularios/recibos estén debidamente completados y firmados por los operadores y el cliente.</v>
      </c>
      <c r="AW21" t="s">
        <v>2528</v>
      </c>
      <c r="AX21" t="s">
        <v>2529</v>
      </c>
      <c r="AY21" t="s">
        <v>2530</v>
      </c>
      <c r="AZ21" t="s">
        <v>2531</v>
      </c>
      <c r="BA21" t="s">
        <v>2532</v>
      </c>
      <c r="BB21" t="s">
        <v>2533</v>
      </c>
      <c r="BC21" t="s">
        <v>2534</v>
      </c>
      <c r="BD21" t="s">
        <v>2195</v>
      </c>
      <c r="BE21" t="s">
        <v>1281</v>
      </c>
      <c r="BH21" t="str">
        <f>Independent_MO_OnlyGlobal[[#This Row],[Question]]&amp;"."&amp;Independent_MO_OnlyGlobal[[#This Row],[Action Type]]&amp;Independent_MO_OnlyGlobal[[#This Row],[Country]]</f>
        <v>GS6.GQ3.Response_Required</v>
      </c>
      <c r="BI21">
        <f ca="1">IFERROR(VLOOKUP(Independent_MO_OnlyGlobal[[#This Row],[Question]],Independent_MO_Only[#All],13,FALSE),VLOOKUP(Independent_MO_OnlyGlobal[[#This Row],[Question]],INDIRECT("Independent_MO_Only"&amp;'Gen Info'!$E$4&amp;"[#All]"),13,FALSE))</f>
        <v>0</v>
      </c>
      <c r="BJ21" cm="1">
        <f t="array" ref="BJ21">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21" t="s">
        <v>2535</v>
      </c>
      <c r="BO21" cm="1">
        <f t="array" ref="BO21">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21" t="s">
        <v>2536</v>
      </c>
      <c r="BW21" t="s">
        <v>2215</v>
      </c>
      <c r="BX21" t="s">
        <v>1696</v>
      </c>
      <c r="CB21" s="101" t="str">
        <f>Network_MO_OnlyGlobal[[#This Row],[Question]]&amp;"."&amp;Network_MO_OnlyGlobal[[#This Row],[Action Type]]&amp;Network_MO_OnlyGlobal[[#This Row],[Country]]</f>
        <v>GS5.GQ2.Resolved_Onsite</v>
      </c>
      <c r="CC21" s="101" t="e">
        <f ca="1">IFERROR(VLOOKUP(Network_MO_OnlyGlobal[[#This Row],[Question]],#REF!,13,FALSE),VLOOKUP(Network_MO_OnlyGlobal[[#This Row],[Question]],INDIRECT("Network_Agent_"&amp;'Gen Info'!$E$4&amp;"[#All]"),13,FALSE))</f>
        <v>#REF!</v>
      </c>
      <c r="CD21" s="101" cm="1">
        <f t="array" aca="1" ref="CD21"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21" s="101" t="s">
        <v>2423</v>
      </c>
      <c r="CF21" s="101"/>
      <c r="CG21" s="101"/>
      <c r="CH21" s="101"/>
      <c r="CI21" s="101" cm="1">
        <f t="array" ref="CI21">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21" s="353" t="s">
        <v>2362</v>
      </c>
      <c r="CK21" s="101"/>
      <c r="CL21" s="101"/>
      <c r="CM21" s="101"/>
      <c r="CN21" s="101"/>
      <c r="CO21" s="101"/>
      <c r="CP21" s="101"/>
      <c r="CQ21" s="101" t="s">
        <v>2195</v>
      </c>
      <c r="CR21" s="101" t="s">
        <v>807</v>
      </c>
      <c r="CS21" s="353"/>
      <c r="CV21" s="101" t="str">
        <f>HQ_MO_OnlyGlobal[[#This Row],[Question]]&amp;"."&amp;HQ_MO_OnlyGlobal[[#This Row],[Action Type]]&amp;HQ_MO_OnlyGlobal[[#This Row],[Country]]</f>
        <v>GS4.GQ6.Response_Required</v>
      </c>
      <c r="CW21" s="101" t="str">
        <f ca="1">IFERROR(VLOOKUP(HQ_MO_OnlyGlobal[[#This Row],[Question]],INDIRECT('Gen Info'!$D$4&amp;"[#All]"),13,FALSE),VLOOKUP(HQ_MO_OnlyGlobal[[#This Row],[Question]],INDIRECT('Gen Info'!$D$4&amp;"_"&amp;'Gen Info'!$E$4&amp;"[#All]"),13,FALSE))</f>
        <v>Conocimiento de Operador - Actividad Sospechosa y Fraude</v>
      </c>
      <c r="CX21" s="101" cm="1">
        <f t="array" aca="1" ref="CX21" ca="1">IFERROR(_xlfn.IFS(LocationInfo[Select Letter Language]="English",_xlfn.IFS(VLOOKUP(HQ_MO_OnlyGlobal[[#This Row],[Question]],CallTb[[#All],[iWatch '#]:[Finding Type]],6,FALSE)="","",VLOOKUP(HQ_MO_OnlyGlobal[[#This Row],[Question]],CallTb[[#All],[iWatch '#]:[Finding Type]],6,FALSE)="No_AML",HQ_MO_OnlyGlobal[[#This Row],[Finding English AML]],VLOOKUP(HQ_MO_OnlyGlobal[[#This Row],[Question]],CallTb[[#All],[iWatch '#]:[Finding Type]],6,FALSE)="No",HQ_MO_OnlyGlobal[[#This Row],[Finding English]]),LocationInfo[Select Letter Language]="Spanish",HQ_MO_OnlyGlobal[[#This Row],[Finding Spanish]],LocationInfo[Select Letter Language]="French",HQ_MO_OnlyGlobal[[#This Row],[Finding French]],LocationInfo[Select Letter Language]="Portuguese",HQ_MO_OnlyGlobal[[#This Row],[Finding Portuguese]]),"")</f>
        <v>0</v>
      </c>
      <c r="CY21" s="101" t="s">
        <v>2537</v>
      </c>
      <c r="CZ21" s="101"/>
      <c r="DA21" s="101"/>
      <c r="DB21" s="101"/>
      <c r="DC21" s="101" cm="1">
        <f t="array" ref="DC21">IFERROR(_xlfn.IFS(LocationInfo[Select Letter Language]="English",HQ_MO_OnlyGlobal[[#This Row],[Action Required English]],LocationInfo[Select Letter Language]="Spanish",HQ_MO_OnlyGlobal[[#This Row],[Action Required Spanish]],LocationInfo[Select Letter Language]="French",HQ_MO_OnlyGlobal[[#This Row],[Action Required French]],LocationInfo[Select Letter Language]="Portuguese",HQ_MO_OnlyGlobal[[#This Row],[Action Required Portuguese]]),"")</f>
        <v>0</v>
      </c>
      <c r="DD21" s="101" t="s">
        <v>2538</v>
      </c>
      <c r="DE21" s="101"/>
      <c r="DF21" s="101"/>
      <c r="DG21" s="101"/>
      <c r="DH21" s="101"/>
      <c r="DI21" s="101"/>
      <c r="DJ21" s="101"/>
      <c r="DK21" s="101" t="s">
        <v>2215</v>
      </c>
      <c r="DL21" s="101" t="s">
        <v>769</v>
      </c>
      <c r="DM21" s="101"/>
    </row>
    <row r="22" spans="2:117" hidden="1">
      <c r="B22" s="353" t="str">
        <f>Network_AgentGlobal[[#This Row],[Question]]&amp;"."&amp;Network_AgentGlobal[[#This Row],[Action Type]]&amp;Network_AgentGlobal[[#This Row],[Country]]</f>
        <v>GS2.GQ4.Response_RequiredIndia_FTF</v>
      </c>
      <c r="C22" s="353" t="e">
        <f ca="1">IFERROR(VLOOKUP(Network_AgentGlobal[[#This Row],[Question]],INDIRECT('Gen Info'!$D$4&amp;"[#All]"),13,FALSE),VLOOKUP(Network_AgentGlobal[[#This Row],[Question]],INDIRECT('Gen Info'!$D$4&amp;"_"&amp;'Gen Info'!$E$4&amp;"[#All]"),13,FALSE))</f>
        <v>#REF!</v>
      </c>
      <c r="D22" s="353" cm="1">
        <f t="array" aca="1" ref="D22"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22" s="353" t="s">
        <v>2539</v>
      </c>
      <c r="F22" s="353"/>
      <c r="G22" s="353"/>
      <c r="H22" s="353"/>
      <c r="I22" s="353" cm="1">
        <f t="array" ref="I22">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22" s="353" t="s">
        <v>2540</v>
      </c>
      <c r="K22" s="353"/>
      <c r="L22" s="353"/>
      <c r="M22" s="353"/>
      <c r="N22" s="353"/>
      <c r="O22" s="353"/>
      <c r="P22" s="353"/>
      <c r="Q22" s="353" t="s">
        <v>2215</v>
      </c>
      <c r="R22" s="353" t="s">
        <v>1902</v>
      </c>
      <c r="S22" s="353" t="s">
        <v>2196</v>
      </c>
      <c r="U22" t="str">
        <f>Master_Agent_HQsGlobal[[#This Row],[Question]]&amp;"."&amp;Master_Agent_HQsGlobal[[#This Row],[Action Type]]&amp;Master_Agent_HQsGlobal[[#This Row],[Country]]</f>
        <v>GS6.GQ3.Resolved_Onsite</v>
      </c>
      <c r="V22" t="str">
        <f ca="1">IFERROR(VLOOKUP(Master_Agent_HQsGlobal[[#This Row],[Question]],Master_Agent_HQs[#All],13,FALSE),VLOOKUP(Master_Agent_HQsGlobal[[#This Row],[Question]],INDIRECT("Master_Agent_HQs"&amp;'Gen Info'!$E$4&amp;"[#All]"),13,FALSE))</f>
        <v>Programa de Capacitación</v>
      </c>
      <c r="W22" t="str" cm="1">
        <f t="array" ref="W22">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Oficial o Delegado de Cumplimiento no puede demostrar que se ha implementado un proceso funcional para garantizar que todos los agentes y operadores de subagentes reciban capacitación inicial y continua acerca de AML/CFT y concienciación sobre fraude.</v>
      </c>
      <c r="X22" t="s">
        <v>2541</v>
      </c>
      <c r="AA22" s="143"/>
      <c r="AB22" t="str" cm="1">
        <f t="array" ref="AB22">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requiere acción. Todos los operadores han sido debidamente entrenados en este tema durante la revisión.</v>
      </c>
      <c r="AC22" t="s">
        <v>2378</v>
      </c>
      <c r="AD22" t="s">
        <v>2542</v>
      </c>
      <c r="AE22" t="s">
        <v>2543</v>
      </c>
      <c r="AF22" t="s">
        <v>2544</v>
      </c>
      <c r="AG22" t="s">
        <v>2382</v>
      </c>
      <c r="AH22" t="s">
        <v>2545</v>
      </c>
      <c r="AI22" t="s">
        <v>2546</v>
      </c>
      <c r="AJ22" t="s">
        <v>2195</v>
      </c>
      <c r="AK22" t="s">
        <v>1696</v>
      </c>
      <c r="AO22" t="str">
        <f>IndependentGlobal[[#This Row],[Question]]&amp;"."&amp;IndependentGlobal[[#This Row],[Action Type]]&amp;IndependentGlobal[[#This Row],[Country]]</f>
        <v>GS11.GQ7.Response_Required</v>
      </c>
      <c r="AP22" t="str">
        <f ca="1">IFERROR(VLOOKUP(IndependentGlobal[[#This Row],[Question]],Independent[#All],13,FALSE),VLOOKUP(IndependentGlobal[[#This Row],[Question]],INDIRECT("Independent_"&amp;'Gen Info'!$E$4&amp;"[#All]"),13,FALSE))</f>
        <v>Requisitos de KYC</v>
      </c>
      <c r="AQ22" t="str" cm="1">
        <f t="array" ref="AQ22">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Los operadores no se aseguran que todos los recibos/formularios estén debidamente completados y firmados.</v>
      </c>
      <c r="AR22" t="s">
        <v>2527</v>
      </c>
      <c r="AV22" t="str" cm="1">
        <f t="array" ref="AV22">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un compromiso escrito detallando el proceso implementado para asegurarse que todos los formularios/recibos estén debidamente completados y firmados por los operadores y el cliente. Brinde además 03 copias de recibos correctamente firmados.</v>
      </c>
      <c r="AW22" t="s">
        <v>2547</v>
      </c>
      <c r="AX22" t="s">
        <v>2529</v>
      </c>
      <c r="AY22" t="s">
        <v>2548</v>
      </c>
      <c r="AZ22" t="s">
        <v>2549</v>
      </c>
      <c r="BA22" t="s">
        <v>2550</v>
      </c>
      <c r="BB22" t="s">
        <v>2533</v>
      </c>
      <c r="BC22" t="s">
        <v>2551</v>
      </c>
      <c r="BD22" t="s">
        <v>2215</v>
      </c>
      <c r="BE22" t="s">
        <v>1281</v>
      </c>
      <c r="BH22" t="str">
        <f>Independent_MO_OnlyGlobal[[#This Row],[Question]]&amp;"."&amp;Independent_MO_OnlyGlobal[[#This Row],[Action Type]]&amp;Independent_MO_OnlyGlobal[[#This Row],[Country]]</f>
        <v>GS6.GQ4.Response_Required</v>
      </c>
      <c r="BI22">
        <f ca="1">IFERROR(VLOOKUP(Independent_MO_OnlyGlobal[[#This Row],[Question]],Independent_MO_Only[#All],13,FALSE),VLOOKUP(Independent_MO_OnlyGlobal[[#This Row],[Question]],INDIRECT("Independent_MO_Only"&amp;'Gen Info'!$E$4&amp;"[#All]"),13,FALSE))</f>
        <v>0</v>
      </c>
      <c r="BJ22" cm="1">
        <f t="array" ref="BJ22">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22" t="s">
        <v>2552</v>
      </c>
      <c r="BO22" cm="1">
        <f t="array" ref="BO22">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22" t="s">
        <v>2553</v>
      </c>
      <c r="BW22" t="s">
        <v>2215</v>
      </c>
      <c r="BX22" t="s">
        <v>1702</v>
      </c>
      <c r="CB22" s="101" t="str">
        <f>Network_MO_OnlyGlobal[[#This Row],[Question]]&amp;"."&amp;Network_MO_OnlyGlobal[[#This Row],[Action Type]]&amp;Network_MO_OnlyGlobal[[#This Row],[Country]]</f>
        <v>GS5.GQ2.Response_Required</v>
      </c>
      <c r="CC22" s="101" t="e">
        <f ca="1">IFERROR(VLOOKUP(Network_MO_OnlyGlobal[[#This Row],[Question]],#REF!,13,FALSE),VLOOKUP(Network_MO_OnlyGlobal[[#This Row],[Question]],INDIRECT("Network_Agent_"&amp;'Gen Info'!$E$4&amp;"[#All]"),13,FALSE))</f>
        <v>#REF!</v>
      </c>
      <c r="CD22" s="101" cm="1">
        <f t="array" aca="1" ref="CD22"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22" s="101" t="s">
        <v>2423</v>
      </c>
      <c r="CF22" s="101"/>
      <c r="CG22" s="101"/>
      <c r="CH22" s="101"/>
      <c r="CI22" s="101" cm="1">
        <f t="array" ref="CI22">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22" s="353" t="s">
        <v>2463</v>
      </c>
      <c r="CK22" s="101"/>
      <c r="CL22" s="101"/>
      <c r="CM22" s="101"/>
      <c r="CN22" s="101"/>
      <c r="CO22" s="101"/>
      <c r="CP22" s="101"/>
      <c r="CQ22" s="101" t="s">
        <v>2215</v>
      </c>
      <c r="CR22" s="101" t="s">
        <v>807</v>
      </c>
      <c r="CS22" s="101"/>
      <c r="CV22" s="101" t="str">
        <f>HQ_MO_OnlyGlobal[[#This Row],[Question]]&amp;"."&amp;HQ_MO_OnlyGlobal[[#This Row],[Action Type]]&amp;HQ_MO_OnlyGlobal[[#This Row],[Country]]</f>
        <v>GS4.GQ8.Response_Required</v>
      </c>
      <c r="CW22" s="101" t="str">
        <f ca="1">IFERROR(VLOOKUP(HQ_MO_OnlyGlobal[[#This Row],[Question]],INDIRECT('Gen Info'!$D$4&amp;"[#All]"),13,FALSE),VLOOKUP(HQ_MO_OnlyGlobal[[#This Row],[Question]],INDIRECT('Gen Info'!$D$4&amp;"_"&amp;'Gen Info'!$E$4&amp;"[#All]"),13,FALSE))</f>
        <v>Conocimiento de Operador - Actividad Sospechosa y Fraude</v>
      </c>
      <c r="CX22" s="101" cm="1">
        <f t="array" aca="1" ref="CX22" ca="1">IFERROR(_xlfn.IFS(LocationInfo[Select Letter Language]="English",_xlfn.IFS(VLOOKUP(HQ_MO_OnlyGlobal[[#This Row],[Question]],CallTb[[#All],[iWatch '#]:[Finding Type]],6,FALSE)="","",VLOOKUP(HQ_MO_OnlyGlobal[[#This Row],[Question]],CallTb[[#All],[iWatch '#]:[Finding Type]],6,FALSE)="No_AML",HQ_MO_OnlyGlobal[[#This Row],[Finding English AML]],VLOOKUP(HQ_MO_OnlyGlobal[[#This Row],[Question]],CallTb[[#All],[iWatch '#]:[Finding Type]],6,FALSE)="No",HQ_MO_OnlyGlobal[[#This Row],[Finding English]]),LocationInfo[Select Letter Language]="Spanish",HQ_MO_OnlyGlobal[[#This Row],[Finding Spanish]],LocationInfo[Select Letter Language]="French",HQ_MO_OnlyGlobal[[#This Row],[Finding French]],LocationInfo[Select Letter Language]="Portuguese",HQ_MO_OnlyGlobal[[#This Row],[Finding Portuguese]]),"")</f>
        <v>0</v>
      </c>
      <c r="CY22" s="101" t="s">
        <v>2554</v>
      </c>
      <c r="CZ22" s="101"/>
      <c r="DA22" s="101"/>
      <c r="DB22" s="101"/>
      <c r="DC22" s="101" cm="1">
        <f t="array" ref="DC22">IFERROR(_xlfn.IFS(LocationInfo[Select Letter Language]="English",HQ_MO_OnlyGlobal[[#This Row],[Action Required English]],LocationInfo[Select Letter Language]="Spanish",HQ_MO_OnlyGlobal[[#This Row],[Action Required Spanish]],LocationInfo[Select Letter Language]="French",HQ_MO_OnlyGlobal[[#This Row],[Action Required French]],LocationInfo[Select Letter Language]="Portuguese",HQ_MO_OnlyGlobal[[#This Row],[Action Required Portuguese]]),"")</f>
        <v>0</v>
      </c>
      <c r="DD22" s="101" t="s">
        <v>2555</v>
      </c>
      <c r="DE22" s="101"/>
      <c r="DF22" s="101"/>
      <c r="DG22" s="101"/>
      <c r="DH22" s="101"/>
      <c r="DI22" s="101"/>
      <c r="DJ22" s="101"/>
      <c r="DK22" s="101" t="s">
        <v>2215</v>
      </c>
      <c r="DL22" s="101" t="s">
        <v>785</v>
      </c>
      <c r="DM22" s="101"/>
    </row>
    <row r="23" spans="2:117" hidden="1">
      <c r="B23" s="353" t="str">
        <f>Network_AgentGlobal[[#This Row],[Question]]&amp;"."&amp;Network_AgentGlobal[[#This Row],[Action Type]]&amp;Network_AgentGlobal[[#This Row],[Country]]</f>
        <v>GS2.GQ5.Response_RequiredIndia_FTF</v>
      </c>
      <c r="C23" s="353" t="e">
        <f ca="1">IFERROR(VLOOKUP(Network_AgentGlobal[[#This Row],[Question]],INDIRECT('Gen Info'!$D$4&amp;"[#All]"),13,FALSE),VLOOKUP(Network_AgentGlobal[[#This Row],[Question]],INDIRECT('Gen Info'!$D$4&amp;"_"&amp;'Gen Info'!$E$4&amp;"[#All]"),13,FALSE))</f>
        <v>#REF!</v>
      </c>
      <c r="D23" s="353" cm="1">
        <f t="array" aca="1" ref="D23"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23" s="353" t="s">
        <v>2556</v>
      </c>
      <c r="F23" s="353"/>
      <c r="G23" s="353"/>
      <c r="H23" s="353"/>
      <c r="I23" s="353" cm="1">
        <f t="array" ref="I23">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23" s="353" t="s">
        <v>2482</v>
      </c>
      <c r="K23" s="353"/>
      <c r="L23" s="353"/>
      <c r="M23" s="353"/>
      <c r="N23" s="353"/>
      <c r="O23" s="353"/>
      <c r="P23" s="353"/>
      <c r="Q23" s="353" t="s">
        <v>2215</v>
      </c>
      <c r="R23" s="353" t="s">
        <v>1905</v>
      </c>
      <c r="S23" s="353" t="s">
        <v>2196</v>
      </c>
      <c r="U23" t="str">
        <f>Master_Agent_HQsGlobal[[#This Row],[Question]]&amp;"."&amp;Master_Agent_HQsGlobal[[#This Row],[Action Type]]&amp;Master_Agent_HQsGlobal[[#This Row],[Country]]</f>
        <v>GS6.GQ4.Resolved_Onsite</v>
      </c>
      <c r="V23" t="str">
        <f ca="1">IFERROR(VLOOKUP(Master_Agent_HQsGlobal[[#This Row],[Question]],Master_Agent_HQs[#All],13,FALSE),VLOOKUP(Master_Agent_HQsGlobal[[#This Row],[Question]],INDIRECT("Master_Agent_HQs"&amp;'Gen Info'!$E$4&amp;"[#All]"),13,FALSE))</f>
        <v>Programa de Capacitación</v>
      </c>
      <c r="W23" t="str" cm="1">
        <f t="array" ref="W23">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mantiene una lista completa y actualizada con la información de capacitación de los operadores.</v>
      </c>
      <c r="X23" t="s">
        <v>2554</v>
      </c>
      <c r="AA23" s="143"/>
      <c r="AB23" t="str" cm="1">
        <f t="array" ref="AB23">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requiere acción. El agente ha sido debidamente entrenado en este tema durante la revisión.</v>
      </c>
      <c r="AC23" t="s">
        <v>2224</v>
      </c>
      <c r="AD23" t="s">
        <v>2557</v>
      </c>
      <c r="AE23" t="s">
        <v>2262</v>
      </c>
      <c r="AF23" t="s">
        <v>2558</v>
      </c>
      <c r="AG23" t="s">
        <v>2333</v>
      </c>
      <c r="AH23" t="s">
        <v>2559</v>
      </c>
      <c r="AI23" t="s">
        <v>2230</v>
      </c>
      <c r="AJ23" t="s">
        <v>2195</v>
      </c>
      <c r="AK23" t="s">
        <v>1702</v>
      </c>
      <c r="AO23" t="str">
        <f>IndependentGlobal[[#This Row],[Question]]&amp;"."&amp;IndependentGlobal[[#This Row],[Action Type]]&amp;IndependentGlobal[[#This Row],[Country]]</f>
        <v>GS11.GQ7.Suspension</v>
      </c>
      <c r="AP23" t="str">
        <f ca="1">IFERROR(VLOOKUP(IndependentGlobal[[#This Row],[Question]],Independent[#All],13,FALSE),VLOOKUP(IndependentGlobal[[#This Row],[Question]],INDIRECT("Independent_"&amp;'Gen Info'!$E$4&amp;"[#All]"),13,FALSE))</f>
        <v>Requisitos de KYC</v>
      </c>
      <c r="AQ23" t="str" cm="1">
        <f t="array" ref="AQ23">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Los operadores procesan deliberadamente transacciones sin asegurarse que los formularios/recibos estén debidamente completos para evadir los controles de cumplimiento.</v>
      </c>
      <c r="AR23" t="s">
        <v>2560</v>
      </c>
      <c r="AV23" t="str" cm="1">
        <f t="array" ref="AV23">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un compromiso escrito detallando el proceso implementado para asegurarse que todos los formularios/recibos estén debidamente completados y firmamados por los operadores y el cliente. Brinde además 03 copias de recibos correctamente firmados (Suspensión).</v>
      </c>
      <c r="AW23" t="s">
        <v>2561</v>
      </c>
      <c r="AX23" t="s">
        <v>2562</v>
      </c>
      <c r="AY23" t="s">
        <v>2563</v>
      </c>
      <c r="AZ23" t="s">
        <v>2564</v>
      </c>
      <c r="BA23" t="s">
        <v>2565</v>
      </c>
      <c r="BB23" t="s">
        <v>2566</v>
      </c>
      <c r="BC23" t="s">
        <v>2567</v>
      </c>
      <c r="BD23" t="s">
        <v>2222</v>
      </c>
      <c r="BE23" t="s">
        <v>1281</v>
      </c>
      <c r="BH23" t="str">
        <f>Independent_MO_OnlyGlobal[[#This Row],[Question]]&amp;"."&amp;Independent_MO_OnlyGlobal[[#This Row],[Action Type]]&amp;Independent_MO_OnlyGlobal[[#This Row],[Country]]</f>
        <v>GS6.GQ6.Response_Required</v>
      </c>
      <c r="BI23">
        <f ca="1">IFERROR(VLOOKUP(Independent_MO_OnlyGlobal[[#This Row],[Question]],Independent_MO_Only[#All],13,FALSE),VLOOKUP(Independent_MO_OnlyGlobal[[#This Row],[Question]],INDIRECT("Independent_MO_Only"&amp;'Gen Info'!$E$4&amp;"[#All]"),13,FALSE))</f>
        <v>0</v>
      </c>
      <c r="BJ23" cm="1">
        <f t="array" ref="BJ23">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23" t="s">
        <v>2568</v>
      </c>
      <c r="BO23" cm="1">
        <f t="array" ref="BO23">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23" t="s">
        <v>2569</v>
      </c>
      <c r="BW23" t="s">
        <v>2215</v>
      </c>
      <c r="BX23" t="s">
        <v>1712</v>
      </c>
      <c r="CB23" s="101" t="str">
        <f>Network_MO_OnlyGlobal[[#This Row],[Question]]&amp;"."&amp;Network_MO_OnlyGlobal[[#This Row],[Action Type]]&amp;Network_MO_OnlyGlobal[[#This Row],[Country]]</f>
        <v>GS5.GQ3.Resolved_Onsite</v>
      </c>
      <c r="CC23" s="101" t="e">
        <f ca="1">IFERROR(VLOOKUP(Network_MO_OnlyGlobal[[#This Row],[Question]],#REF!,13,FALSE),VLOOKUP(Network_MO_OnlyGlobal[[#This Row],[Question]],INDIRECT("Network_Agent_"&amp;'Gen Info'!$E$4&amp;"[#All]"),13,FALSE))</f>
        <v>#REF!</v>
      </c>
      <c r="CD23" s="101" cm="1">
        <f t="array" aca="1" ref="CD23"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23" s="440" t="s">
        <v>2487</v>
      </c>
      <c r="CF23" s="101"/>
      <c r="CG23" s="101"/>
      <c r="CH23" s="101"/>
      <c r="CI23" s="101" cm="1">
        <f t="array" ref="CI23">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23" s="101" t="s">
        <v>2570</v>
      </c>
      <c r="CK23" s="101"/>
      <c r="CL23" s="101"/>
      <c r="CM23" s="101"/>
      <c r="CN23" s="101"/>
      <c r="CO23" s="101"/>
      <c r="CP23" s="101"/>
      <c r="CQ23" s="101" t="s">
        <v>2195</v>
      </c>
      <c r="CR23" s="101" t="s">
        <v>815</v>
      </c>
      <c r="CS23" s="353"/>
      <c r="CV23" s="101" t="str">
        <f>HQ_MO_OnlyGlobal[[#This Row],[Question]]&amp;"."&amp;HQ_MO_OnlyGlobal[[#This Row],[Action Type]]&amp;HQ_MO_OnlyGlobal[[#This Row],[Country]]</f>
        <v>GS5.GQ1.Response_Required</v>
      </c>
      <c r="CW23" s="101" t="str">
        <f ca="1">IFERROR(VLOOKUP(HQ_MO_OnlyGlobal[[#This Row],[Question]],INDIRECT('Gen Info'!$D$4&amp;"[#All]"),13,FALSE),VLOOKUP(HQ_MO_OnlyGlobal[[#This Row],[Question]],INDIRECT('Gen Info'!$D$4&amp;"_"&amp;'Gen Info'!$E$4&amp;"[#All]"),13,FALSE))</f>
        <v>Requisitos de KYC</v>
      </c>
      <c r="CX23" s="101" cm="1">
        <f t="array" aca="1" ref="CX23" ca="1">IFERROR(_xlfn.IFS(LocationInfo[Select Letter Language]="English",_xlfn.IFS(VLOOKUP(HQ_MO_OnlyGlobal[[#This Row],[Question]],CallTb[[#All],[iWatch '#]:[Finding Type]],6,FALSE)="","",VLOOKUP(HQ_MO_OnlyGlobal[[#This Row],[Question]],CallTb[[#All],[iWatch '#]:[Finding Type]],6,FALSE)="No_AML",HQ_MO_OnlyGlobal[[#This Row],[Finding English AML]],VLOOKUP(HQ_MO_OnlyGlobal[[#This Row],[Question]],CallTb[[#All],[iWatch '#]:[Finding Type]],6,FALSE)="No",HQ_MO_OnlyGlobal[[#This Row],[Finding English]]),LocationInfo[Select Letter Language]="Spanish",HQ_MO_OnlyGlobal[[#This Row],[Finding Spanish]],LocationInfo[Select Letter Language]="French",HQ_MO_OnlyGlobal[[#This Row],[Finding French]],LocationInfo[Select Letter Language]="Portuguese",HQ_MO_OnlyGlobal[[#This Row],[Finding Portuguese]]),"")</f>
        <v>0</v>
      </c>
      <c r="CY23" s="101" t="s">
        <v>2571</v>
      </c>
      <c r="CZ23" s="101"/>
      <c r="DA23" s="101"/>
      <c r="DB23" s="101"/>
      <c r="DC23" s="101" cm="1">
        <f t="array" ref="DC23">IFERROR(_xlfn.IFS(LocationInfo[Select Letter Language]="English",HQ_MO_OnlyGlobal[[#This Row],[Action Required English]],LocationInfo[Select Letter Language]="Spanish",HQ_MO_OnlyGlobal[[#This Row],[Action Required Spanish]],LocationInfo[Select Letter Language]="French",HQ_MO_OnlyGlobal[[#This Row],[Action Required French]],LocationInfo[Select Letter Language]="Portuguese",HQ_MO_OnlyGlobal[[#This Row],[Action Required Portuguese]]),"")</f>
        <v>0</v>
      </c>
      <c r="DD23" s="101" t="s">
        <v>2572</v>
      </c>
      <c r="DE23" s="101"/>
      <c r="DF23" s="101"/>
      <c r="DG23" s="101"/>
      <c r="DH23" s="101"/>
      <c r="DI23" s="101"/>
      <c r="DJ23" s="101"/>
      <c r="DK23" s="101" t="s">
        <v>2215</v>
      </c>
      <c r="DL23" s="101" t="s">
        <v>797</v>
      </c>
      <c r="DM23" s="101"/>
    </row>
    <row r="24" spans="2:117" hidden="1">
      <c r="B24" s="353" t="str">
        <f>Network_AgentGlobal[[#This Row],[Question]]&amp;"."&amp;Network_AgentGlobal[[#This Row],[Action Type]]&amp;Network_AgentGlobal[[#This Row],[Country]]</f>
        <v>GS2.RQ3.Resolved_OnsiteUnited_States</v>
      </c>
      <c r="C24" s="353" t="e">
        <f ca="1">IFERROR(VLOOKUP(Network_AgentGlobal[[#This Row],[Question]],INDIRECT('Gen Info'!$D$4&amp;"[#All]"),13,FALSE),VLOOKUP(Network_AgentGlobal[[#This Row],[Question]],INDIRECT('Gen Info'!$D$4&amp;"_"&amp;'Gen Info'!$E$4&amp;"[#All]"),13,FALSE))</f>
        <v>#REF!</v>
      </c>
      <c r="D24" s="353" t="str" cm="1">
        <f t="array" aca="1" ref="D24"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Los operadores no han sido entrenados en la prohibición acerca de transacciones relacionadas a telemercadeo.</v>
      </c>
      <c r="E24" s="353" t="s">
        <v>2573</v>
      </c>
      <c r="F24" s="353"/>
      <c r="G24" s="353"/>
      <c r="H24" s="353"/>
      <c r="I24" s="353" t="str" cm="1">
        <f t="array" ref="I24">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No se requiere acción. El agente ha sido entrenado en este tema durante la revisión. Se le notifica a las Oficinas Centrales a través de la carta de hallazgo.</v>
      </c>
      <c r="J24" s="353" t="s">
        <v>2574</v>
      </c>
      <c r="K24" s="353" t="s">
        <v>2575</v>
      </c>
      <c r="L24" s="353" t="s">
        <v>2576</v>
      </c>
      <c r="M24" s="353" t="s">
        <v>2577</v>
      </c>
      <c r="N24" s="353" t="s">
        <v>2578</v>
      </c>
      <c r="O24" s="353" t="s">
        <v>2579</v>
      </c>
      <c r="P24" s="353" t="s">
        <v>2580</v>
      </c>
      <c r="Q24" s="353" t="s">
        <v>2195</v>
      </c>
      <c r="R24" s="353" t="s">
        <v>1935</v>
      </c>
      <c r="S24" s="353" t="s">
        <v>2581</v>
      </c>
      <c r="U24" t="str">
        <f>Master_Agent_HQsGlobal[[#This Row],[Question]]&amp;"."&amp;Master_Agent_HQsGlobal[[#This Row],[Action Type]]&amp;Master_Agent_HQsGlobal[[#This Row],[Country]]</f>
        <v>GS6.GQ5.Resolved_Onsite</v>
      </c>
      <c r="V24" t="str">
        <f ca="1">IFERROR(VLOOKUP(Master_Agent_HQsGlobal[[#This Row],[Question]],Master_Agent_HQs[#All],13,FALSE),VLOOKUP(Master_Agent_HQsGlobal[[#This Row],[Question]],INDIRECT("Master_Agent_HQs"&amp;'Gen Info'!$E$4&amp;"[#All]"),13,FALSE))</f>
        <v>Programa de Capacitación</v>
      </c>
      <c r="W24" t="str" cm="1">
        <f t="array" ref="W24">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ha impartido entrenamiento inicial de AML/CFT y Anti-Fraude a los empleados previo a permitirles interactuar con el sistema de transferencias.</v>
      </c>
      <c r="X24" t="s">
        <v>2582</v>
      </c>
      <c r="AA24" s="143"/>
      <c r="AB24" t="str" cm="1">
        <f t="array" ref="AB24">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requiere acción. Todos los operadores han sido entrenados en el tema durante la revisión.</v>
      </c>
      <c r="AC24" t="s">
        <v>2583</v>
      </c>
      <c r="AD24" t="s">
        <v>2584</v>
      </c>
      <c r="AE24" t="s">
        <v>2585</v>
      </c>
      <c r="AF24" t="s">
        <v>2586</v>
      </c>
      <c r="AG24" t="s">
        <v>2587</v>
      </c>
      <c r="AH24" t="s">
        <v>2588</v>
      </c>
      <c r="AI24" t="s">
        <v>2589</v>
      </c>
      <c r="AJ24" t="s">
        <v>2195</v>
      </c>
      <c r="AK24" t="s">
        <v>1709</v>
      </c>
      <c r="AO24" t="str">
        <f>IndependentGlobal[[#This Row],[Question]]&amp;"."&amp;IndependentGlobal[[#This Row],[Action Type]]&amp;IndependentGlobal[[#This Row],[Country]]</f>
        <v>GS11.GQ8.Resolved_Onsite</v>
      </c>
      <c r="AP24" t="str">
        <f ca="1">IFERROR(VLOOKUP(IndependentGlobal[[#This Row],[Question]],Independent[#All],13,FALSE),VLOOKUP(IndependentGlobal[[#This Row],[Question]],INDIRECT("Independent_"&amp;'Gen Info'!$E$4&amp;"[#All]"),13,FALSE))</f>
        <v>Requisitos de KYC</v>
      </c>
      <c r="AQ24" t="str" cm="1">
        <f t="array" ref="AQ24">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Los operadores no están familiarizados con el ECDD y/o los procedimientos de LPMT.</v>
      </c>
      <c r="AR24" t="s">
        <v>2590</v>
      </c>
      <c r="AV24" t="str" cm="1">
        <f t="array" ref="AV24">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Todos los operadores han sido debidamente entrenados en este tema durante la revisión.</v>
      </c>
      <c r="AW24" t="s">
        <v>2378</v>
      </c>
      <c r="AX24" t="s">
        <v>2591</v>
      </c>
      <c r="AY24" t="s">
        <v>2380</v>
      </c>
      <c r="AZ24" t="s">
        <v>2592</v>
      </c>
      <c r="BA24" t="s">
        <v>2382</v>
      </c>
      <c r="BB24" t="s">
        <v>2593</v>
      </c>
      <c r="BC24" t="s">
        <v>2384</v>
      </c>
      <c r="BD24" t="s">
        <v>2195</v>
      </c>
      <c r="BE24" t="s">
        <v>1298</v>
      </c>
      <c r="BH24" t="str">
        <f>Independent_MO_OnlyGlobal[[#This Row],[Question]]&amp;"."&amp;Independent_MO_OnlyGlobal[[#This Row],[Action Type]]&amp;Independent_MO_OnlyGlobal[[#This Row],[Country]]</f>
        <v>GS6.GQ7.Response_Required</v>
      </c>
      <c r="BI24">
        <f ca="1">IFERROR(VLOOKUP(Independent_MO_OnlyGlobal[[#This Row],[Question]],Independent_MO_Only[#All],13,FALSE),VLOOKUP(Independent_MO_OnlyGlobal[[#This Row],[Question]],INDIRECT("Independent_MO_Only"&amp;'Gen Info'!$E$4&amp;"[#All]"),13,FALSE))</f>
        <v>0</v>
      </c>
      <c r="BJ24" cm="1">
        <f t="array" ref="BJ24">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24" t="s">
        <v>2594</v>
      </c>
      <c r="BO24" cm="1">
        <f t="array" ref="BO24">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24" t="s">
        <v>2595</v>
      </c>
      <c r="BW24" t="s">
        <v>2215</v>
      </c>
      <c r="BX24" t="s">
        <v>2069</v>
      </c>
      <c r="CB24" s="101" t="str">
        <f>Network_MO_OnlyGlobal[[#This Row],[Question]]&amp;"."&amp;Network_MO_OnlyGlobal[[#This Row],[Action Type]]&amp;Network_MO_OnlyGlobal[[#This Row],[Country]]</f>
        <v>GS5.GQ3.Response_Required</v>
      </c>
      <c r="CC24" s="101" t="e">
        <f ca="1">IFERROR(VLOOKUP(Network_MO_OnlyGlobal[[#This Row],[Question]],#REF!,13,FALSE),VLOOKUP(Network_MO_OnlyGlobal[[#This Row],[Question]],INDIRECT("Network_Agent_"&amp;'Gen Info'!$E$4&amp;"[#All]"),13,FALSE))</f>
        <v>#REF!</v>
      </c>
      <c r="CD24" s="101" cm="1">
        <f t="array" aca="1" ref="CD24"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24" s="101" t="s">
        <v>2513</v>
      </c>
      <c r="CF24" s="101"/>
      <c r="CG24" s="101"/>
      <c r="CH24" s="101"/>
      <c r="CI24" s="101" cm="1">
        <f t="array" ref="CI24">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24" s="101" t="s">
        <v>2388</v>
      </c>
      <c r="CK24" s="101"/>
      <c r="CL24" s="101"/>
      <c r="CM24" s="101"/>
      <c r="CN24" s="101"/>
      <c r="CO24" s="101"/>
      <c r="CP24" s="101"/>
      <c r="CQ24" s="101" t="s">
        <v>2215</v>
      </c>
      <c r="CR24" s="101" t="s">
        <v>815</v>
      </c>
      <c r="CS24" s="101"/>
      <c r="CV24" s="101" t="str">
        <f>HQ_MO_OnlyGlobal[[#This Row],[Question]]&amp;"."&amp;HQ_MO_OnlyGlobal[[#This Row],[Action Type]]&amp;HQ_MO_OnlyGlobal[[#This Row],[Country]]</f>
        <v>GS5.GQ3.Response_Required</v>
      </c>
      <c r="CW24" s="101" t="str">
        <f ca="1">IFERROR(VLOOKUP(HQ_MO_OnlyGlobal[[#This Row],[Question]],INDIRECT('Gen Info'!$D$4&amp;"[#All]"),13,FALSE),VLOOKUP(HQ_MO_OnlyGlobal[[#This Row],[Question]],INDIRECT('Gen Info'!$D$4&amp;"_"&amp;'Gen Info'!$E$4&amp;"[#All]"),13,FALSE))</f>
        <v>Requisitos de KYC</v>
      </c>
      <c r="CX24" s="101" cm="1">
        <f t="array" aca="1" ref="CX24" ca="1">IFERROR(_xlfn.IFS(LocationInfo[Select Letter Language]="English",_xlfn.IFS(VLOOKUP(HQ_MO_OnlyGlobal[[#This Row],[Question]],CallTb[[#All],[iWatch '#]:[Finding Type]],6,FALSE)="","",VLOOKUP(HQ_MO_OnlyGlobal[[#This Row],[Question]],CallTb[[#All],[iWatch '#]:[Finding Type]],6,FALSE)="No_AML",HQ_MO_OnlyGlobal[[#This Row],[Finding English AML]],VLOOKUP(HQ_MO_OnlyGlobal[[#This Row],[Question]],CallTb[[#All],[iWatch '#]:[Finding Type]],6,FALSE)="No",HQ_MO_OnlyGlobal[[#This Row],[Finding English]]),LocationInfo[Select Letter Language]="Spanish",HQ_MO_OnlyGlobal[[#This Row],[Finding Spanish]],LocationInfo[Select Letter Language]="French",HQ_MO_OnlyGlobal[[#This Row],[Finding French]],LocationInfo[Select Letter Language]="Portuguese",HQ_MO_OnlyGlobal[[#This Row],[Finding Portuguese]]),"")</f>
        <v>0</v>
      </c>
      <c r="CY24" s="101" t="s">
        <v>2596</v>
      </c>
      <c r="CZ24" s="101"/>
      <c r="DA24" s="101"/>
      <c r="DB24" s="101"/>
      <c r="DC24" s="101" cm="1">
        <f t="array" ref="DC24">IFERROR(_xlfn.IFS(LocationInfo[Select Letter Language]="English",HQ_MO_OnlyGlobal[[#This Row],[Action Required English]],LocationInfo[Select Letter Language]="Spanish",HQ_MO_OnlyGlobal[[#This Row],[Action Required Spanish]],LocationInfo[Select Letter Language]="French",HQ_MO_OnlyGlobal[[#This Row],[Action Required French]],LocationInfo[Select Letter Language]="Portuguese",HQ_MO_OnlyGlobal[[#This Row],[Action Required Portuguese]]),"")</f>
        <v>0</v>
      </c>
      <c r="DD24" s="101" t="s">
        <v>2597</v>
      </c>
      <c r="DE24" s="101"/>
      <c r="DF24" s="101"/>
      <c r="DG24" s="101"/>
      <c r="DH24" s="101"/>
      <c r="DI24" s="101"/>
      <c r="DJ24" s="101"/>
      <c r="DK24" s="101" t="s">
        <v>2215</v>
      </c>
      <c r="DL24" s="101" t="s">
        <v>815</v>
      </c>
      <c r="DM24" s="101"/>
    </row>
    <row r="25" spans="2:117" hidden="1">
      <c r="B25" s="353" t="str">
        <f>Network_AgentGlobal[[#This Row],[Question]]&amp;"."&amp;Network_AgentGlobal[[#This Row],[Action Type]]&amp;Network_AgentGlobal[[#This Row],[Country]]</f>
        <v>GS3.GQ1.Response_RequiredIndia_FTF</v>
      </c>
      <c r="C25" s="353" t="str">
        <f ca="1">IFERROR(VLOOKUP(Network_AgentGlobal[[#This Row],[Question]],INDIRECT('Gen Info'!$D$4&amp;"[#All]"),13,FALSE),VLOOKUP(Network_AgentGlobal[[#This Row],[Question]],INDIRECT('Gen Info'!$D$4&amp;"_"&amp;'Gen Info'!$E$4&amp;"[#All]"),13,FALSE))</f>
        <v>Disponibilidad de la Localidad</v>
      </c>
      <c r="D25" s="353" cm="1">
        <f t="array" aca="1" ref="D25"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25" s="353" t="s">
        <v>2598</v>
      </c>
      <c r="F25" s="353"/>
      <c r="G25" s="353"/>
      <c r="H25" s="353"/>
      <c r="I25" s="353" cm="1">
        <f t="array" ref="I25">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25" s="353" t="s">
        <v>2482</v>
      </c>
      <c r="K25" s="353"/>
      <c r="L25" s="353"/>
      <c r="M25" s="353"/>
      <c r="N25" s="353"/>
      <c r="O25" s="353"/>
      <c r="P25" s="353"/>
      <c r="Q25" s="353" t="s">
        <v>2215</v>
      </c>
      <c r="R25" s="353" t="s">
        <v>661</v>
      </c>
      <c r="S25" s="353" t="s">
        <v>2196</v>
      </c>
      <c r="U25" t="str">
        <f>Master_Agent_HQsGlobal[[#This Row],[Question]]&amp;"."&amp;Master_Agent_HQsGlobal[[#This Row],[Action Type]]&amp;Master_Agent_HQsGlobal[[#This Row],[Country]]</f>
        <v>GS6.GQ6.Resolved_Onsite</v>
      </c>
      <c r="V25" t="str">
        <f ca="1">IFERROR(VLOOKUP(Master_Agent_HQsGlobal[[#This Row],[Question]],Master_Agent_HQs[#All],13,FALSE),VLOOKUP(Master_Agent_HQsGlobal[[#This Row],[Question]],INDIRECT("Master_Agent_HQs"&amp;'Gen Info'!$E$4&amp;"[#All]"),13,FALSE))</f>
        <v>Programa de Capacitación</v>
      </c>
      <c r="W25" t="str" cm="1">
        <f t="array" ref="W25">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ha impartido entrenamiento anual de AML/CFT y Anti-Fraude a los empleados.</v>
      </c>
      <c r="X25" t="s">
        <v>2599</v>
      </c>
      <c r="AA25" s="143"/>
      <c r="AB25" t="str" cm="1">
        <f t="array" ref="AB25">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requiere acción. Todos los operadores han sido entrenados en el tema durante la revisión.</v>
      </c>
      <c r="AC25" t="s">
        <v>2583</v>
      </c>
      <c r="AD25" t="s">
        <v>2600</v>
      </c>
      <c r="AE25" t="s">
        <v>2585</v>
      </c>
      <c r="AF25" t="s">
        <v>2601</v>
      </c>
      <c r="AG25" t="s">
        <v>2587</v>
      </c>
      <c r="AH25" t="s">
        <v>2602</v>
      </c>
      <c r="AI25" t="s">
        <v>2589</v>
      </c>
      <c r="AJ25" t="s">
        <v>2195</v>
      </c>
      <c r="AK25" t="s">
        <v>1712</v>
      </c>
      <c r="AO25" t="str">
        <f>IndependentGlobal[[#This Row],[Question]]&amp;"."&amp;IndependentGlobal[[#This Row],[Action Type]]&amp;IndependentGlobal[[#This Row],[Country]]</f>
        <v>GS11.GQ8.Response_Required</v>
      </c>
      <c r="AP25" t="str">
        <f ca="1">IFERROR(VLOOKUP(IndependentGlobal[[#This Row],[Question]],Independent[#All],13,FALSE),VLOOKUP(IndependentGlobal[[#This Row],[Question]],INDIRECT("Independent_"&amp;'Gen Info'!$E$4&amp;"[#All]"),13,FALSE))</f>
        <v>Requisitos de KYC</v>
      </c>
      <c r="AQ25" t="str" cm="1">
        <f t="array" ref="AQ25">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Los operadores no están familiarizados con el ECDD y/o los procedimientos de LPMT.</v>
      </c>
      <c r="AR25" t="s">
        <v>2590</v>
      </c>
      <c r="AV25" t="str" cm="1">
        <f t="array" ref="AV25">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confirmación donde se evidencie que todos los empleados han sido entrenados en este tema. Asegúrese que la confirmación incluya el tema cubierto, el nombre de las personas que asistieron a la sesión y la fecha de la capacitación.</v>
      </c>
      <c r="AW25" t="s">
        <v>2400</v>
      </c>
      <c r="AX25" t="s">
        <v>2591</v>
      </c>
      <c r="AY25" t="s">
        <v>2401</v>
      </c>
      <c r="AZ25" t="s">
        <v>2592</v>
      </c>
      <c r="BA25" t="s">
        <v>2402</v>
      </c>
      <c r="BB25" t="s">
        <v>2593</v>
      </c>
      <c r="BC25" t="s">
        <v>2403</v>
      </c>
      <c r="BD25" t="s">
        <v>2215</v>
      </c>
      <c r="BE25" t="s">
        <v>1298</v>
      </c>
      <c r="BH25" t="str">
        <f>Independent_MO_OnlyGlobal[[#This Row],[Question]]&amp;"."&amp;Independent_MO_OnlyGlobal[[#This Row],[Action Type]]&amp;Independent_MO_OnlyGlobal[[#This Row],[Country]]</f>
        <v>GS7.RQ1.Response_Required</v>
      </c>
      <c r="BI25" t="e">
        <f ca="1">IFERROR(VLOOKUP(Independent_MO_OnlyGlobal[[#This Row],[Question]],Independent_MO_Only[#All],13,FALSE),VLOOKUP(Independent_MO_OnlyGlobal[[#This Row],[Question]],INDIRECT("Independent_MO_Only"&amp;'Gen Info'!$E$4&amp;"[#All]"),13,FALSE))</f>
        <v>#REF!</v>
      </c>
      <c r="BJ25" cm="1">
        <f t="array" ref="BJ25">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25" t="s">
        <v>2603</v>
      </c>
      <c r="BO25" cm="1">
        <f t="array" ref="BO25">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25" t="s">
        <v>2604</v>
      </c>
      <c r="BW25" t="s">
        <v>2215</v>
      </c>
      <c r="BX25" t="s">
        <v>1869</v>
      </c>
      <c r="CB25" s="101" t="str">
        <f>Network_MO_OnlyGlobal[[#This Row],[Question]]&amp;"."&amp;Network_MO_OnlyGlobal[[#This Row],[Action Type]]&amp;Network_MO_OnlyGlobal[[#This Row],[Country]]</f>
        <v>GS5.GQ4.Resolved_Onsite</v>
      </c>
      <c r="CC25" s="101" t="e">
        <f ca="1">IFERROR(VLOOKUP(Network_MO_OnlyGlobal[[#This Row],[Question]],#REF!,13,FALSE),VLOOKUP(Network_MO_OnlyGlobal[[#This Row],[Question]],INDIRECT("Network_Agent_"&amp;'Gen Info'!$E$4&amp;"[#All]"),13,FALSE))</f>
        <v>#REF!</v>
      </c>
      <c r="CD25" s="101" cm="1">
        <f t="array" aca="1" ref="CD25"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25" s="101" t="s">
        <v>2605</v>
      </c>
      <c r="CF25" s="101"/>
      <c r="CG25" s="101"/>
      <c r="CH25" s="101"/>
      <c r="CI25" s="101" cm="1">
        <f t="array" ref="CI25">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25" s="101" t="s">
        <v>2570</v>
      </c>
      <c r="CK25" s="101"/>
      <c r="CL25" s="101"/>
      <c r="CM25" s="101"/>
      <c r="CN25" s="101"/>
      <c r="CO25" s="101"/>
      <c r="CP25" s="101"/>
      <c r="CQ25" s="101" t="s">
        <v>2195</v>
      </c>
      <c r="CR25" s="101" t="s">
        <v>829</v>
      </c>
      <c r="CS25" s="353"/>
      <c r="CV25" s="101" t="str">
        <f>HQ_MO_OnlyGlobal[[#This Row],[Question]]&amp;"."&amp;HQ_MO_OnlyGlobal[[#This Row],[Action Type]]&amp;HQ_MO_OnlyGlobal[[#This Row],[Country]]</f>
        <v>GS5.GQ4.Response_Required</v>
      </c>
      <c r="CW25" s="101" t="str">
        <f ca="1">IFERROR(VLOOKUP(HQ_MO_OnlyGlobal[[#This Row],[Question]],INDIRECT('Gen Info'!$D$4&amp;"[#All]"),13,FALSE),VLOOKUP(HQ_MO_OnlyGlobal[[#This Row],[Question]],INDIRECT('Gen Info'!$D$4&amp;"_"&amp;'Gen Info'!$E$4&amp;"[#All]"),13,FALSE))</f>
        <v>Requisitos de KYC</v>
      </c>
      <c r="CX25" s="101" cm="1">
        <f t="array" aca="1" ref="CX25" ca="1">IFERROR(_xlfn.IFS(LocationInfo[Select Letter Language]="English",_xlfn.IFS(VLOOKUP(HQ_MO_OnlyGlobal[[#This Row],[Question]],CallTb[[#All],[iWatch '#]:[Finding Type]],6,FALSE)="","",VLOOKUP(HQ_MO_OnlyGlobal[[#This Row],[Question]],CallTb[[#All],[iWatch '#]:[Finding Type]],6,FALSE)="No_AML",HQ_MO_OnlyGlobal[[#This Row],[Finding English AML]],VLOOKUP(HQ_MO_OnlyGlobal[[#This Row],[Question]],CallTb[[#All],[iWatch '#]:[Finding Type]],6,FALSE)="No",HQ_MO_OnlyGlobal[[#This Row],[Finding English]]),LocationInfo[Select Letter Language]="Spanish",HQ_MO_OnlyGlobal[[#This Row],[Finding Spanish]],LocationInfo[Select Letter Language]="French",HQ_MO_OnlyGlobal[[#This Row],[Finding French]],LocationInfo[Select Letter Language]="Portuguese",HQ_MO_OnlyGlobal[[#This Row],[Finding Portuguese]]),"")</f>
        <v>0</v>
      </c>
      <c r="CY25" s="101" t="s">
        <v>2606</v>
      </c>
      <c r="CZ25" s="101"/>
      <c r="DA25" s="101"/>
      <c r="DB25" s="101"/>
      <c r="DC25" s="101" cm="1">
        <f t="array" ref="DC25">IFERROR(_xlfn.IFS(LocationInfo[Select Letter Language]="English",HQ_MO_OnlyGlobal[[#This Row],[Action Required English]],LocationInfo[Select Letter Language]="Spanish",HQ_MO_OnlyGlobal[[#This Row],[Action Required Spanish]],LocationInfo[Select Letter Language]="French",HQ_MO_OnlyGlobal[[#This Row],[Action Required French]],LocationInfo[Select Letter Language]="Portuguese",HQ_MO_OnlyGlobal[[#This Row],[Action Required Portuguese]]),"")</f>
        <v>0</v>
      </c>
      <c r="DD25" s="101" t="s">
        <v>2607</v>
      </c>
      <c r="DE25" s="101"/>
      <c r="DF25" s="101"/>
      <c r="DG25" s="101"/>
      <c r="DH25" s="101"/>
      <c r="DI25" s="101"/>
      <c r="DJ25" s="101"/>
      <c r="DK25" s="101" t="s">
        <v>2215</v>
      </c>
      <c r="DL25" s="101" t="s">
        <v>829</v>
      </c>
      <c r="DM25" s="101"/>
    </row>
    <row r="26" spans="2:117" hidden="1">
      <c r="B26" s="353" t="str">
        <f>Network_AgentGlobal[[#This Row],[Question]]&amp;"."&amp;Network_AgentGlobal[[#This Row],[Action Type]]&amp;Network_AgentGlobal[[#This Row],[Country]]</f>
        <v>GS3.GQ1.SuspensionIndia_FTF</v>
      </c>
      <c r="C26" s="353" t="str">
        <f ca="1">IFERROR(VLOOKUP(Network_AgentGlobal[[#This Row],[Question]],INDIRECT('Gen Info'!$D$4&amp;"[#All]"),13,FALSE),VLOOKUP(Network_AgentGlobal[[#This Row],[Question]],INDIRECT('Gen Info'!$D$4&amp;"_"&amp;'Gen Info'!$E$4&amp;"[#All]"),13,FALSE))</f>
        <v>Disponibilidad de la Localidad</v>
      </c>
      <c r="D26" s="353" cm="1">
        <f t="array" aca="1" ref="D26"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26" s="353" t="s">
        <v>2608</v>
      </c>
      <c r="F26" s="353"/>
      <c r="G26" s="353"/>
      <c r="H26" s="353"/>
      <c r="I26" s="353" cm="1">
        <f t="array" ref="I26">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26" s="353" t="s">
        <v>2221</v>
      </c>
      <c r="K26" s="353"/>
      <c r="L26" s="353"/>
      <c r="M26" s="353"/>
      <c r="N26" s="353"/>
      <c r="O26" s="353"/>
      <c r="P26" s="353"/>
      <c r="Q26" s="353" t="s">
        <v>2222</v>
      </c>
      <c r="R26" s="353" t="s">
        <v>661</v>
      </c>
      <c r="S26" s="353" t="s">
        <v>2196</v>
      </c>
      <c r="U26" t="str">
        <f>Master_Agent_HQsGlobal[[#This Row],[Question]]&amp;"."&amp;Master_Agent_HQsGlobal[[#This Row],[Action Type]]&amp;Master_Agent_HQsGlobal[[#This Row],[Country]]</f>
        <v>GS7.GQ4.Resolved_Onsite</v>
      </c>
      <c r="V26" t="str">
        <f ca="1">IFERROR(VLOOKUP(Master_Agent_HQsGlobal[[#This Row],[Question]],Master_Agent_HQs[#All],13,FALSE),VLOOKUP(Master_Agent_HQsGlobal[[#This Row],[Question]],INDIRECT("Master_Agent_HQs"&amp;'Gen Info'!$E$4&amp;"[#All]"),13,FALSE))</f>
        <v>Supervisión</v>
      </c>
      <c r="W26" t="str" cm="1">
        <f t="array" ref="W26">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está monitoreando las transacciones para todos los productos de Western Union de manera regular.</v>
      </c>
      <c r="X26" t="s">
        <v>2609</v>
      </c>
      <c r="AA26" s="143"/>
      <c r="AB26" t="str" cm="1">
        <f t="array" ref="AB26">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requiere acción. El agente ha sido debidamente entrenado en este tema durante la revisión.</v>
      </c>
      <c r="AC26" t="s">
        <v>2224</v>
      </c>
      <c r="AD26" t="s">
        <v>2610</v>
      </c>
      <c r="AE26" t="s">
        <v>2262</v>
      </c>
      <c r="AF26" t="s">
        <v>2611</v>
      </c>
      <c r="AG26" t="s">
        <v>2333</v>
      </c>
      <c r="AH26" t="s">
        <v>2612</v>
      </c>
      <c r="AI26" t="s">
        <v>2230</v>
      </c>
      <c r="AJ26" t="s">
        <v>2195</v>
      </c>
      <c r="AK26" t="s">
        <v>920</v>
      </c>
      <c r="AO26" t="str">
        <f>IndependentGlobal[[#This Row],[Question]]&amp;"."&amp;IndependentGlobal[[#This Row],[Action Type]]&amp;IndependentGlobal[[#This Row],[Country]]</f>
        <v>GS11.GQ8.Suspension</v>
      </c>
      <c r="AP26" t="str">
        <f ca="1">IFERROR(VLOOKUP(IndependentGlobal[[#This Row],[Question]],Independent[#All],13,FALSE),VLOOKUP(IndependentGlobal[[#This Row],[Question]],INDIRECT("Independent_"&amp;'Gen Info'!$E$4&amp;"[#All]"),13,FALSE))</f>
        <v>Requisitos de KYC</v>
      </c>
      <c r="AQ26" t="str" cm="1">
        <f t="array" ref="AQ26">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Los operadores conocen los procedimientos de ECDD y LPMT pero no los siguen.</v>
      </c>
      <c r="AR26" t="s">
        <v>2613</v>
      </c>
      <c r="AV26" t="str" cm="1">
        <f t="array" ref="AV26">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confirmación donde se evidencie que todos los empleados han sido entrenados en este tema (Suspensión). Asegúrese que la confirmación incluya el tema cubierto, el nombre de las personas que asistieron a la sesión y la fecha de la capacitación.</v>
      </c>
      <c r="AW26" t="s">
        <v>2514</v>
      </c>
      <c r="AX26" t="s">
        <v>2614</v>
      </c>
      <c r="AY26" t="s">
        <v>2516</v>
      </c>
      <c r="AZ26" t="s">
        <v>2615</v>
      </c>
      <c r="BA26" t="s">
        <v>2518</v>
      </c>
      <c r="BB26" t="s">
        <v>2616</v>
      </c>
      <c r="BC26" t="s">
        <v>2520</v>
      </c>
      <c r="BD26" t="s">
        <v>2222</v>
      </c>
      <c r="BE26" t="s">
        <v>1298</v>
      </c>
      <c r="BH26" t="str">
        <f>Independent_MO_OnlyGlobal[[#This Row],[Question]]&amp;"."&amp;Independent_MO_OnlyGlobal[[#This Row],[Action Type]]&amp;Independent_MO_OnlyGlobal[[#This Row],[Country]]</f>
        <v>GS7.GQ1.Response_Required</v>
      </c>
      <c r="BI26">
        <f ca="1">IFERROR(VLOOKUP(Independent_MO_OnlyGlobal[[#This Row],[Question]],Independent_MO_Only[#All],13,FALSE),VLOOKUP(Independent_MO_OnlyGlobal[[#This Row],[Question]],INDIRECT("Independent_MO_Only"&amp;'Gen Info'!$E$4&amp;"[#All]"),13,FALSE))</f>
        <v>0</v>
      </c>
      <c r="BJ26" cm="1">
        <f t="array" ref="BJ26">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26" t="s">
        <v>2617</v>
      </c>
      <c r="BO26" cm="1">
        <f t="array" ref="BO26">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26" t="s">
        <v>2618</v>
      </c>
      <c r="BW26" t="s">
        <v>2215</v>
      </c>
      <c r="BX26" t="s">
        <v>906</v>
      </c>
      <c r="CB26" s="101" t="str">
        <f>Network_MO_OnlyGlobal[[#This Row],[Question]]&amp;"."&amp;Network_MO_OnlyGlobal[[#This Row],[Action Type]]&amp;Network_MO_OnlyGlobal[[#This Row],[Country]]</f>
        <v>GS5.GQ4.Response_Required</v>
      </c>
      <c r="CC26" s="101" t="e">
        <f ca="1">IFERROR(VLOOKUP(Network_MO_OnlyGlobal[[#This Row],[Question]],#REF!,13,FALSE),VLOOKUP(Network_MO_OnlyGlobal[[#This Row],[Question]],INDIRECT("Network_Agent_"&amp;'Gen Info'!$E$4&amp;"[#All]"),13,FALSE))</f>
        <v>#REF!</v>
      </c>
      <c r="CD26" s="101" cm="1">
        <f t="array" aca="1" ref="CD26"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26" s="101" t="s">
        <v>2605</v>
      </c>
      <c r="CF26" s="101"/>
      <c r="CG26" s="101"/>
      <c r="CH26" s="101"/>
      <c r="CI26" s="101" cm="1">
        <f t="array" ref="CI26">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26" s="101" t="s">
        <v>2388</v>
      </c>
      <c r="CK26" s="101"/>
      <c r="CL26" s="101"/>
      <c r="CM26" s="101"/>
      <c r="CN26" s="101"/>
      <c r="CO26" s="101"/>
      <c r="CP26" s="101"/>
      <c r="CQ26" s="101" t="s">
        <v>2215</v>
      </c>
      <c r="CR26" s="101" t="s">
        <v>829</v>
      </c>
      <c r="CS26" s="101"/>
      <c r="CV26" s="101" t="str">
        <f>HQ_MO_OnlyGlobal[[#This Row],[Question]]&amp;"."&amp;HQ_MO_OnlyGlobal[[#This Row],[Action Type]]&amp;HQ_MO_OnlyGlobal[[#This Row],[Country]]</f>
        <v>GS5.GQ6.Response_Required</v>
      </c>
      <c r="CW26" s="101" t="str">
        <f ca="1">IFERROR(VLOOKUP(HQ_MO_OnlyGlobal[[#This Row],[Question]],INDIRECT('Gen Info'!$D$4&amp;"[#All]"),13,FALSE),VLOOKUP(HQ_MO_OnlyGlobal[[#This Row],[Question]],INDIRECT('Gen Info'!$D$4&amp;"_"&amp;'Gen Info'!$E$4&amp;"[#All]"),13,FALSE))</f>
        <v>Requisitos de KYC</v>
      </c>
      <c r="CX26" s="101" cm="1">
        <f t="array" aca="1" ref="CX26" ca="1">IFERROR(_xlfn.IFS(LocationInfo[Select Letter Language]="English",_xlfn.IFS(VLOOKUP(HQ_MO_OnlyGlobal[[#This Row],[Question]],CallTb[[#All],[iWatch '#]:[Finding Type]],6,FALSE)="","",VLOOKUP(HQ_MO_OnlyGlobal[[#This Row],[Question]],CallTb[[#All],[iWatch '#]:[Finding Type]],6,FALSE)="No_AML",HQ_MO_OnlyGlobal[[#This Row],[Finding English AML]],VLOOKUP(HQ_MO_OnlyGlobal[[#This Row],[Question]],CallTb[[#All],[iWatch '#]:[Finding Type]],6,FALSE)="No",HQ_MO_OnlyGlobal[[#This Row],[Finding English]]),LocationInfo[Select Letter Language]="Spanish",HQ_MO_OnlyGlobal[[#This Row],[Finding Spanish]],LocationInfo[Select Letter Language]="French",HQ_MO_OnlyGlobal[[#This Row],[Finding French]],LocationInfo[Select Letter Language]="Portuguese",HQ_MO_OnlyGlobal[[#This Row],[Finding Portuguese]]),"")</f>
        <v>0</v>
      </c>
      <c r="CY26" s="101" t="s">
        <v>2619</v>
      </c>
      <c r="CZ26" s="101"/>
      <c r="DA26" s="101"/>
      <c r="DB26" s="101"/>
      <c r="DC26" s="101" cm="1">
        <f t="array" ref="DC26">IFERROR(_xlfn.IFS(LocationInfo[Select Letter Language]="English",HQ_MO_OnlyGlobal[[#This Row],[Action Required English]],LocationInfo[Select Letter Language]="Spanish",HQ_MO_OnlyGlobal[[#This Row],[Action Required Spanish]],LocationInfo[Select Letter Language]="French",HQ_MO_OnlyGlobal[[#This Row],[Action Required French]],LocationInfo[Select Letter Language]="Portuguese",HQ_MO_OnlyGlobal[[#This Row],[Action Required Portuguese]]),"")</f>
        <v>0</v>
      </c>
      <c r="DD26" s="101" t="s">
        <v>2620</v>
      </c>
      <c r="DE26" s="101"/>
      <c r="DF26" s="101"/>
      <c r="DG26" s="101"/>
      <c r="DH26" s="101"/>
      <c r="DI26" s="101"/>
      <c r="DJ26" s="101"/>
      <c r="DK26" s="101" t="s">
        <v>2215</v>
      </c>
      <c r="DL26" s="101" t="s">
        <v>849</v>
      </c>
      <c r="DM26" s="101"/>
    </row>
    <row r="27" spans="2:117" hidden="1">
      <c r="B27" s="353" t="str">
        <f>Network_AgentGlobal[[#This Row],[Question]]&amp;"."&amp;Network_AgentGlobal[[#This Row],[Action Type]]&amp;Network_AgentGlobal[[#This Row],[Country]]</f>
        <v>GS3.GQ1.Resolved_Onsite</v>
      </c>
      <c r="C27" s="353" t="str">
        <f ca="1">IFERROR(VLOOKUP(Network_AgentGlobal[[#This Row],[Question]],INDIRECT('Gen Info'!$D$4&amp;"[#All]"),13,FALSE),VLOOKUP(Network_AgentGlobal[[#This Row],[Question]],INDIRECT('Gen Info'!$D$4&amp;"_"&amp;'Gen Info'!$E$4&amp;"[#All]"),13,FALSE))</f>
        <v>Disponibilidad de la Localidad</v>
      </c>
      <c r="D27" s="353" t="str" cm="1">
        <f t="array" aca="1" ref="D27"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El nombre, dirección y número telefónico de la localidad no coinciden con los sistemas de Western Union.</v>
      </c>
      <c r="E27" s="353" t="s">
        <v>2621</v>
      </c>
      <c r="F27" s="353"/>
      <c r="G27" s="353"/>
      <c r="H27" s="353"/>
      <c r="I27" s="353" t="str" cm="1">
        <f t="array" ref="I27">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No se requiere acción. Se ha solicitado al equipo correspondiente la actualización de la información.</v>
      </c>
      <c r="J27" s="353" t="s">
        <v>2255</v>
      </c>
      <c r="K27" s="353" t="s">
        <v>2622</v>
      </c>
      <c r="L27" s="353" t="s">
        <v>2309</v>
      </c>
      <c r="M27" s="353" t="s">
        <v>2623</v>
      </c>
      <c r="N27" s="353" t="s">
        <v>2311</v>
      </c>
      <c r="O27" s="353" t="s">
        <v>2624</v>
      </c>
      <c r="P27" s="353" t="s">
        <v>2313</v>
      </c>
      <c r="Q27" s="353" t="s">
        <v>2195</v>
      </c>
      <c r="R27" s="353" t="s">
        <v>661</v>
      </c>
      <c r="S27" s="353"/>
      <c r="U27" t="str">
        <f>Master_Agent_HQsGlobal[[#This Row],[Question]]&amp;"."&amp;Master_Agent_HQsGlobal[[#This Row],[Action Type]]&amp;Master_Agent_HQsGlobal[[#This Row],[Country]]</f>
        <v>GS7.GQ5.Resolved_Onsite</v>
      </c>
      <c r="V27" t="str">
        <f ca="1">IFERROR(VLOOKUP(Master_Agent_HQsGlobal[[#This Row],[Question]],Master_Agent_HQs[#All],13,FALSE),VLOOKUP(Master_Agent_HQsGlobal[[#This Row],[Question]],INDIRECT("Master_Agent_HQs"&amp;'Gen Info'!$E$4&amp;"[#All]"),13,FALSE))</f>
        <v>Supervisión</v>
      </c>
      <c r="W27" t="str" cm="1">
        <f t="array" ref="W27">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No se están monitoreando las transferencias de forma efectiva.</v>
      </c>
      <c r="X27" t="s">
        <v>2625</v>
      </c>
      <c r="AA27" s="143"/>
      <c r="AB27" t="str" cm="1">
        <f t="array" ref="AB27">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requiere acción. El agente ha sido debidamente entrenado en este tema durante la revisión.</v>
      </c>
      <c r="AC27" t="s">
        <v>2224</v>
      </c>
      <c r="AD27" t="s">
        <v>2626</v>
      </c>
      <c r="AE27" t="s">
        <v>2262</v>
      </c>
      <c r="AF27" t="s">
        <v>2627</v>
      </c>
      <c r="AG27" t="s">
        <v>2333</v>
      </c>
      <c r="AH27" t="s">
        <v>2628</v>
      </c>
      <c r="AI27" t="s">
        <v>2230</v>
      </c>
      <c r="AJ27" t="s">
        <v>2195</v>
      </c>
      <c r="AK27" t="s">
        <v>924</v>
      </c>
      <c r="AO27" t="str">
        <f>IndependentGlobal[[#This Row],[Question]]&amp;"."&amp;IndependentGlobal[[#This Row],[Action Type]]&amp;IndependentGlobal[[#This Row],[Country]]</f>
        <v>GS11.RQ1.SuspensionCanada</v>
      </c>
      <c r="AP27" t="e">
        <f ca="1">IFERROR(VLOOKUP(IndependentGlobal[[#This Row],[Question]],Independent[#All],13,FALSE),VLOOKUP(IndependentGlobal[[#This Row],[Question]],INDIRECT("Independent_"&amp;'Gen Info'!$E$4&amp;"[#All]"),13,FALSE))</f>
        <v>#REF!</v>
      </c>
      <c r="AQ27" t="str" cm="1">
        <f t="array" ref="AQ27">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pudo demostrar ni proporcionar evidencia de la depuración requerida del nombre del cliente en las listas de sanciones apropiadas.</v>
      </c>
      <c r="AR27" t="s">
        <v>2629</v>
      </c>
      <c r="AV27" t="str" cm="1">
        <f t="array" ref="AV27">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Se aplica suspensión inmediata a los servicios de Money Order a través del Gerente de Cumplimiento de Western Union (Suspensión).</v>
      </c>
      <c r="AW27" t="s">
        <v>2630</v>
      </c>
      <c r="AX27" t="s">
        <v>2631</v>
      </c>
      <c r="AY27" t="s">
        <v>2632</v>
      </c>
      <c r="AZ27" t="s">
        <v>2633</v>
      </c>
      <c r="BA27" t="s">
        <v>2634</v>
      </c>
      <c r="BB27" t="s">
        <v>2635</v>
      </c>
      <c r="BC27" t="s">
        <v>2636</v>
      </c>
      <c r="BD27" t="s">
        <v>2222</v>
      </c>
      <c r="BE27" t="s">
        <v>1290</v>
      </c>
      <c r="BF27" t="s">
        <v>2281</v>
      </c>
      <c r="BH27" t="str">
        <f>Independent_MO_OnlyGlobal[[#This Row],[Question]]&amp;"."&amp;Independent_MO_OnlyGlobal[[#This Row],[Action Type]]&amp;Independent_MO_OnlyGlobal[[#This Row],[Country]]</f>
        <v>GS7.GQ2.Response_Required</v>
      </c>
      <c r="BI27">
        <f ca="1">IFERROR(VLOOKUP(Independent_MO_OnlyGlobal[[#This Row],[Question]],Independent_MO_Only[#All],13,FALSE),VLOOKUP(Independent_MO_OnlyGlobal[[#This Row],[Question]],INDIRECT("Independent_MO_Only"&amp;'Gen Info'!$E$4&amp;"[#All]"),13,FALSE))</f>
        <v>0</v>
      </c>
      <c r="BJ27" cm="1">
        <f t="array" ref="BJ27">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27" t="s">
        <v>2637</v>
      </c>
      <c r="BO27" cm="1">
        <f t="array" ref="BO27">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27" t="s">
        <v>2638</v>
      </c>
      <c r="BW27" t="s">
        <v>2215</v>
      </c>
      <c r="BX27" t="s">
        <v>914</v>
      </c>
      <c r="CB27" s="101" t="str">
        <f>Network_MO_OnlyGlobal[[#This Row],[Question]]&amp;"."&amp;Network_MO_OnlyGlobal[[#This Row],[Action Type]]&amp;Network_MO_OnlyGlobal[[#This Row],[Country]]</f>
        <v>GS5.GQ4.Suspension</v>
      </c>
      <c r="CC27" s="101" t="e">
        <f ca="1">IFERROR(VLOOKUP(Network_MO_OnlyGlobal[[#This Row],[Question]],#REF!,13,FALSE),VLOOKUP(Network_MO_OnlyGlobal[[#This Row],[Question]],INDIRECT("Network_Agent_"&amp;'Gen Info'!$E$4&amp;"[#All]"),13,FALSE))</f>
        <v>#REF!</v>
      </c>
      <c r="CD27" s="101" cm="1">
        <f t="array" aca="1" ref="CD27"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27" s="101" t="s">
        <v>2639</v>
      </c>
      <c r="CF27" s="101"/>
      <c r="CG27" s="101"/>
      <c r="CH27" s="101"/>
      <c r="CI27" s="101" cm="1">
        <f t="array" ref="CI27">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27" s="101" t="s">
        <v>2640</v>
      </c>
      <c r="CK27" s="101"/>
      <c r="CL27" s="101"/>
      <c r="CM27" s="101"/>
      <c r="CN27" s="101"/>
      <c r="CO27" s="101"/>
      <c r="CP27" s="101"/>
      <c r="CQ27" s="101" t="s">
        <v>2222</v>
      </c>
      <c r="CR27" s="101" t="s">
        <v>829</v>
      </c>
      <c r="CS27" s="101"/>
      <c r="CV27" s="101" t="str">
        <f>HQ_MO_OnlyGlobal[[#This Row],[Question]]&amp;"."&amp;HQ_MO_OnlyGlobal[[#This Row],[Action Type]]&amp;HQ_MO_OnlyGlobal[[#This Row],[Country]]</f>
        <v>GS6.GQ1.Response_Required</v>
      </c>
      <c r="CW27" s="101" t="str">
        <f ca="1">IFERROR(VLOOKUP(HQ_MO_OnlyGlobal[[#This Row],[Question]],INDIRECT('Gen Info'!$D$4&amp;"[#All]"),13,FALSE),VLOOKUP(HQ_MO_OnlyGlobal[[#This Row],[Question]],INDIRECT('Gen Info'!$D$4&amp;"_"&amp;'Gen Info'!$E$4&amp;"[#All]"),13,FALSE))</f>
        <v>Protección del Consumidor</v>
      </c>
      <c r="CX27" s="101" cm="1">
        <f t="array" aca="1" ref="CX27" ca="1">IFERROR(_xlfn.IFS(LocationInfo[Select Letter Language]="English",_xlfn.IFS(VLOOKUP(HQ_MO_OnlyGlobal[[#This Row],[Question]],CallTb[[#All],[iWatch '#]:[Finding Type]],6,FALSE)="","",VLOOKUP(HQ_MO_OnlyGlobal[[#This Row],[Question]],CallTb[[#All],[iWatch '#]:[Finding Type]],6,FALSE)="No_AML",HQ_MO_OnlyGlobal[[#This Row],[Finding English AML]],VLOOKUP(HQ_MO_OnlyGlobal[[#This Row],[Question]],CallTb[[#All],[iWatch '#]:[Finding Type]],6,FALSE)="No",HQ_MO_OnlyGlobal[[#This Row],[Finding English]]),LocationInfo[Select Letter Language]="Spanish",HQ_MO_OnlyGlobal[[#This Row],[Finding Spanish]],LocationInfo[Select Letter Language]="French",HQ_MO_OnlyGlobal[[#This Row],[Finding French]],LocationInfo[Select Letter Language]="Portuguese",HQ_MO_OnlyGlobal[[#This Row],[Finding Portuguese]]),"")</f>
        <v>0</v>
      </c>
      <c r="CY27" s="101" t="s">
        <v>2637</v>
      </c>
      <c r="CZ27" s="101"/>
      <c r="DA27" s="101"/>
      <c r="DB27" s="101"/>
      <c r="DC27" s="101" cm="1">
        <f t="array" ref="DC27">IFERROR(_xlfn.IFS(LocationInfo[Select Letter Language]="English",HQ_MO_OnlyGlobal[[#This Row],[Action Required English]],LocationInfo[Select Letter Language]="Spanish",HQ_MO_OnlyGlobal[[#This Row],[Action Required Spanish]],LocationInfo[Select Letter Language]="French",HQ_MO_OnlyGlobal[[#This Row],[Action Required French]],LocationInfo[Select Letter Language]="Portuguese",HQ_MO_OnlyGlobal[[#This Row],[Action Required Portuguese]]),"")</f>
        <v>0</v>
      </c>
      <c r="DD27" s="101" t="s">
        <v>2638</v>
      </c>
      <c r="DE27" s="101"/>
      <c r="DF27" s="101"/>
      <c r="DG27" s="101"/>
      <c r="DH27" s="101"/>
      <c r="DI27" s="101"/>
      <c r="DJ27" s="101"/>
      <c r="DK27" s="101" t="s">
        <v>2215</v>
      </c>
      <c r="DL27" s="101" t="s">
        <v>881</v>
      </c>
      <c r="DM27" s="101"/>
    </row>
    <row r="28" spans="2:117" hidden="1">
      <c r="B28" s="353" t="str">
        <f>Network_AgentGlobal[[#This Row],[Question]]&amp;"."&amp;Network_AgentGlobal[[#This Row],[Action Type]]&amp;Network_AgentGlobal[[#This Row],[Country]]</f>
        <v>GS3.GQ2.Resolved_OnsiteIndia_FTF</v>
      </c>
      <c r="C28" s="353" t="str">
        <f ca="1">IFERROR(VLOOKUP(Network_AgentGlobal[[#This Row],[Question]],INDIRECT('Gen Info'!$D$4&amp;"[#All]"),13,FALSE),VLOOKUP(Network_AgentGlobal[[#This Row],[Question]],INDIRECT('Gen Info'!$D$4&amp;"_"&amp;'Gen Info'!$E$4&amp;"[#All]"),13,FALSE))</f>
        <v>Disponibilidad de la Localidad</v>
      </c>
      <c r="D28" s="353" cm="1">
        <f t="array" aca="1" ref="D28"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28" s="353" t="s">
        <v>2641</v>
      </c>
      <c r="F28" s="353"/>
      <c r="G28" s="353"/>
      <c r="H28" s="353"/>
      <c r="I28" s="353" cm="1">
        <f t="array" ref="I28">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28" s="353" t="s">
        <v>2642</v>
      </c>
      <c r="K28" s="353"/>
      <c r="L28" s="353"/>
      <c r="M28" s="353"/>
      <c r="N28" s="353"/>
      <c r="O28" s="353"/>
      <c r="P28" s="353"/>
      <c r="Q28" s="353" t="s">
        <v>2195</v>
      </c>
      <c r="R28" s="353" t="s">
        <v>677</v>
      </c>
      <c r="S28" s="353" t="s">
        <v>2196</v>
      </c>
      <c r="U28" t="str">
        <f>Master_Agent_HQsGlobal[[#This Row],[Question]]&amp;"."&amp;Master_Agent_HQsGlobal[[#This Row],[Action Type]]&amp;Master_Agent_HQsGlobal[[#This Row],[Country]]</f>
        <v>GS7.GQ6.Resolved_Onsite</v>
      </c>
      <c r="V28" t="str">
        <f ca="1">IFERROR(VLOOKUP(Master_Agent_HQsGlobal[[#This Row],[Question]],Master_Agent_HQs[#All],13,FALSE),VLOOKUP(Master_Agent_HQsGlobal[[#This Row],[Question]],INDIRECT("Master_Agent_HQs"&amp;'Gen Info'!$E$4&amp;"[#All]"),13,FALSE))</f>
        <v>Supervisión</v>
      </c>
      <c r="W28" t="str" cm="1">
        <f t="array" ref="W28">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proceso de monitoreo no está debidamente documentado.</v>
      </c>
      <c r="X28" t="s">
        <v>2619</v>
      </c>
      <c r="AA28" s="143"/>
      <c r="AB28" t="str" cm="1">
        <f t="array" ref="AB28">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requiere acción. El agente ha sido debidamente entrenado en este tema durante la revisión.</v>
      </c>
      <c r="AC28" t="s">
        <v>2224</v>
      </c>
      <c r="AD28" t="s">
        <v>2643</v>
      </c>
      <c r="AE28" t="s">
        <v>2262</v>
      </c>
      <c r="AF28" t="s">
        <v>2644</v>
      </c>
      <c r="AG28" t="s">
        <v>2333</v>
      </c>
      <c r="AH28" t="s">
        <v>2645</v>
      </c>
      <c r="AI28" t="s">
        <v>2230</v>
      </c>
      <c r="AJ28" t="s">
        <v>2195</v>
      </c>
      <c r="AK28" t="s">
        <v>926</v>
      </c>
      <c r="AO28" t="str">
        <f>IndependentGlobal[[#This Row],[Question]]&amp;"."&amp;IndependentGlobal[[#This Row],[Action Type]]&amp;IndependentGlobal[[#This Row],[Country]]</f>
        <v>GS11.RQ2.SuspensionCanada</v>
      </c>
      <c r="AP28" t="e">
        <f ca="1">IFERROR(VLOOKUP(IndependentGlobal[[#This Row],[Question]],Independent[#All],13,FALSE),VLOOKUP(IndependentGlobal[[#This Row],[Question]],INDIRECT("Independent_"&amp;'Gen Info'!$E$4&amp;"[#All]"),13,FALSE))</f>
        <v>#REF!</v>
      </c>
      <c r="AQ28" t="str" cm="1">
        <f t="array" ref="AQ28">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recopila la identificación suficiente del cliente para realizar el escaneo de nombres.</v>
      </c>
      <c r="AR28" t="s">
        <v>2646</v>
      </c>
      <c r="AV28" t="str" cm="1">
        <f t="array" ref="AV28">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Se aplica suspensión inmediata a los servicios de Money Order a través del Gerente de Cumplimiento de Western Union (Suspensión).</v>
      </c>
      <c r="AW28" t="s">
        <v>2630</v>
      </c>
      <c r="AX28" t="s">
        <v>2647</v>
      </c>
      <c r="AY28" t="s">
        <v>2632</v>
      </c>
      <c r="AZ28" t="s">
        <v>2648</v>
      </c>
      <c r="BA28" t="s">
        <v>2634</v>
      </c>
      <c r="BB28" t="s">
        <v>2649</v>
      </c>
      <c r="BC28" t="s">
        <v>2636</v>
      </c>
      <c r="BD28" t="s">
        <v>2222</v>
      </c>
      <c r="BE28" t="s">
        <v>2650</v>
      </c>
      <c r="BF28" t="s">
        <v>2281</v>
      </c>
      <c r="BH28" t="str">
        <f>Independent_MO_OnlyGlobal[[#This Row],[Question]]&amp;"."&amp;Independent_MO_OnlyGlobal[[#This Row],[Action Type]]&amp;Independent_MO_OnlyGlobal[[#This Row],[Country]]</f>
        <v>GS8.RQ1.Response_Required</v>
      </c>
      <c r="BI28" t="e">
        <f ca="1">IFERROR(VLOOKUP(Independent_MO_OnlyGlobal[[#This Row],[Question]],Independent_MO_Only[#All],13,FALSE),VLOOKUP(Independent_MO_OnlyGlobal[[#This Row],[Question]],INDIRECT("Independent_MO_Only"&amp;'Gen Info'!$E$4&amp;"[#All]"),13,FALSE))</f>
        <v>#REF!</v>
      </c>
      <c r="BJ28" cm="1">
        <f t="array" ref="BJ28">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28" t="s">
        <v>2603</v>
      </c>
      <c r="BO28" cm="1">
        <f t="array" ref="BO28">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28" t="s">
        <v>2651</v>
      </c>
      <c r="BW28" t="s">
        <v>2215</v>
      </c>
      <c r="BX28" t="s">
        <v>731</v>
      </c>
      <c r="CB28" s="101" t="str">
        <f>Network_MO_OnlyGlobal[[#This Row],[Question]]&amp;"."&amp;Network_MO_OnlyGlobal[[#This Row],[Action Type]]&amp;Network_MO_OnlyGlobal[[#This Row],[Country]]</f>
        <v>GS6.GQ1.Resolved_Onsite</v>
      </c>
      <c r="CC28" s="101" t="e">
        <f ca="1">IFERROR(VLOOKUP(Network_MO_OnlyGlobal[[#This Row],[Question]],#REF!,13,FALSE),VLOOKUP(Network_MO_OnlyGlobal[[#This Row],[Question]],INDIRECT("Network_Agent_"&amp;'Gen Info'!$E$4&amp;"[#All]"),13,FALSE))</f>
        <v>#REF!</v>
      </c>
      <c r="CD28" s="101" cm="1">
        <f t="array" aca="1" ref="CD28"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28" s="101" t="s">
        <v>2652</v>
      </c>
      <c r="CF28" s="101"/>
      <c r="CG28" s="101"/>
      <c r="CH28" s="101"/>
      <c r="CI28" s="101" cm="1">
        <f t="array" ref="CI28">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28" s="353" t="s">
        <v>2362</v>
      </c>
      <c r="CK28" s="101"/>
      <c r="CL28" s="101"/>
      <c r="CM28" s="101"/>
      <c r="CN28" s="101"/>
      <c r="CO28" s="101"/>
      <c r="CP28" s="101"/>
      <c r="CQ28" s="101" t="s">
        <v>2195</v>
      </c>
      <c r="CR28" s="101" t="s">
        <v>881</v>
      </c>
      <c r="CS28" s="353"/>
      <c r="CV28" s="101" t="str">
        <f>HQ_MO_OnlyGlobal[[#This Row],[Question]]&amp;"."&amp;HQ_MO_OnlyGlobal[[#This Row],[Action Type]]&amp;HQ_MO_OnlyGlobal[[#This Row],[Country]]</f>
        <v>GS6.GQ2.Response_Required</v>
      </c>
      <c r="CW28" s="101" t="str">
        <f ca="1">IFERROR(VLOOKUP(HQ_MO_OnlyGlobal[[#This Row],[Question]],INDIRECT('Gen Info'!$D$4&amp;"[#All]"),13,FALSE),VLOOKUP(HQ_MO_OnlyGlobal[[#This Row],[Question]],INDIRECT('Gen Info'!$D$4&amp;"_"&amp;'Gen Info'!$E$4&amp;"[#All]"),13,FALSE))</f>
        <v>Protección del Consumidor</v>
      </c>
      <c r="CX28" s="101" cm="1">
        <f t="array" aca="1" ref="CX28" ca="1">IFERROR(_xlfn.IFS(LocationInfo[Select Letter Language]="English",_xlfn.IFS(VLOOKUP(HQ_MO_OnlyGlobal[[#This Row],[Question]],CallTb[[#All],[iWatch '#]:[Finding Type]],6,FALSE)="","",VLOOKUP(HQ_MO_OnlyGlobal[[#This Row],[Question]],CallTb[[#All],[iWatch '#]:[Finding Type]],6,FALSE)="No_AML",HQ_MO_OnlyGlobal[[#This Row],[Finding English AML]],VLOOKUP(HQ_MO_OnlyGlobal[[#This Row],[Question]],CallTb[[#All],[iWatch '#]:[Finding Type]],6,FALSE)="No",HQ_MO_OnlyGlobal[[#This Row],[Finding English]]),LocationInfo[Select Letter Language]="Spanish",HQ_MO_OnlyGlobal[[#This Row],[Finding Spanish]],LocationInfo[Select Letter Language]="French",HQ_MO_OnlyGlobal[[#This Row],[Finding French]],LocationInfo[Select Letter Language]="Portuguese",HQ_MO_OnlyGlobal[[#This Row],[Finding Portuguese]]),"")</f>
        <v>0</v>
      </c>
      <c r="CY28" s="101" t="s">
        <v>2653</v>
      </c>
      <c r="CZ28" s="101"/>
      <c r="DA28" s="101"/>
      <c r="DB28" s="101"/>
      <c r="DC28" s="101" cm="1">
        <f t="array" ref="DC28">IFERROR(_xlfn.IFS(LocationInfo[Select Letter Language]="English",HQ_MO_OnlyGlobal[[#This Row],[Action Required English]],LocationInfo[Select Letter Language]="Spanish",HQ_MO_OnlyGlobal[[#This Row],[Action Required Spanish]],LocationInfo[Select Letter Language]="French",HQ_MO_OnlyGlobal[[#This Row],[Action Required French]],LocationInfo[Select Letter Language]="Portuguese",HQ_MO_OnlyGlobal[[#This Row],[Action Required Portuguese]]),"")</f>
        <v>0</v>
      </c>
      <c r="DD28" s="101" t="s">
        <v>2654</v>
      </c>
      <c r="DE28" s="101"/>
      <c r="DF28" s="101"/>
      <c r="DG28" s="101"/>
      <c r="DH28" s="101"/>
      <c r="DI28" s="101"/>
      <c r="DJ28" s="101"/>
      <c r="DK28" s="101" t="s">
        <v>2215</v>
      </c>
      <c r="DL28" s="101" t="s">
        <v>893</v>
      </c>
      <c r="DM28" s="101"/>
    </row>
    <row r="29" spans="2:117" hidden="1">
      <c r="B29" s="353" t="str">
        <f>Network_AgentGlobal[[#This Row],[Question]]&amp;"."&amp;Network_AgentGlobal[[#This Row],[Action Type]]&amp;Network_AgentGlobal[[#This Row],[Country]]</f>
        <v>GS3.GQ2.Response_RequiredIndia_FTF</v>
      </c>
      <c r="C29" s="353" t="str">
        <f ca="1">IFERROR(VLOOKUP(Network_AgentGlobal[[#This Row],[Question]],INDIRECT('Gen Info'!$D$4&amp;"[#All]"),13,FALSE),VLOOKUP(Network_AgentGlobal[[#This Row],[Question]],INDIRECT('Gen Info'!$D$4&amp;"_"&amp;'Gen Info'!$E$4&amp;"[#All]"),13,FALSE))</f>
        <v>Disponibilidad de la Localidad</v>
      </c>
      <c r="D29" s="353" cm="1">
        <f t="array" aca="1" ref="D29"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29" s="353" t="s">
        <v>2641</v>
      </c>
      <c r="F29" s="353"/>
      <c r="G29" s="353"/>
      <c r="H29" s="353"/>
      <c r="I29" s="353" cm="1">
        <f t="array" ref="I29">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29" s="353" t="s">
        <v>2482</v>
      </c>
      <c r="K29" s="353"/>
      <c r="L29" s="353"/>
      <c r="M29" s="353"/>
      <c r="N29" s="353"/>
      <c r="O29" s="353"/>
      <c r="P29" s="353"/>
      <c r="Q29" s="353" t="s">
        <v>2215</v>
      </c>
      <c r="R29" s="353" t="s">
        <v>677</v>
      </c>
      <c r="S29" s="353" t="s">
        <v>2196</v>
      </c>
      <c r="U29" t="str">
        <f>Master_Agent_HQsGlobal[[#This Row],[Question]]&amp;"."&amp;Master_Agent_HQsGlobal[[#This Row],[Action Type]]&amp;Master_Agent_HQsGlobal[[#This Row],[Country]]</f>
        <v>GS8.GQ1.Resolved_Onsite</v>
      </c>
      <c r="V29" t="str">
        <f ca="1">IFERROR(VLOOKUP(Master_Agent_HQsGlobal[[#This Row],[Question]],Master_Agent_HQs[#All],13,FALSE),VLOOKUP(Master_Agent_HQsGlobal[[#This Row],[Question]],INDIRECT("Master_Agent_HQs"&amp;'Gen Info'!$E$4&amp;"[#All]"),13,FALSE))</f>
        <v>Revisión Independiente</v>
      </c>
      <c r="W29" t="str" cm="1">
        <f t="array" ref="W29">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tiene un programa de control de calidad que realice revisiones regulares e independientes para la evaluación y control del programa de AML/CFT y Anti-Fraude.</v>
      </c>
      <c r="X29" t="s">
        <v>2205</v>
      </c>
      <c r="AA29" s="143"/>
      <c r="AB29" t="str" cm="1">
        <f t="array" ref="AB29">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requiere acción. Al término de la revisión, recibimos las Políticas y Procedimientos de cumplimiento AML/CFT y Anti-fraude las cuales cuentan con un programa de control de calidad con pruebas periódicas e independientes que evaluan los controles AML/CFT y de anti-fraude. Asimismo, al término de la revisión, recibimos evidencia de una revisión independiente válida, completa y actual.</v>
      </c>
      <c r="AC29" t="s">
        <v>2655</v>
      </c>
      <c r="AD29" t="s">
        <v>2207</v>
      </c>
      <c r="AE29" t="s">
        <v>2656</v>
      </c>
      <c r="AF29" t="s">
        <v>2209</v>
      </c>
      <c r="AG29" t="s">
        <v>2657</v>
      </c>
      <c r="AH29" t="s">
        <v>2211</v>
      </c>
      <c r="AI29" t="s">
        <v>2658</v>
      </c>
      <c r="AJ29" t="s">
        <v>2195</v>
      </c>
      <c r="AK29" t="s">
        <v>932</v>
      </c>
      <c r="AO29" t="str">
        <f>IndependentGlobal[[#This Row],[Question]]&amp;"."&amp;IndependentGlobal[[#This Row],[Action Type]]&amp;IndependentGlobal[[#This Row],[Country]]</f>
        <v>GS11.RQ3.Resolved_OnsiteCanada</v>
      </c>
      <c r="AP29" t="e">
        <f ca="1">IFERROR(VLOOKUP(IndependentGlobal[[#This Row],[Question]],Independent[#All],13,FALSE),VLOOKUP(IndependentGlobal[[#This Row],[Question]],INDIRECT("Independent_"&amp;'Gen Info'!$E$4&amp;"[#All]"),13,FALSE))</f>
        <v>#REF!</v>
      </c>
      <c r="AQ29" t="str" cm="1">
        <f t="array" ref="AQ29">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Los operadores no saben que las transacciones de terceros están prohibidas por la política de Western Union en Quebec.</v>
      </c>
      <c r="AR29" t="s">
        <v>2659</v>
      </c>
      <c r="AV29" t="str" cm="1">
        <f t="array" ref="AV29">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Todos los operadores han sido debidamente entrenados en este tema durante la revisión.</v>
      </c>
      <c r="AW29" t="s">
        <v>2378</v>
      </c>
      <c r="AX29" t="s">
        <v>2660</v>
      </c>
      <c r="AY29" t="s">
        <v>2380</v>
      </c>
      <c r="AZ29" t="s">
        <v>2661</v>
      </c>
      <c r="BA29" t="s">
        <v>2382</v>
      </c>
      <c r="BB29" t="s">
        <v>2662</v>
      </c>
      <c r="BC29" t="s">
        <v>2384</v>
      </c>
      <c r="BD29" t="s">
        <v>2195</v>
      </c>
      <c r="BE29" t="s">
        <v>2663</v>
      </c>
      <c r="BF29" t="s">
        <v>2281</v>
      </c>
      <c r="BH29" t="str">
        <f>Independent_MO_OnlyGlobal[[#This Row],[Question]]&amp;"."&amp;Independent_MO_OnlyGlobal[[#This Row],[Action Type]]&amp;Independent_MO_OnlyGlobal[[#This Row],[Country]]</f>
        <v>GS8.GQ1.Response_Required</v>
      </c>
      <c r="BI29">
        <f ca="1">IFERROR(VLOOKUP(Independent_MO_OnlyGlobal[[#This Row],[Question]],Independent_MO_Only[#All],13,FALSE),VLOOKUP(Independent_MO_OnlyGlobal[[#This Row],[Question]],INDIRECT("Independent_MO_Only"&amp;'Gen Info'!$E$4&amp;"[#All]"),13,FALSE))</f>
        <v>0</v>
      </c>
      <c r="BJ29" cm="1">
        <f t="array" ref="BJ29">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29" t="s">
        <v>2664</v>
      </c>
      <c r="BO29" cm="1">
        <f t="array" ref="BO29">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29" t="s">
        <v>2665</v>
      </c>
      <c r="BW29" t="s">
        <v>2215</v>
      </c>
      <c r="BX29" t="s">
        <v>932</v>
      </c>
      <c r="CB29" s="101" t="str">
        <f>Network_MO_OnlyGlobal[[#This Row],[Question]]&amp;"."&amp;Network_MO_OnlyGlobal[[#This Row],[Action Type]]&amp;Network_MO_OnlyGlobal[[#This Row],[Country]]</f>
        <v>GS6.GQ1.Response_Required</v>
      </c>
      <c r="CC29" s="101" t="e">
        <f ca="1">IFERROR(VLOOKUP(Network_MO_OnlyGlobal[[#This Row],[Question]],#REF!,13,FALSE),VLOOKUP(Network_MO_OnlyGlobal[[#This Row],[Question]],INDIRECT("Network_Agent_"&amp;'Gen Info'!$E$4&amp;"[#All]"),13,FALSE))</f>
        <v>#REF!</v>
      </c>
      <c r="CD29" s="101" cm="1">
        <f t="array" aca="1" ref="CD29"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29" s="101" t="s">
        <v>2652</v>
      </c>
      <c r="CF29" s="101"/>
      <c r="CG29" s="101"/>
      <c r="CH29" s="101"/>
      <c r="CI29" s="101" cm="1">
        <f t="array" ref="CI29">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29" s="101" t="s">
        <v>2388</v>
      </c>
      <c r="CK29" s="101"/>
      <c r="CL29" s="101"/>
      <c r="CM29" s="101"/>
      <c r="CN29" s="101"/>
      <c r="CO29" s="101"/>
      <c r="CP29" s="101"/>
      <c r="CQ29" s="101" t="s">
        <v>2215</v>
      </c>
      <c r="CR29" s="101" t="s">
        <v>881</v>
      </c>
      <c r="CS29" s="101"/>
      <c r="CV29" s="101" t="str">
        <f>HQ_MO_OnlyGlobal[[#This Row],[Question]]&amp;"."&amp;HQ_MO_OnlyGlobal[[#This Row],[Action Type]]&amp;HQ_MO_OnlyGlobal[[#This Row],[Country]]</f>
        <v>GS7.GQ1.Resolved_Onsite</v>
      </c>
      <c r="CW29" s="101">
        <f ca="1">IFERROR(VLOOKUP(HQ_MO_OnlyGlobal[[#This Row],[Question]],INDIRECT('Gen Info'!$D$4&amp;"[#All]"),13,FALSE),VLOOKUP(HQ_MO_OnlyGlobal[[#This Row],[Question]],INDIRECT('Gen Info'!$D$4&amp;"_"&amp;'Gen Info'!$E$4&amp;"[#All]"),13,FALSE))</f>
        <v>0</v>
      </c>
      <c r="CX29" s="101" cm="1">
        <f t="array" aca="1" ref="CX29" ca="1">IFERROR(_xlfn.IFS(LocationInfo[Select Letter Language]="English",_xlfn.IFS(VLOOKUP(HQ_MO_OnlyGlobal[[#This Row],[Question]],CallTb[[#All],[iWatch '#]:[Finding Type]],6,FALSE)="","",VLOOKUP(HQ_MO_OnlyGlobal[[#This Row],[Question]],CallTb[[#All],[iWatch '#]:[Finding Type]],6,FALSE)="No_AML",HQ_MO_OnlyGlobal[[#This Row],[Finding English AML]],VLOOKUP(HQ_MO_OnlyGlobal[[#This Row],[Question]],CallTb[[#All],[iWatch '#]:[Finding Type]],6,FALSE)="No",HQ_MO_OnlyGlobal[[#This Row],[Finding English]]),LocationInfo[Select Letter Language]="Spanish",HQ_MO_OnlyGlobal[[#This Row],[Finding Spanish]],LocationInfo[Select Letter Language]="French",HQ_MO_OnlyGlobal[[#This Row],[Finding French]],LocationInfo[Select Letter Language]="Portuguese",HQ_MO_OnlyGlobal[[#This Row],[Finding Portuguese]]),"")</f>
        <v>0</v>
      </c>
      <c r="CY29" s="101" t="s">
        <v>2666</v>
      </c>
      <c r="CZ29" s="101"/>
      <c r="DA29" s="101"/>
      <c r="DB29" s="101"/>
      <c r="DC29" s="101" cm="1">
        <f t="array" ref="DC29">IFERROR(_xlfn.IFS(LocationInfo[Select Letter Language]="English",HQ_MO_OnlyGlobal[[#This Row],[Action Required English]],LocationInfo[Select Letter Language]="Spanish",HQ_MO_OnlyGlobal[[#This Row],[Action Required Spanish]],LocationInfo[Select Letter Language]="French",HQ_MO_OnlyGlobal[[#This Row],[Action Required French]],LocationInfo[Select Letter Language]="Portuguese",HQ_MO_OnlyGlobal[[#This Row],[Action Required Portuguese]]),"")</f>
        <v>0</v>
      </c>
      <c r="DD29" s="101" t="s">
        <v>2667</v>
      </c>
      <c r="DE29" s="101"/>
      <c r="DF29" s="101"/>
      <c r="DG29" s="101"/>
      <c r="DH29" s="101"/>
      <c r="DI29" s="101"/>
      <c r="DJ29" s="101"/>
      <c r="DK29" s="101" t="s">
        <v>2195</v>
      </c>
      <c r="DL29" s="101" t="s">
        <v>906</v>
      </c>
      <c r="DM29" s="101"/>
    </row>
    <row r="30" spans="2:117" hidden="1">
      <c r="B30" s="353" t="str">
        <f>Network_AgentGlobal[[#This Row],[Question]]&amp;"."&amp;Network_AgentGlobal[[#This Row],[Action Type]]&amp;Network_AgentGlobal[[#This Row],[Country]]</f>
        <v>GS3.GQ2.Response_Required</v>
      </c>
      <c r="C30" s="353" t="str">
        <f ca="1">IFERROR(VLOOKUP(Network_AgentGlobal[[#This Row],[Question]],INDIRECT('Gen Info'!$D$4&amp;"[#All]"),13,FALSE),VLOOKUP(Network_AgentGlobal[[#This Row],[Question]],INDIRECT('Gen Info'!$D$4&amp;"_"&amp;'Gen Info'!$E$4&amp;"[#All]"),13,FALSE))</f>
        <v>Disponibilidad de la Localidad</v>
      </c>
      <c r="D30" s="353" t="str" cm="1">
        <f t="array" aca="1" ref="D30"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Los operadores comparten su información de usuario y contraseña para agilizar el proceso.</v>
      </c>
      <c r="E30" s="353" t="s">
        <v>2298</v>
      </c>
      <c r="F30" s="353"/>
      <c r="G30" s="353"/>
      <c r="H30" s="353"/>
      <c r="I30" s="353" t="str" cm="1">
        <f t="array" ref="I30">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Asegúrese que los operadores utilicen sus propias credenciales para ingresar al sistema de Western Union (nombres de usuario y contraseñas). Western Union dará seguimiento a este ítem para garantizar que cada operador de Western Union utilice las credenciales de forma correcta.</v>
      </c>
      <c r="J30" s="353" t="s">
        <v>2299</v>
      </c>
      <c r="K30" s="353" t="s">
        <v>2668</v>
      </c>
      <c r="L30" s="353" t="s">
        <v>2669</v>
      </c>
      <c r="M30" s="353" t="s">
        <v>2670</v>
      </c>
      <c r="N30" s="353" t="s">
        <v>2671</v>
      </c>
      <c r="O30" s="353" t="s">
        <v>2672</v>
      </c>
      <c r="P30" s="353" t="s">
        <v>2673</v>
      </c>
      <c r="Q30" s="353" t="s">
        <v>2215</v>
      </c>
      <c r="R30" s="353" t="s">
        <v>677</v>
      </c>
      <c r="S30" s="353"/>
      <c r="U30" t="str">
        <f>Master_Agent_HQsGlobal[[#This Row],[Question]]&amp;"."&amp;Master_Agent_HQsGlobal[[#This Row],[Action Type]]&amp;Master_Agent_HQsGlobal[[#This Row],[Country]]</f>
        <v>GS8.GQ2.Resolved_Onsite</v>
      </c>
      <c r="V30" t="str">
        <f ca="1">IFERROR(VLOOKUP(Master_Agent_HQsGlobal[[#This Row],[Question]],Master_Agent_HQs[#All],13,FALSE),VLOOKUP(Master_Agent_HQsGlobal[[#This Row],[Question]],INDIRECT("Master_Agent_HQs"&amp;'Gen Info'!$E$4&amp;"[#All]"),13,FALSE))</f>
        <v>Revisión Independiente</v>
      </c>
      <c r="W30" t="str" cm="1">
        <f t="array" ref="W30">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Las deficiencias encontradas en la Revisión Independiente, no han sido corregidas.</v>
      </c>
      <c r="X30" t="s">
        <v>2290</v>
      </c>
      <c r="AA30" s="143"/>
      <c r="AB30" t="str" cm="1">
        <f t="array" ref="AB30">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requiere acción. El agente brindó un plan de acción para la corrección de las deficiencias encontradas en la Revisión Independiente.</v>
      </c>
      <c r="AC30" t="s">
        <v>2291</v>
      </c>
      <c r="AD30" t="s">
        <v>2292</v>
      </c>
      <c r="AE30" t="s">
        <v>2674</v>
      </c>
      <c r="AF30" t="s">
        <v>2294</v>
      </c>
      <c r="AG30" t="s">
        <v>2295</v>
      </c>
      <c r="AH30" t="s">
        <v>2296</v>
      </c>
      <c r="AI30" t="s">
        <v>2675</v>
      </c>
      <c r="AJ30" t="s">
        <v>2195</v>
      </c>
      <c r="AK30" t="s">
        <v>941</v>
      </c>
      <c r="AO30" t="str">
        <f>IndependentGlobal[[#This Row],[Question]]&amp;"."&amp;IndependentGlobal[[#This Row],[Action Type]]&amp;IndependentGlobal[[#This Row],[Country]]</f>
        <v>GS12.GQ1.Resolved_Onsite</v>
      </c>
      <c r="AP30" t="str">
        <f ca="1">IFERROR(VLOOKUP(IndependentGlobal[[#This Row],[Question]],Independent[#All],13,FALSE),VLOOKUP(IndependentGlobal[[#This Row],[Question]],INDIRECT("Independent_"&amp;'Gen Info'!$E$4&amp;"[#All]"),13,FALSE))</f>
        <v>Protección del Consumidor</v>
      </c>
      <c r="AQ30" t="str" cm="1">
        <f t="array" ref="AQ30">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está cobrando cargos no autorizados por las transferencias.</v>
      </c>
      <c r="AR30" t="s">
        <v>2223</v>
      </c>
      <c r="AV30" t="str" cm="1">
        <f t="array" ref="AV30">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El agente ha sido debidamente entrenado en este tema durante la revisión.</v>
      </c>
      <c r="AW30" t="s">
        <v>2224</v>
      </c>
      <c r="AX30" t="s">
        <v>2225</v>
      </c>
      <c r="AY30" t="s">
        <v>2226</v>
      </c>
      <c r="AZ30" t="s">
        <v>2676</v>
      </c>
      <c r="BA30" t="s">
        <v>2251</v>
      </c>
      <c r="BB30" t="s">
        <v>2677</v>
      </c>
      <c r="BC30" t="s">
        <v>2230</v>
      </c>
      <c r="BD30" t="s">
        <v>2195</v>
      </c>
      <c r="BE30" t="s">
        <v>1425</v>
      </c>
      <c r="BH30" t="str">
        <f>Independent_MO_OnlyGlobal[[#This Row],[Question]]&amp;"."&amp;Independent_MO_OnlyGlobal[[#This Row],[Action Type]]&amp;Independent_MO_OnlyGlobal[[#This Row],[Country]]</f>
        <v>GS8.GQ3.Response_Required</v>
      </c>
      <c r="BI30">
        <f ca="1">IFERROR(VLOOKUP(Independent_MO_OnlyGlobal[[#This Row],[Question]],Independent_MO_Only[#All],13,FALSE),VLOOKUP(Independent_MO_OnlyGlobal[[#This Row],[Question]],INDIRECT("Independent_MO_Only"&amp;'Gen Info'!$E$4&amp;"[#All]"),13,FALSE))</f>
        <v>0</v>
      </c>
      <c r="BJ30" cm="1">
        <f t="array" ref="BJ30">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30" t="s">
        <v>2596</v>
      </c>
      <c r="BO30" cm="1">
        <f t="array" ref="BO30">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30" t="s">
        <v>2597</v>
      </c>
      <c r="BW30" t="s">
        <v>2215</v>
      </c>
      <c r="BX30" t="s">
        <v>950</v>
      </c>
      <c r="CB30" s="101" t="str">
        <f>Network_MO_OnlyGlobal[[#This Row],[Question]]&amp;"."&amp;Network_MO_OnlyGlobal[[#This Row],[Action Type]]&amp;Network_MO_OnlyGlobal[[#This Row],[Country]]</f>
        <v>GS6.GQ2.Response_Required</v>
      </c>
      <c r="CC30" s="101" t="e">
        <f ca="1">IFERROR(VLOOKUP(Network_MO_OnlyGlobal[[#This Row],[Question]],#REF!,13,FALSE),VLOOKUP(Network_MO_OnlyGlobal[[#This Row],[Question]],INDIRECT("Network_Agent_"&amp;'Gen Info'!$E$4&amp;"[#All]"),13,FALSE))</f>
        <v>#REF!</v>
      </c>
      <c r="CD30" s="101" cm="1">
        <f t="array" aca="1" ref="CD30"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30" s="101" t="s">
        <v>2678</v>
      </c>
      <c r="CF30" s="101"/>
      <c r="CG30" s="101"/>
      <c r="CH30" s="101"/>
      <c r="CI30" s="101" cm="1">
        <f t="array" ref="CI30">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30" s="101" t="s">
        <v>2679</v>
      </c>
      <c r="CK30" s="101"/>
      <c r="CL30" s="101"/>
      <c r="CM30" s="101"/>
      <c r="CN30" s="101"/>
      <c r="CO30" s="101"/>
      <c r="CP30" s="101"/>
      <c r="CQ30" s="101" t="s">
        <v>2215</v>
      </c>
      <c r="CR30" s="101" t="s">
        <v>893</v>
      </c>
      <c r="CS30" s="353"/>
      <c r="CV30" s="101" t="str">
        <f>HQ_MO_OnlyGlobal[[#This Row],[Question]]&amp;"."&amp;HQ_MO_OnlyGlobal[[#This Row],[Action Type]]&amp;HQ_MO_OnlyGlobal[[#This Row],[Country]]</f>
        <v>GS7.GQ2.Response_Required</v>
      </c>
      <c r="CW30" s="101">
        <f ca="1">IFERROR(VLOOKUP(HQ_MO_OnlyGlobal[[#This Row],[Question]],INDIRECT('Gen Info'!$D$4&amp;"[#All]"),13,FALSE),VLOOKUP(HQ_MO_OnlyGlobal[[#This Row],[Question]],INDIRECT('Gen Info'!$D$4&amp;"_"&amp;'Gen Info'!$E$4&amp;"[#All]"),13,FALSE))</f>
        <v>0</v>
      </c>
      <c r="CX30" s="101" cm="1">
        <f t="array" aca="1" ref="CX30" ca="1">IFERROR(_xlfn.IFS(LocationInfo[Select Letter Language]="English",_xlfn.IFS(VLOOKUP(HQ_MO_OnlyGlobal[[#This Row],[Question]],CallTb[[#All],[iWatch '#]:[Finding Type]],6,FALSE)="","",VLOOKUP(HQ_MO_OnlyGlobal[[#This Row],[Question]],CallTb[[#All],[iWatch '#]:[Finding Type]],6,FALSE)="No_AML",HQ_MO_OnlyGlobal[[#This Row],[Finding English AML]],VLOOKUP(HQ_MO_OnlyGlobal[[#This Row],[Question]],CallTb[[#All],[iWatch '#]:[Finding Type]],6,FALSE)="No",HQ_MO_OnlyGlobal[[#This Row],[Finding English]]),LocationInfo[Select Letter Language]="Spanish",HQ_MO_OnlyGlobal[[#This Row],[Finding Spanish]],LocationInfo[Select Letter Language]="French",HQ_MO_OnlyGlobal[[#This Row],[Finding French]],LocationInfo[Select Letter Language]="Portuguese",HQ_MO_OnlyGlobal[[#This Row],[Finding Portuguese]]),"")</f>
        <v>0</v>
      </c>
      <c r="CY30" s="101" t="s">
        <v>2680</v>
      </c>
      <c r="CZ30" s="101"/>
      <c r="DA30" s="101"/>
      <c r="DB30" s="101"/>
      <c r="DC30" s="101" cm="1">
        <f t="array" ref="DC30">IFERROR(_xlfn.IFS(LocationInfo[Select Letter Language]="English",HQ_MO_OnlyGlobal[[#This Row],[Action Required English]],LocationInfo[Select Letter Language]="Spanish",HQ_MO_OnlyGlobal[[#This Row],[Action Required Spanish]],LocationInfo[Select Letter Language]="French",HQ_MO_OnlyGlobal[[#This Row],[Action Required French]],LocationInfo[Select Letter Language]="Portuguese",HQ_MO_OnlyGlobal[[#This Row],[Action Required Portuguese]]),"")</f>
        <v>0</v>
      </c>
      <c r="DD30" s="101" t="s">
        <v>2681</v>
      </c>
      <c r="DE30" s="101"/>
      <c r="DF30" s="101"/>
      <c r="DG30" s="101"/>
      <c r="DH30" s="101"/>
      <c r="DI30" s="101"/>
      <c r="DJ30" s="101"/>
      <c r="DK30" s="101" t="s">
        <v>2215</v>
      </c>
      <c r="DL30" s="101" t="s">
        <v>914</v>
      </c>
      <c r="DM30" s="101"/>
    </row>
    <row r="31" spans="2:117" hidden="1">
      <c r="B31" s="353" t="str">
        <f>Network_AgentGlobal[[#This Row],[Question]]&amp;"."&amp;Network_AgentGlobal[[#This Row],[Action Type]]&amp;Network_AgentGlobal[[#This Row],[Country]]</f>
        <v>GS3.GQ2.Suspension</v>
      </c>
      <c r="C31" s="353" t="str">
        <f ca="1">IFERROR(VLOOKUP(Network_AgentGlobal[[#This Row],[Question]],INDIRECT('Gen Info'!$D$4&amp;"[#All]"),13,FALSE),VLOOKUP(Network_AgentGlobal[[#This Row],[Question]],INDIRECT('Gen Info'!$D$4&amp;"_"&amp;'Gen Info'!$E$4&amp;"[#All]"),13,FALSE))</f>
        <v>Disponibilidad de la Localidad</v>
      </c>
      <c r="D31" s="353" t="str" cm="1">
        <f t="array" aca="1" ref="D31"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Los operadores comparten su información de usuario y contraseña para evadir los controles y parámetros de cumplimiento.</v>
      </c>
      <c r="E31" s="353" t="s">
        <v>2682</v>
      </c>
      <c r="F31" s="353"/>
      <c r="G31" s="353"/>
      <c r="H31" s="353"/>
      <c r="I31" s="353" t="str" cm="1">
        <f t="array" ref="I31">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Asegúrese que los operadores utilicen sus propias credenciales para ingresar al sistema de Western Union (nombres de usuario y contraseñas). Western Union dará seguimiento a este ítem para garantizar que cada operador de Western Union utilice las credenciales de forma correcta. Su cuenta será suspendida.</v>
      </c>
      <c r="J31" s="353" t="s">
        <v>2683</v>
      </c>
      <c r="K31" s="353" t="s">
        <v>2684</v>
      </c>
      <c r="L31" s="353" t="s">
        <v>2685</v>
      </c>
      <c r="M31" s="353" t="s">
        <v>2686</v>
      </c>
      <c r="N31" s="353" t="s">
        <v>2687</v>
      </c>
      <c r="O31" s="353" t="s">
        <v>2688</v>
      </c>
      <c r="P31" s="353" t="s">
        <v>2689</v>
      </c>
      <c r="Q31" s="353" t="s">
        <v>2222</v>
      </c>
      <c r="R31" s="353" t="s">
        <v>677</v>
      </c>
      <c r="S31" s="353"/>
      <c r="U31" t="str">
        <f>Master_Agent_HQsGlobal[[#This Row],[Question]]&amp;"."&amp;Master_Agent_HQsGlobal[[#This Row],[Action Type]]&amp;Master_Agent_HQsGlobal[[#This Row],[Country]]</f>
        <v>GS9.GQ3.Resolved_Onsite</v>
      </c>
      <c r="V31" t="str">
        <f ca="1">IFERROR(VLOOKUP(Master_Agent_HQsGlobal[[#This Row],[Question]],Master_Agent_HQs[#All],13,FALSE),VLOOKUP(Master_Agent_HQsGlobal[[#This Row],[Question]],INDIRECT("Master_Agent_HQs"&amp;'Gen Info'!$E$4&amp;"[#All]"),13,FALSE))</f>
        <v>Requisitos de KYC</v>
      </c>
      <c r="W31" t="str" cm="1">
        <f t="array" ref="W31">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Los operadores no conocen los tipos de identificación aceptables para una transacción de Western Union.</v>
      </c>
      <c r="X31" t="s">
        <v>2377</v>
      </c>
      <c r="AA31" s="143"/>
      <c r="AB31" t="str" cm="1">
        <f t="array" ref="AB31">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requiere acción. El agente ha sido debidamente entrenado en este tema durante la revisión.</v>
      </c>
      <c r="AC31" t="s">
        <v>2224</v>
      </c>
      <c r="AD31" t="s">
        <v>2690</v>
      </c>
      <c r="AE31" t="s">
        <v>2262</v>
      </c>
      <c r="AF31" t="s">
        <v>2691</v>
      </c>
      <c r="AG31" t="s">
        <v>2333</v>
      </c>
      <c r="AH31" t="s">
        <v>2692</v>
      </c>
      <c r="AI31" t="s">
        <v>2230</v>
      </c>
      <c r="AJ31" t="s">
        <v>2195</v>
      </c>
      <c r="AK31" t="s">
        <v>1583</v>
      </c>
      <c r="AO31" t="str">
        <f>IndependentGlobal[[#This Row],[Question]]&amp;"."&amp;IndependentGlobal[[#This Row],[Action Type]]&amp;IndependentGlobal[[#This Row],[Country]]</f>
        <v>GS12.GQ2.Resolved_Onsite</v>
      </c>
      <c r="AP31" t="str">
        <f ca="1">IFERROR(VLOOKUP(IndependentGlobal[[#This Row],[Question]],Independent[#All],13,FALSE),VLOOKUP(IndependentGlobal[[#This Row],[Question]],INDIRECT("Independent_"&amp;'Gen Info'!$E$4&amp;"[#All]"),13,FALSE))</f>
        <v>Protección del Consumidor</v>
      </c>
      <c r="AQ31" t="str" cm="1">
        <f t="array" ref="AQ31">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paga el monto principal exacto indicado en el sistema de Western Union.</v>
      </c>
      <c r="AR31" t="s">
        <v>2244</v>
      </c>
      <c r="AV31" t="str" cm="1">
        <f t="array" ref="AV31">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El agente ha sido debidamente entrenado en este tema durante la revisión.</v>
      </c>
      <c r="AW31" t="s">
        <v>2224</v>
      </c>
      <c r="AX31" t="s">
        <v>2245</v>
      </c>
      <c r="AY31" t="s">
        <v>2226</v>
      </c>
      <c r="AZ31" t="s">
        <v>2246</v>
      </c>
      <c r="BA31" t="s">
        <v>2251</v>
      </c>
      <c r="BB31" t="s">
        <v>2693</v>
      </c>
      <c r="BC31" t="s">
        <v>2230</v>
      </c>
      <c r="BD31" t="s">
        <v>2195</v>
      </c>
      <c r="BE31" t="s">
        <v>1436</v>
      </c>
      <c r="BH31" t="str">
        <f>Independent_MO_OnlyGlobal[[#This Row],[Question]]&amp;"."&amp;Independent_MO_OnlyGlobal[[#This Row],[Action Type]]&amp;Independent_MO_OnlyGlobal[[#This Row],[Country]]</f>
        <v>GS8.GQ4.Response_Required</v>
      </c>
      <c r="BI31">
        <f ca="1">IFERROR(VLOOKUP(Independent_MO_OnlyGlobal[[#This Row],[Question]],Independent_MO_Only[#All],13,FALSE),VLOOKUP(Independent_MO_OnlyGlobal[[#This Row],[Question]],INDIRECT("Independent_MO_Only"&amp;'Gen Info'!$E$4&amp;"[#All]"),13,FALSE))</f>
        <v>0</v>
      </c>
      <c r="BJ31" cm="1">
        <f t="array" ref="BJ31">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31" t="s">
        <v>2619</v>
      </c>
      <c r="BO31" cm="1">
        <f t="array" ref="BO31">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31" t="s">
        <v>2694</v>
      </c>
      <c r="BW31" t="s">
        <v>2215</v>
      </c>
      <c r="BX31" t="s">
        <v>958</v>
      </c>
      <c r="CB31" s="101" t="str">
        <f>Network_MO_OnlyGlobal[[#This Row],[Question]]&amp;"."&amp;Network_MO_OnlyGlobal[[#This Row],[Action Type]]&amp;Network_MO_OnlyGlobal[[#This Row],[Country]]</f>
        <v>GS6.GQ3.Resolved_Onsite</v>
      </c>
      <c r="CC31" s="101" t="e">
        <f ca="1">IFERROR(VLOOKUP(Network_MO_OnlyGlobal[[#This Row],[Question]],#REF!,13,FALSE),VLOOKUP(Network_MO_OnlyGlobal[[#This Row],[Question]],INDIRECT("Network_Agent_"&amp;'Gen Info'!$E$4&amp;"[#All]"),13,FALSE))</f>
        <v>#REF!</v>
      </c>
      <c r="CD31" s="101" cm="1">
        <f t="array" aca="1" ref="CD31"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31" s="101" t="s">
        <v>2695</v>
      </c>
      <c r="CF31" s="101"/>
      <c r="CG31" s="101"/>
      <c r="CH31" s="101"/>
      <c r="CI31" s="101" cm="1">
        <f t="array" ref="CI31">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31" s="353" t="s">
        <v>2696</v>
      </c>
      <c r="CK31" s="101"/>
      <c r="CL31" s="101"/>
      <c r="CM31" s="101"/>
      <c r="CN31" s="101"/>
      <c r="CO31" s="101"/>
      <c r="CP31" s="101"/>
      <c r="CQ31" s="101" t="s">
        <v>2195</v>
      </c>
      <c r="CR31" s="101" t="s">
        <v>1696</v>
      </c>
      <c r="CS31" s="353"/>
      <c r="CV31" s="101" t="str">
        <f>HQ_MO_OnlyGlobal[[#This Row],[Question]]&amp;"."&amp;HQ_MO_OnlyGlobal[[#This Row],[Action Type]]&amp;HQ_MO_OnlyGlobal[[#This Row],[Country]]</f>
        <v>GS8.GQ1.Response_Required</v>
      </c>
      <c r="CW31" s="101" t="str">
        <f ca="1">IFERROR(VLOOKUP(HQ_MO_OnlyGlobal[[#This Row],[Question]],INDIRECT('Gen Info'!$D$4&amp;"[#All]"),13,FALSE),VLOOKUP(HQ_MO_OnlyGlobal[[#This Row],[Question]],INDIRECT('Gen Info'!$D$4&amp;"_"&amp;'Gen Info'!$E$4&amp;"[#All]"),13,FALSE))</f>
        <v>Conservación de Registros</v>
      </c>
      <c r="CX31" s="101" cm="1">
        <f t="array" aca="1" ref="CX31" ca="1">IFERROR(_xlfn.IFS(LocationInfo[Select Letter Language]="English",_xlfn.IFS(VLOOKUP(HQ_MO_OnlyGlobal[[#This Row],[Question]],CallTb[[#All],[iWatch '#]:[Finding Type]],6,FALSE)="","",VLOOKUP(HQ_MO_OnlyGlobal[[#This Row],[Question]],CallTb[[#All],[iWatch '#]:[Finding Type]],6,FALSE)="No_AML",HQ_MO_OnlyGlobal[[#This Row],[Finding English AML]],VLOOKUP(HQ_MO_OnlyGlobal[[#This Row],[Question]],CallTb[[#All],[iWatch '#]:[Finding Type]],6,FALSE)="No",HQ_MO_OnlyGlobal[[#This Row],[Finding English]]),LocationInfo[Select Letter Language]="Spanish",HQ_MO_OnlyGlobal[[#This Row],[Finding Spanish]],LocationInfo[Select Letter Language]="French",HQ_MO_OnlyGlobal[[#This Row],[Finding French]],LocationInfo[Select Letter Language]="Portuguese",HQ_MO_OnlyGlobal[[#This Row],[Finding Portuguese]]),"")</f>
        <v>0</v>
      </c>
      <c r="CY31" s="101" t="s">
        <v>2697</v>
      </c>
      <c r="CZ31" s="101"/>
      <c r="DA31" s="101"/>
      <c r="DB31" s="101"/>
      <c r="DC31" s="101" cm="1">
        <f t="array" ref="DC31">IFERROR(_xlfn.IFS(LocationInfo[Select Letter Language]="English",HQ_MO_OnlyGlobal[[#This Row],[Action Required English]],LocationInfo[Select Letter Language]="Spanish",HQ_MO_OnlyGlobal[[#This Row],[Action Required Spanish]],LocationInfo[Select Letter Language]="French",HQ_MO_OnlyGlobal[[#This Row],[Action Required French]],LocationInfo[Select Letter Language]="Portuguese",HQ_MO_OnlyGlobal[[#This Row],[Action Required Portuguese]]),"")</f>
        <v>0</v>
      </c>
      <c r="DD31" s="101" t="s">
        <v>2698</v>
      </c>
      <c r="DE31" s="101"/>
      <c r="DF31" s="101"/>
      <c r="DG31" s="101"/>
      <c r="DH31" s="101"/>
      <c r="DI31" s="101"/>
      <c r="DJ31" s="101"/>
      <c r="DK31" s="101" t="s">
        <v>2215</v>
      </c>
      <c r="DL31" s="101" t="s">
        <v>932</v>
      </c>
      <c r="DM31" s="101"/>
    </row>
    <row r="32" spans="2:117" hidden="1">
      <c r="B32" s="353" t="str">
        <f>Network_AgentGlobal[[#This Row],[Question]]&amp;"."&amp;Network_AgentGlobal[[#This Row],[Action Type]]&amp;Network_AgentGlobal[[#This Row],[Country]]</f>
        <v>GS3.GQ3.SuspensionIndia_FTF</v>
      </c>
      <c r="C32" s="353" t="str">
        <f ca="1">IFERROR(VLOOKUP(Network_AgentGlobal[[#This Row],[Question]],INDIRECT('Gen Info'!$D$4&amp;"[#All]"),13,FALSE),VLOOKUP(Network_AgentGlobal[[#This Row],[Question]],INDIRECT('Gen Info'!$D$4&amp;"_"&amp;'Gen Info'!$E$4&amp;"[#All]"),13,FALSE))</f>
        <v>Disponibilidad de la Localidad</v>
      </c>
      <c r="D32" s="353" cm="1">
        <f t="array" aca="1" ref="D32"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32" s="353" t="s">
        <v>2699</v>
      </c>
      <c r="F32" s="353"/>
      <c r="G32" s="353"/>
      <c r="H32" s="353"/>
      <c r="I32" s="353" cm="1">
        <f t="array" ref="I32">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32" s="353" t="s">
        <v>2221</v>
      </c>
      <c r="K32" s="353"/>
      <c r="L32" s="353"/>
      <c r="M32" s="353"/>
      <c r="N32" s="353"/>
      <c r="O32" s="353"/>
      <c r="P32" s="353"/>
      <c r="Q32" s="353" t="s">
        <v>2222</v>
      </c>
      <c r="R32" s="353" t="s">
        <v>693</v>
      </c>
      <c r="S32" s="353" t="s">
        <v>2196</v>
      </c>
      <c r="U32" t="str">
        <f>Master_Agent_HQsGlobal[[#This Row],[Question]]&amp;"."&amp;Master_Agent_HQsGlobal[[#This Row],[Action Type]]&amp;Master_Agent_HQsGlobal[[#This Row],[Country]]</f>
        <v>GS10.GQ2.Resolved_Onsite</v>
      </c>
      <c r="V32" t="str">
        <f ca="1">IFERROR(VLOOKUP(Master_Agent_HQsGlobal[[#This Row],[Question]],Master_Agent_HQs[#All],13,FALSE),VLOOKUP(Master_Agent_HQsGlobal[[#This Row],[Question]],INDIRECT("Master_Agent_HQs"&amp;'Gen Info'!$E$4&amp;"[#All]"),13,FALSE))</f>
        <v>Administración y Supervisión de Subagentes</v>
      </c>
      <c r="W32" t="str" cm="1">
        <f t="array" ref="W32">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ha distribuido el Manual Global de Cumplimiento más reciente a sus Subagentes .</v>
      </c>
      <c r="X32" t="s">
        <v>2700</v>
      </c>
      <c r="AA32" s="143"/>
      <c r="AB32" t="str" cm="1">
        <f t="array" ref="AB32">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requiere accion. El manual de Cumplimiento del agente se entregó a todos los subagentes involucrados con los servicios de Western Union.</v>
      </c>
      <c r="AC32" t="s">
        <v>2701</v>
      </c>
      <c r="AD32" t="s">
        <v>2702</v>
      </c>
      <c r="AE32" t="s">
        <v>2703</v>
      </c>
      <c r="AF32" t="s">
        <v>2704</v>
      </c>
      <c r="AG32" t="s">
        <v>2705</v>
      </c>
      <c r="AH32" t="s">
        <v>2706</v>
      </c>
      <c r="AI32" t="s">
        <v>2707</v>
      </c>
      <c r="AJ32" t="s">
        <v>2195</v>
      </c>
      <c r="AK32" t="s">
        <v>1326</v>
      </c>
      <c r="AO32" t="str">
        <f>IndependentGlobal[[#This Row],[Question]]&amp;"."&amp;IndependentGlobal[[#This Row],[Action Type]]&amp;IndependentGlobal[[#This Row],[Country]]</f>
        <v>GS12.GQ3.Resolved_Onsite</v>
      </c>
      <c r="AP32" t="str">
        <f ca="1">IFERROR(VLOOKUP(IndependentGlobal[[#This Row],[Question]],Independent[#All],13,FALSE),VLOOKUP(IndependentGlobal[[#This Row],[Question]],INDIRECT("Independent_"&amp;'Gen Info'!$E$4&amp;"[#All]"),13,FALSE))</f>
        <v>Protección del Consumidor</v>
      </c>
      <c r="AQ32" t="str" cm="1">
        <f t="array" ref="AQ32">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tiene protección al consumidor debidamente documentadas.</v>
      </c>
      <c r="AR32" t="s">
        <v>2708</v>
      </c>
      <c r="AV32" t="str" cm="1">
        <f t="array" ref="AV32">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El agente ha sido referido al departamento correspondiente para seguimiento.</v>
      </c>
      <c r="AW32" t="s">
        <v>2709</v>
      </c>
      <c r="AX32" t="s">
        <v>2710</v>
      </c>
      <c r="AY32" t="s">
        <v>2711</v>
      </c>
      <c r="AZ32" t="s">
        <v>2712</v>
      </c>
      <c r="BA32" t="s">
        <v>2713</v>
      </c>
      <c r="BB32" t="s">
        <v>2714</v>
      </c>
      <c r="BC32" t="s">
        <v>2715</v>
      </c>
      <c r="BD32" t="s">
        <v>2195</v>
      </c>
      <c r="BE32" t="s">
        <v>1448</v>
      </c>
      <c r="BH32" t="str">
        <f>Independent_MO_OnlyGlobal[[#This Row],[Question]]&amp;"."&amp;Independent_MO_OnlyGlobal[[#This Row],[Action Type]]&amp;Independent_MO_OnlyGlobal[[#This Row],[Country]]</f>
        <v>GS9.GQ1.Response_Required</v>
      </c>
      <c r="BI32">
        <f ca="1">IFERROR(VLOOKUP(Independent_MO_OnlyGlobal[[#This Row],[Question]],Independent_MO_Only[#All],13,FALSE),VLOOKUP(Independent_MO_OnlyGlobal[[#This Row],[Question]],INDIRECT("Independent_MO_Only"&amp;'Gen Info'!$E$4&amp;"[#All]"),13,FALSE))</f>
        <v>0</v>
      </c>
      <c r="BJ32" cm="1">
        <f t="array" ref="BJ32">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32" t="s">
        <v>2716</v>
      </c>
      <c r="BO32" cm="1">
        <f t="array" ref="BO32">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32" t="s">
        <v>2717</v>
      </c>
      <c r="BW32" t="s">
        <v>2215</v>
      </c>
      <c r="BX32" t="s">
        <v>1568</v>
      </c>
      <c r="CB32" s="101" t="str">
        <f>Network_MO_OnlyGlobal[[#This Row],[Question]]&amp;"."&amp;Network_MO_OnlyGlobal[[#This Row],[Action Type]]&amp;Network_MO_OnlyGlobal[[#This Row],[Country]]</f>
        <v>GS6.GQ3.Response_Required</v>
      </c>
      <c r="CC32" s="101" t="e">
        <f ca="1">IFERROR(VLOOKUP(Network_MO_OnlyGlobal[[#This Row],[Question]],#REF!,13,FALSE),VLOOKUP(Network_MO_OnlyGlobal[[#This Row],[Question]],INDIRECT("Network_Agent_"&amp;'Gen Info'!$E$4&amp;"[#All]"),13,FALSE))</f>
        <v>#REF!</v>
      </c>
      <c r="CD32" s="101" cm="1">
        <f t="array" aca="1" ref="CD32"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32" s="101" t="s">
        <v>2695</v>
      </c>
      <c r="CF32" s="101"/>
      <c r="CG32" s="101"/>
      <c r="CH32" s="101"/>
      <c r="CI32" s="101" cm="1">
        <f t="array" ref="CI32">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32" s="101" t="s">
        <v>2718</v>
      </c>
      <c r="CK32" s="101"/>
      <c r="CL32" s="101"/>
      <c r="CM32" s="101"/>
      <c r="CN32" s="101"/>
      <c r="CO32" s="101"/>
      <c r="CP32" s="101"/>
      <c r="CQ32" s="101" t="s">
        <v>2215</v>
      </c>
      <c r="CR32" s="101" t="s">
        <v>1696</v>
      </c>
      <c r="CS32" s="101"/>
      <c r="CV32" s="101" t="str">
        <f>HQ_MO_OnlyGlobal[[#This Row],[Question]]&amp;"."&amp;HQ_MO_OnlyGlobal[[#This Row],[Action Type]]&amp;HQ_MO_OnlyGlobal[[#This Row],[Country]]</f>
        <v>GS8.GQ3.Response_Required</v>
      </c>
      <c r="CW32" s="101" t="str">
        <f ca="1">IFERROR(VLOOKUP(HQ_MO_OnlyGlobal[[#This Row],[Question]],INDIRECT('Gen Info'!$D$4&amp;"[#All]"),13,FALSE),VLOOKUP(HQ_MO_OnlyGlobal[[#This Row],[Question]],INDIRECT('Gen Info'!$D$4&amp;"_"&amp;'Gen Info'!$E$4&amp;"[#All]"),13,FALSE))</f>
        <v>Conservación de Registros</v>
      </c>
      <c r="CX32" s="101" cm="1">
        <f t="array" aca="1" ref="CX32" ca="1">IFERROR(_xlfn.IFS(LocationInfo[Select Letter Language]="English",_xlfn.IFS(VLOOKUP(HQ_MO_OnlyGlobal[[#This Row],[Question]],CallTb[[#All],[iWatch '#]:[Finding Type]],6,FALSE)="","",VLOOKUP(HQ_MO_OnlyGlobal[[#This Row],[Question]],CallTb[[#All],[iWatch '#]:[Finding Type]],6,FALSE)="No_AML",HQ_MO_OnlyGlobal[[#This Row],[Finding English AML]],VLOOKUP(HQ_MO_OnlyGlobal[[#This Row],[Question]],CallTb[[#All],[iWatch '#]:[Finding Type]],6,FALSE)="No",HQ_MO_OnlyGlobal[[#This Row],[Finding English]]),LocationInfo[Select Letter Language]="Spanish",HQ_MO_OnlyGlobal[[#This Row],[Finding Spanish]],LocationInfo[Select Letter Language]="French",HQ_MO_OnlyGlobal[[#This Row],[Finding French]],LocationInfo[Select Letter Language]="Portuguese",HQ_MO_OnlyGlobal[[#This Row],[Finding Portuguese]]),"")</f>
        <v>0</v>
      </c>
      <c r="CY32" s="101" t="s">
        <v>2269</v>
      </c>
      <c r="CZ32" s="101"/>
      <c r="DA32" s="101"/>
      <c r="DB32" s="101"/>
      <c r="DC32" s="101" cm="1">
        <f t="array" ref="DC32">IFERROR(_xlfn.IFS(LocationInfo[Select Letter Language]="English",HQ_MO_OnlyGlobal[[#This Row],[Action Required English]],LocationInfo[Select Letter Language]="Spanish",HQ_MO_OnlyGlobal[[#This Row],[Action Required Spanish]],LocationInfo[Select Letter Language]="French",HQ_MO_OnlyGlobal[[#This Row],[Action Required French]],LocationInfo[Select Letter Language]="Portuguese",HQ_MO_OnlyGlobal[[#This Row],[Action Required Portuguese]]),"")</f>
        <v>0</v>
      </c>
      <c r="DD32" s="101" t="s">
        <v>2719</v>
      </c>
      <c r="DE32" s="101"/>
      <c r="DF32" s="101"/>
      <c r="DG32" s="101"/>
      <c r="DH32" s="101"/>
      <c r="DI32" s="101"/>
      <c r="DJ32" s="101"/>
      <c r="DK32" s="101" t="s">
        <v>2215</v>
      </c>
      <c r="DL32" s="101" t="s">
        <v>950</v>
      </c>
      <c r="DM32" s="101"/>
    </row>
    <row r="33" spans="2:117" hidden="1">
      <c r="B33" s="353" t="str">
        <f>Network_AgentGlobal[[#This Row],[Question]]&amp;"."&amp;Network_AgentGlobal[[#This Row],[Action Type]]&amp;Network_AgentGlobal[[#This Row],[Country]]</f>
        <v>GS3.GQ4.Resolved_OnsiteIndia_FTF</v>
      </c>
      <c r="C33" s="353" t="e">
        <f ca="1">IFERROR(VLOOKUP(Network_AgentGlobal[[#This Row],[Question]],INDIRECT('Gen Info'!$D$4&amp;"[#All]"),13,FALSE),VLOOKUP(Network_AgentGlobal[[#This Row],[Question]],INDIRECT('Gen Info'!$D$4&amp;"_"&amp;'Gen Info'!$E$4&amp;"[#All]"),13,FALSE))</f>
        <v>#REF!</v>
      </c>
      <c r="D33" s="353" cm="1">
        <f t="array" aca="1" ref="D33"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33" s="353" t="s">
        <v>2720</v>
      </c>
      <c r="F33" s="353"/>
      <c r="G33" s="353"/>
      <c r="H33" s="353"/>
      <c r="I33" s="353" cm="1">
        <f t="array" ref="I33">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33" s="353" t="s">
        <v>2721</v>
      </c>
      <c r="K33" s="353"/>
      <c r="L33" s="353"/>
      <c r="M33" s="353"/>
      <c r="N33" s="353"/>
      <c r="O33" s="353"/>
      <c r="P33" s="353"/>
      <c r="Q33" s="353" t="s">
        <v>2195</v>
      </c>
      <c r="R33" s="353" t="s">
        <v>1517</v>
      </c>
      <c r="S33" s="353" t="s">
        <v>2196</v>
      </c>
      <c r="U33" t="str">
        <f>Master_Agent_HQsGlobal[[#This Row],[Question]]&amp;"."&amp;Master_Agent_HQsGlobal[[#This Row],[Action Type]]&amp;Master_Agent_HQsGlobal[[#This Row],[Country]]</f>
        <v>GS10.GQ3.Resolved_Onsite</v>
      </c>
      <c r="V33" t="str">
        <f ca="1">IFERROR(VLOOKUP(Master_Agent_HQsGlobal[[#This Row],[Question]],Master_Agent_HQs[#All],13,FALSE),VLOOKUP(Master_Agent_HQsGlobal[[#This Row],[Question]],INDIRECT("Master_Agent_HQs"&amp;'Gen Info'!$E$4&amp;"[#All]"),13,FALSE))</f>
        <v>Administración y Supervisión de Subagentes</v>
      </c>
      <c r="W33" t="str" cm="1">
        <f t="array" ref="W33">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pudo demostrar que sus Sub-agentes han adoptado e implementado en sus Políticas y Procedimientos el Manual más reciente de Cumplimiento Global.</v>
      </c>
      <c r="X33" t="s">
        <v>2722</v>
      </c>
      <c r="AA33" s="143"/>
      <c r="AB33" t="str" cm="1">
        <f t="array" ref="AB33">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requiere acción. El agente ha sido debidamente entrenado en este tema durante la revisión.</v>
      </c>
      <c r="AC33" t="s">
        <v>2224</v>
      </c>
      <c r="AD33" t="s">
        <v>2723</v>
      </c>
      <c r="AE33" t="s">
        <v>2262</v>
      </c>
      <c r="AF33" t="s">
        <v>2724</v>
      </c>
      <c r="AG33" t="s">
        <v>2333</v>
      </c>
      <c r="AH33" t="s">
        <v>2725</v>
      </c>
      <c r="AI33" t="s">
        <v>2230</v>
      </c>
      <c r="AJ33" t="s">
        <v>2195</v>
      </c>
      <c r="AK33" t="s">
        <v>1343</v>
      </c>
      <c r="AO33" t="str">
        <f>IndependentGlobal[[#This Row],[Question]]&amp;"."&amp;IndependentGlobal[[#This Row],[Action Type]]&amp;IndependentGlobal[[#This Row],[Country]]</f>
        <v>GS12.GQ3.Response_Required</v>
      </c>
      <c r="AP33" t="str">
        <f ca="1">IFERROR(VLOOKUP(IndependentGlobal[[#This Row],[Question]],Independent[#All],13,FALSE),VLOOKUP(IndependentGlobal[[#This Row],[Question]],INDIRECT("Independent_"&amp;'Gen Info'!$E$4&amp;"[#All]"),13,FALSE))</f>
        <v>Protección del Consumidor</v>
      </c>
      <c r="AQ33" t="str" cm="1">
        <f t="array" ref="AQ33">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tiene protección al consumidor debidamente documentadas.</v>
      </c>
      <c r="AR33" t="s">
        <v>2708</v>
      </c>
      <c r="AV33" t="str" cm="1">
        <f t="array" ref="AV33">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Brindar a Western Union copia o evidencia de las Políticas y Procedimientos del programa de Anti-Fraude junto con el reconocimiento del responsable de cumplimiento.</v>
      </c>
      <c r="AW33" t="s">
        <v>2726</v>
      </c>
      <c r="AX33" t="s">
        <v>2710</v>
      </c>
      <c r="AY33" t="s">
        <v>2727</v>
      </c>
      <c r="AZ33" t="s">
        <v>2712</v>
      </c>
      <c r="BA33" t="s">
        <v>2728</v>
      </c>
      <c r="BB33" t="s">
        <v>2714</v>
      </c>
      <c r="BC33" t="s">
        <v>2729</v>
      </c>
      <c r="BD33" t="s">
        <v>2215</v>
      </c>
      <c r="BE33" t="s">
        <v>1448</v>
      </c>
      <c r="BH33" t="str">
        <f>Independent_MO_OnlyGlobal[[#This Row],[Question]]&amp;"."&amp;Independent_MO_OnlyGlobal[[#This Row],[Action Type]]&amp;Independent_MO_OnlyGlobal[[#This Row],[Country]]</f>
        <v>GS9.GQ3.Response_Required</v>
      </c>
      <c r="BI33">
        <f ca="1">IFERROR(VLOOKUP(Independent_MO_OnlyGlobal[[#This Row],[Question]],Independent_MO_Only[#All],13,FALSE),VLOOKUP(Independent_MO_OnlyGlobal[[#This Row],[Question]],INDIRECT("Independent_MO_Only"&amp;'Gen Info'!$E$4&amp;"[#All]"),13,FALSE))</f>
        <v>0</v>
      </c>
      <c r="BJ33" cm="1">
        <f t="array" ref="BJ33">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33" t="s">
        <v>2730</v>
      </c>
      <c r="BO33" cm="1">
        <f t="array" ref="BO33">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33" t="s">
        <v>2731</v>
      </c>
      <c r="BW33" t="s">
        <v>2215</v>
      </c>
      <c r="BX33" t="s">
        <v>1583</v>
      </c>
      <c r="CB33" s="101" t="str">
        <f>Network_MO_OnlyGlobal[[#This Row],[Question]]&amp;"."&amp;Network_MO_OnlyGlobal[[#This Row],[Action Type]]&amp;Network_MO_OnlyGlobal[[#This Row],[Country]]</f>
        <v>GS6.GQ4.Resolved_Onsite</v>
      </c>
      <c r="CC33" s="101" t="e">
        <f ca="1">IFERROR(VLOOKUP(Network_MO_OnlyGlobal[[#This Row],[Question]],#REF!,13,FALSE),VLOOKUP(Network_MO_OnlyGlobal[[#This Row],[Question]],INDIRECT("Network_Agent_"&amp;'Gen Info'!$E$4&amp;"[#All]"),13,FALSE))</f>
        <v>#REF!</v>
      </c>
      <c r="CD33" s="101" cm="1">
        <f t="array" aca="1" ref="CD33"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33" s="101" t="s">
        <v>2732</v>
      </c>
      <c r="CF33" s="101"/>
      <c r="CG33" s="101"/>
      <c r="CH33" s="101"/>
      <c r="CI33" s="101" cm="1">
        <f t="array" ref="CI33">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33" s="101" t="s">
        <v>2388</v>
      </c>
      <c r="CK33" s="101"/>
      <c r="CL33" s="101"/>
      <c r="CM33" s="101"/>
      <c r="CN33" s="101"/>
      <c r="CO33" s="101"/>
      <c r="CP33" s="101"/>
      <c r="CQ33" s="101" t="s">
        <v>2195</v>
      </c>
      <c r="CR33" s="101" t="s">
        <v>1702</v>
      </c>
      <c r="CS33" s="353"/>
      <c r="CV33" s="101" t="str">
        <f>HQ_MO_OnlyGlobal[[#This Row],[Question]]&amp;"."&amp;HQ_MO_OnlyGlobal[[#This Row],[Action Type]]&amp;HQ_MO_OnlyGlobal[[#This Row],[Country]]</f>
        <v>GS8.GQ5.Response_Required</v>
      </c>
      <c r="CW33" s="101" t="str">
        <f ca="1">IFERROR(VLOOKUP(HQ_MO_OnlyGlobal[[#This Row],[Question]],INDIRECT('Gen Info'!$D$4&amp;"[#All]"),13,FALSE),VLOOKUP(HQ_MO_OnlyGlobal[[#This Row],[Question]],INDIRECT('Gen Info'!$D$4&amp;"_"&amp;'Gen Info'!$E$4&amp;"[#All]"),13,FALSE))</f>
        <v>Conservación de Registros</v>
      </c>
      <c r="CX33" s="101" cm="1">
        <f t="array" aca="1" ref="CX33" ca="1">IFERROR(_xlfn.IFS(LocationInfo[Select Letter Language]="English",_xlfn.IFS(VLOOKUP(HQ_MO_OnlyGlobal[[#This Row],[Question]],CallTb[[#All],[iWatch '#]:[Finding Type]],6,FALSE)="","",VLOOKUP(HQ_MO_OnlyGlobal[[#This Row],[Question]],CallTb[[#All],[iWatch '#]:[Finding Type]],6,FALSE)="No_AML",HQ_MO_OnlyGlobal[[#This Row],[Finding English AML]],VLOOKUP(HQ_MO_OnlyGlobal[[#This Row],[Question]],CallTb[[#All],[iWatch '#]:[Finding Type]],6,FALSE)="No",HQ_MO_OnlyGlobal[[#This Row],[Finding English]]),LocationInfo[Select Letter Language]="Spanish",HQ_MO_OnlyGlobal[[#This Row],[Finding Spanish]],LocationInfo[Select Letter Language]="French",HQ_MO_OnlyGlobal[[#This Row],[Finding French]],LocationInfo[Select Letter Language]="Portuguese",HQ_MO_OnlyGlobal[[#This Row],[Finding Portuguese]]),"")</f>
        <v>0</v>
      </c>
      <c r="CY33" s="101" t="s">
        <v>2733</v>
      </c>
      <c r="CZ33" s="101"/>
      <c r="DA33" s="101"/>
      <c r="DB33" s="101"/>
      <c r="DC33" s="101" cm="1">
        <f t="array" ref="DC33">IFERROR(_xlfn.IFS(LocationInfo[Select Letter Language]="English",HQ_MO_OnlyGlobal[[#This Row],[Action Required English]],LocationInfo[Select Letter Language]="Spanish",HQ_MO_OnlyGlobal[[#This Row],[Action Required Spanish]],LocationInfo[Select Letter Language]="French",HQ_MO_OnlyGlobal[[#This Row],[Action Required French]],LocationInfo[Select Letter Language]="Portuguese",HQ_MO_OnlyGlobal[[#This Row],[Action Required Portuguese]]),"")</f>
        <v>0</v>
      </c>
      <c r="DD33" s="101" t="s">
        <v>2698</v>
      </c>
      <c r="DE33" s="101"/>
      <c r="DF33" s="101"/>
      <c r="DG33" s="101"/>
      <c r="DH33" s="101"/>
      <c r="DI33" s="101"/>
      <c r="DJ33" s="101"/>
      <c r="DK33" s="101" t="s">
        <v>2215</v>
      </c>
      <c r="DL33" s="101" t="s">
        <v>967</v>
      </c>
      <c r="DM33" s="101"/>
    </row>
    <row r="34" spans="2:117" hidden="1">
      <c r="B34" s="353" t="str">
        <f>Network_AgentGlobal[[#This Row],[Question]]&amp;"."&amp;Network_AgentGlobal[[#This Row],[Action Type]]&amp;Network_AgentGlobal[[#This Row],[Country]]</f>
        <v>GS3.GQ3.Response_Required</v>
      </c>
      <c r="C34" s="353" t="str">
        <f ca="1">IFERROR(VLOOKUP(Network_AgentGlobal[[#This Row],[Question]],INDIRECT('Gen Info'!$D$4&amp;"[#All]"),13,FALSE),VLOOKUP(Network_AgentGlobal[[#This Row],[Question]],INDIRECT('Gen Info'!$D$4&amp;"_"&amp;'Gen Info'!$E$4&amp;"[#All]"),13,FALSE))</f>
        <v>Disponibilidad de la Localidad</v>
      </c>
      <c r="D34" s="353" t="str" cm="1">
        <f t="array" aca="1" ref="D34"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Los "FLAs" no tienen acceso a las políticas y procedimientos completos de AML/CFT y cumplimiento Anti-fraude del agente.</v>
      </c>
      <c r="E34" s="353" t="s">
        <v>2734</v>
      </c>
      <c r="F34" s="353"/>
      <c r="G34" s="353"/>
      <c r="H34" s="353"/>
      <c r="I34" s="353" t="str" cm="1">
        <f t="array" ref="I34">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Brinde a Western Union documentación escrita por parte de su Oficina Corporativa que confirme que todos los "FLAs" tienen acceso a las Políticas y procedimientos completos de cumplimiento AML/CFT y Antifraude.</v>
      </c>
      <c r="J34" s="353" t="s">
        <v>2735</v>
      </c>
      <c r="K34" s="353" t="s">
        <v>2736</v>
      </c>
      <c r="L34" s="353" t="s">
        <v>2737</v>
      </c>
      <c r="M34" s="353" t="s">
        <v>2738</v>
      </c>
      <c r="N34" s="353" t="s">
        <v>2739</v>
      </c>
      <c r="O34" s="353" t="s">
        <v>2740</v>
      </c>
      <c r="P34" s="353" t="s">
        <v>2741</v>
      </c>
      <c r="Q34" s="353" t="s">
        <v>2215</v>
      </c>
      <c r="R34" s="353" t="s">
        <v>693</v>
      </c>
      <c r="S34" s="353"/>
      <c r="U34" t="str">
        <f>Master_Agent_HQsGlobal[[#This Row],[Question]]&amp;"."&amp;Master_Agent_HQsGlobal[[#This Row],[Action Type]]&amp;Master_Agent_HQsGlobal[[#This Row],[Country]]</f>
        <v>GS10.GQ6.Resolved_Onsite</v>
      </c>
      <c r="V34" t="str">
        <f ca="1">IFERROR(VLOOKUP(Master_Agent_HQsGlobal[[#This Row],[Question]],Master_Agent_HQs[#All],13,FALSE),VLOOKUP(Master_Agent_HQsGlobal[[#This Row],[Question]],INDIRECT("Master_Agent_HQs"&amp;'Gen Info'!$E$4&amp;"[#All]"),13,FALSE))</f>
        <v>Administración y Supervisión de Subagentes</v>
      </c>
      <c r="W34" t="str" cm="1">
        <f t="array" ref="W34">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Las políticas y procedimientos AML/CFT y anti-fraude utilizados por los sub-agentes no cumplen con los estándares mínimos.</v>
      </c>
      <c r="X34" t="s">
        <v>2742</v>
      </c>
      <c r="AA34" s="143"/>
      <c r="AB34" t="str" cm="1">
        <f t="array" ref="AB34">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requiere acción. El agente ha sido debidamente entrenado en este tema durante la revisión.</v>
      </c>
      <c r="AC34" t="s">
        <v>2224</v>
      </c>
      <c r="AD34" t="s">
        <v>2743</v>
      </c>
      <c r="AE34" t="s">
        <v>2262</v>
      </c>
      <c r="AF34" t="s">
        <v>2744</v>
      </c>
      <c r="AG34" t="s">
        <v>2333</v>
      </c>
      <c r="AH34" t="s">
        <v>2745</v>
      </c>
      <c r="AI34" t="s">
        <v>2230</v>
      </c>
      <c r="AJ34" t="s">
        <v>2195</v>
      </c>
      <c r="AK34" t="s">
        <v>1774</v>
      </c>
      <c r="AO34" t="str">
        <f>IndependentGlobal[[#This Row],[Question]]&amp;"."&amp;IndependentGlobal[[#This Row],[Action Type]]&amp;IndependentGlobal[[#This Row],[Country]]</f>
        <v>GS12.RQ1.Resolved_OnsiteUnited_States</v>
      </c>
      <c r="AP34" t="e">
        <f ca="1">IFERROR(VLOOKUP(IndependentGlobal[[#This Row],[Question]],Independent[#All],13,FALSE),VLOOKUP(IndependentGlobal[[#This Row],[Question]],INDIRECT("Independent_"&amp;'Gen Info'!$E$4&amp;"[#All]"),13,FALSE))</f>
        <v>#REF!</v>
      </c>
      <c r="AQ34" t="str" cm="1">
        <f t="array" ref="AQ34">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está brindando el Pre-Recibo de verificación a los clientes para las transferencias de Dodd Frank antes de realizar el cobro de la transferencia.</v>
      </c>
      <c r="AR34" t="s">
        <v>2746</v>
      </c>
      <c r="AV34" t="str" cm="1">
        <f t="array" ref="AV34">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El agente ha sido debidamente entrenado en este tema durante la revisión.</v>
      </c>
      <c r="AW34" t="s">
        <v>2224</v>
      </c>
      <c r="AX34" t="s">
        <v>2747</v>
      </c>
      <c r="AY34" t="s">
        <v>2226</v>
      </c>
      <c r="AZ34" t="s">
        <v>2748</v>
      </c>
      <c r="BA34" t="s">
        <v>2749</v>
      </c>
      <c r="BB34" t="s">
        <v>2750</v>
      </c>
      <c r="BC34" t="s">
        <v>2230</v>
      </c>
      <c r="BD34" t="s">
        <v>2195</v>
      </c>
      <c r="BE34" t="s">
        <v>991</v>
      </c>
      <c r="BF34" t="s">
        <v>2581</v>
      </c>
      <c r="BH34" t="str">
        <f>Independent_MO_OnlyGlobal[[#This Row],[Question]]&amp;"."&amp;Independent_MO_OnlyGlobal[[#This Row],[Action Type]]&amp;Independent_MO_OnlyGlobal[[#This Row],[Country]]</f>
        <v>GS9.GQ4.Response_Required</v>
      </c>
      <c r="BI34">
        <f ca="1">IFERROR(VLOOKUP(Independent_MO_OnlyGlobal[[#This Row],[Question]],Independent_MO_Only[#All],13,FALSE),VLOOKUP(Independent_MO_OnlyGlobal[[#This Row],[Question]],INDIRECT("Independent_MO_Only"&amp;'Gen Info'!$E$4&amp;"[#All]"),13,FALSE))</f>
        <v>0</v>
      </c>
      <c r="BJ34" cm="1">
        <f t="array" ref="BJ34">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34" t="s">
        <v>2751</v>
      </c>
      <c r="BO34" cm="1">
        <f t="array" ref="BO34">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34" t="s">
        <v>2752</v>
      </c>
      <c r="BW34" t="s">
        <v>2215</v>
      </c>
      <c r="BX34" t="s">
        <v>1216</v>
      </c>
      <c r="CB34" s="101" t="str">
        <f>Network_MO_OnlyGlobal[[#This Row],[Question]]&amp;"."&amp;Network_MO_OnlyGlobal[[#This Row],[Action Type]]&amp;Network_MO_OnlyGlobal[[#This Row],[Country]]</f>
        <v>GS6.GQ4.Response_Required</v>
      </c>
      <c r="CC34" s="101" t="e">
        <f ca="1">IFERROR(VLOOKUP(Network_MO_OnlyGlobal[[#This Row],[Question]],#REF!,13,FALSE),VLOOKUP(Network_MO_OnlyGlobal[[#This Row],[Question]],INDIRECT("Network_Agent_"&amp;'Gen Info'!$E$4&amp;"[#All]"),13,FALSE))</f>
        <v>#REF!</v>
      </c>
      <c r="CD34" s="101" cm="1">
        <f t="array" aca="1" ref="CD34"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34" s="101" t="s">
        <v>2732</v>
      </c>
      <c r="CF34" s="101"/>
      <c r="CG34" s="101"/>
      <c r="CH34" s="101"/>
      <c r="CI34" s="101" cm="1">
        <f t="array" ref="CI34">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34" s="101" t="s">
        <v>2388</v>
      </c>
      <c r="CK34" s="101"/>
      <c r="CL34" s="101"/>
      <c r="CM34" s="101"/>
      <c r="CN34" s="101"/>
      <c r="CO34" s="101"/>
      <c r="CP34" s="101"/>
      <c r="CQ34" s="101" t="s">
        <v>2215</v>
      </c>
      <c r="CR34" s="101" t="s">
        <v>1702</v>
      </c>
      <c r="CS34" s="101"/>
      <c r="CV34" s="101" t="str">
        <f>HQ_MO_OnlyGlobal[[#This Row],[Question]]&amp;"."&amp;HQ_MO_OnlyGlobal[[#This Row],[Action Type]]&amp;HQ_MO_OnlyGlobal[[#This Row],[Country]]</f>
        <v>GS9.GQ1.Response_Required</v>
      </c>
      <c r="CW34" s="101" t="e">
        <f ca="1">IFERROR(VLOOKUP(HQ_MO_OnlyGlobal[[#This Row],[Question]],INDIRECT('Gen Info'!$D$4&amp;"[#All]"),13,FALSE),VLOOKUP(HQ_MO_OnlyGlobal[[#This Row],[Question]],INDIRECT('Gen Info'!$D$4&amp;"_"&amp;'Gen Info'!$E$4&amp;"[#All]"),13,FALSE))</f>
        <v>#REF!</v>
      </c>
      <c r="CX34" s="101" cm="1">
        <f t="array" aca="1" ref="CX34" ca="1">IFERROR(_xlfn.IFS(LocationInfo[Select Letter Language]="English",_xlfn.IFS(VLOOKUP(HQ_MO_OnlyGlobal[[#This Row],[Question]],CallTb[[#All],[iWatch '#]:[Finding Type]],6,FALSE)="","",VLOOKUP(HQ_MO_OnlyGlobal[[#This Row],[Question]],CallTb[[#All],[iWatch '#]:[Finding Type]],6,FALSE)="No_AML",HQ_MO_OnlyGlobal[[#This Row],[Finding English AML]],VLOOKUP(HQ_MO_OnlyGlobal[[#This Row],[Question]],CallTb[[#All],[iWatch '#]:[Finding Type]],6,FALSE)="No",HQ_MO_OnlyGlobal[[#This Row],[Finding English]]),LocationInfo[Select Letter Language]="Spanish",HQ_MO_OnlyGlobal[[#This Row],[Finding Spanish]],LocationInfo[Select Letter Language]="French",HQ_MO_OnlyGlobal[[#This Row],[Finding French]],LocationInfo[Select Letter Language]="Portuguese",HQ_MO_OnlyGlobal[[#This Row],[Finding Portuguese]]),"")</f>
        <v>0</v>
      </c>
      <c r="CY34" s="101" t="s">
        <v>2753</v>
      </c>
      <c r="CZ34" s="101"/>
      <c r="DA34" s="101"/>
      <c r="DB34" s="101"/>
      <c r="DC34" s="101" cm="1">
        <f t="array" ref="DC34">IFERROR(_xlfn.IFS(LocationInfo[Select Letter Language]="English",HQ_MO_OnlyGlobal[[#This Row],[Action Required English]],LocationInfo[Select Letter Language]="Spanish",HQ_MO_OnlyGlobal[[#This Row],[Action Required Spanish]],LocationInfo[Select Letter Language]="French",HQ_MO_OnlyGlobal[[#This Row],[Action Required French]],LocationInfo[Select Letter Language]="Portuguese",HQ_MO_OnlyGlobal[[#This Row],[Action Required Portuguese]]),"")</f>
        <v>0</v>
      </c>
      <c r="DD34" s="101" t="s">
        <v>2754</v>
      </c>
      <c r="DE34" s="101"/>
      <c r="DF34" s="101"/>
      <c r="DG34" s="101"/>
      <c r="DH34" s="101"/>
      <c r="DI34" s="101"/>
      <c r="DJ34" s="101"/>
      <c r="DK34" s="101" t="s">
        <v>2215</v>
      </c>
      <c r="DL34" s="101" t="s">
        <v>1568</v>
      </c>
      <c r="DM34" s="101"/>
    </row>
    <row r="35" spans="2:117" hidden="1">
      <c r="B35" s="353" t="str">
        <f>Network_AgentGlobal[[#This Row],[Question]]&amp;"."&amp;Network_AgentGlobal[[#This Row],[Action Type]]&amp;Network_AgentGlobal[[#This Row],[Country]]</f>
        <v>GS3.GQ4.Response_RequiredIndia_FTF</v>
      </c>
      <c r="C35" s="353" t="e">
        <f ca="1">IFERROR(VLOOKUP(Network_AgentGlobal[[#This Row],[Question]],INDIRECT('Gen Info'!$D$4&amp;"[#All]"),13,FALSE),VLOOKUP(Network_AgentGlobal[[#This Row],[Question]],INDIRECT('Gen Info'!$D$4&amp;"_"&amp;'Gen Info'!$E$4&amp;"[#All]"),13,FALSE))</f>
        <v>#REF!</v>
      </c>
      <c r="D35" s="353" cm="1">
        <f t="array" aca="1" ref="D35"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35" s="353" t="s">
        <v>2720</v>
      </c>
      <c r="F35" s="353"/>
      <c r="G35" s="353"/>
      <c r="H35" s="353"/>
      <c r="I35" s="353" cm="1">
        <f t="array" ref="I35">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35" s="353" t="s">
        <v>2482</v>
      </c>
      <c r="K35" s="353"/>
      <c r="L35" s="353"/>
      <c r="M35" s="353"/>
      <c r="N35" s="353"/>
      <c r="O35" s="353"/>
      <c r="P35" s="353"/>
      <c r="Q35" s="353" t="s">
        <v>2215</v>
      </c>
      <c r="R35" s="353" t="s">
        <v>1517</v>
      </c>
      <c r="S35" s="353" t="s">
        <v>2196</v>
      </c>
      <c r="U35" t="str">
        <f>Master_Agent_HQsGlobal[[#This Row],[Question]]&amp;"."&amp;Master_Agent_HQsGlobal[[#This Row],[Action Type]]&amp;Master_Agent_HQsGlobal[[#This Row],[Country]]</f>
        <v>GS10.GQ8.Resolved_Onsite</v>
      </c>
      <c r="V35" t="str">
        <f ca="1">IFERROR(VLOOKUP(Master_Agent_HQsGlobal[[#This Row],[Question]],Master_Agent_HQs[#All],13,FALSE),VLOOKUP(Master_Agent_HQsGlobal[[#This Row],[Question]],INDIRECT("Master_Agent_HQs"&amp;'Gen Info'!$E$4&amp;"[#All]"),13,FALSE))</f>
        <v>Administración y Supervisión de Subagentes</v>
      </c>
      <c r="W35" t="str" cm="1">
        <f t="array" ref="W35">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puede demostrar que las Políticas y Procedimientos de AML/CFT y Anti-fraude del Sub-Agente incluyen los estándares mínimos aceptados por Western Union y las secciones que abordan todos los temas requeridos en su jurisdicción.</v>
      </c>
      <c r="X35" t="s">
        <v>2755</v>
      </c>
      <c r="AA35" s="143"/>
      <c r="AB35" t="str" cm="1">
        <f t="array" ref="AB35">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requiere acción. El agente ha sido debidamente entrenado en este tema durante la revisión.</v>
      </c>
      <c r="AC35" t="s">
        <v>2224</v>
      </c>
      <c r="AD35" t="s">
        <v>2756</v>
      </c>
      <c r="AE35" t="s">
        <v>2262</v>
      </c>
      <c r="AF35" t="s">
        <v>2757</v>
      </c>
      <c r="AG35" t="s">
        <v>2333</v>
      </c>
      <c r="AH35" t="s">
        <v>2758</v>
      </c>
      <c r="AI35" t="s">
        <v>2230</v>
      </c>
      <c r="AJ35" t="s">
        <v>2195</v>
      </c>
      <c r="AK35" t="s">
        <v>1783</v>
      </c>
      <c r="AO35" t="str">
        <f>IndependentGlobal[[#This Row],[Question]]&amp;"."&amp;IndependentGlobal[[#This Row],[Action Type]]&amp;IndependentGlobal[[#This Row],[Country]]</f>
        <v>GS12.RQ2.Resolved_OnsiteUnited_States</v>
      </c>
      <c r="AP35" t="e">
        <f ca="1">IFERROR(VLOOKUP(IndependentGlobal[[#This Row],[Question]],Independent[#All],13,FALSE),VLOOKUP(IndependentGlobal[[#This Row],[Question]],INDIRECT("Independent_"&amp;'Gen Info'!$E$4&amp;"[#All]"),13,FALSE))</f>
        <v>#REF!</v>
      </c>
      <c r="AQ35" t="str" cm="1">
        <f t="array" ref="AQ35">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sabe como procesar las cancelaciones.</v>
      </c>
      <c r="AR35" t="s">
        <v>2759</v>
      </c>
      <c r="AV35" t="str" cm="1">
        <f t="array" ref="AV35">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El agente ha sido debidamente entrenado en este tema durante la revisión.</v>
      </c>
      <c r="AW35" t="s">
        <v>2224</v>
      </c>
      <c r="AX35" t="s">
        <v>2760</v>
      </c>
      <c r="AY35" t="s">
        <v>2226</v>
      </c>
      <c r="AZ35" t="s">
        <v>2761</v>
      </c>
      <c r="BA35" t="s">
        <v>2762</v>
      </c>
      <c r="BB35" t="s">
        <v>2763</v>
      </c>
      <c r="BC35" t="s">
        <v>2230</v>
      </c>
      <c r="BD35" t="s">
        <v>2195</v>
      </c>
      <c r="BE35" t="s">
        <v>1004</v>
      </c>
      <c r="BF35" t="s">
        <v>2581</v>
      </c>
      <c r="BH35" t="str">
        <f>Independent_MO_OnlyGlobal[[#This Row],[Question]]&amp;"."&amp;Independent_MO_OnlyGlobal[[#This Row],[Action Type]]&amp;Independent_MO_OnlyGlobal[[#This Row],[Country]]</f>
        <v>GS10.GQ1.Response_Required</v>
      </c>
      <c r="BI35">
        <f ca="1">IFERROR(VLOOKUP(Independent_MO_OnlyGlobal[[#This Row],[Question]],Independent_MO_Only[#All],13,FALSE),VLOOKUP(Independent_MO_OnlyGlobal[[#This Row],[Question]],INDIRECT("Independent_MO_Only"&amp;'Gen Info'!$E$4&amp;"[#All]"),13,FALSE))</f>
        <v>0</v>
      </c>
      <c r="BJ35" cm="1">
        <f t="array" ref="BJ35">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35" t="s">
        <v>2699</v>
      </c>
      <c r="BO35" cm="1">
        <f t="array" ref="BO35">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35" t="s">
        <v>2764</v>
      </c>
      <c r="BW35" t="s">
        <v>2215</v>
      </c>
      <c r="BX35" t="s">
        <v>1312</v>
      </c>
      <c r="CB35" s="101" t="str">
        <f>Network_MO_OnlyGlobal[[#This Row],[Question]]&amp;"."&amp;Network_MO_OnlyGlobal[[#This Row],[Action Type]]&amp;Network_MO_OnlyGlobal[[#This Row],[Country]]</f>
        <v>GS6.GQ5.Response_Required</v>
      </c>
      <c r="CC35" s="101" t="e">
        <f ca="1">IFERROR(VLOOKUP(Network_MO_OnlyGlobal[[#This Row],[Question]],#REF!,13,FALSE),VLOOKUP(Network_MO_OnlyGlobal[[#This Row],[Question]],INDIRECT("Network_Agent_"&amp;'Gen Info'!$E$4&amp;"[#All]"),13,FALSE))</f>
        <v>#REF!</v>
      </c>
      <c r="CD35" s="101" cm="1">
        <f t="array" aca="1" ref="CD35"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35" t="s">
        <v>2765</v>
      </c>
      <c r="CF35" s="101"/>
      <c r="CG35" s="101"/>
      <c r="CH35" s="101"/>
      <c r="CI35" s="101" cm="1">
        <f t="array" ref="CI35">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35" s="101" t="s">
        <v>2766</v>
      </c>
      <c r="CK35" s="101"/>
      <c r="CL35" s="101"/>
      <c r="CM35" s="101"/>
      <c r="CN35" s="101"/>
      <c r="CO35" s="101"/>
      <c r="CP35" s="101"/>
      <c r="CQ35" s="101" t="s">
        <v>2215</v>
      </c>
      <c r="CR35" s="101" t="s">
        <v>1709</v>
      </c>
      <c r="CS35" s="101"/>
      <c r="CV35" s="101" t="str">
        <f>HQ_MO_OnlyGlobal[[#This Row],[Question]]&amp;"."&amp;HQ_MO_OnlyGlobal[[#This Row],[Action Type]]&amp;HQ_MO_OnlyGlobal[[#This Row],[Country]]</f>
        <v>GS1.RQ1.Resolved_OnsiteCanada</v>
      </c>
      <c r="CW35" s="101" t="e">
        <f ca="1">IFERROR(VLOOKUP(HQ_MO_OnlyGlobal[[#This Row],[Question]],INDIRECT('Gen Info'!$D$4&amp;"[#All]"),13,FALSE),VLOOKUP(HQ_MO_OnlyGlobal[[#This Row],[Question]],INDIRECT('Gen Info'!$D$4&amp;"_"&amp;'Gen Info'!$E$4&amp;"[#All]"),13,FALSE))</f>
        <v>#REF!</v>
      </c>
      <c r="CX35" s="101" cm="1">
        <f t="array" aca="1" ref="CX35" ca="1">IFERROR(_xlfn.IFS(LocationInfo[Select Letter Language]="English",_xlfn.IFS(VLOOKUP(HQ_MO_OnlyGlobal[[#This Row],[Question]],CallTb[[#All],[iWatch '#]:[Finding Type]],6,FALSE)="","",VLOOKUP(HQ_MO_OnlyGlobal[[#This Row],[Question]],CallTb[[#All],[iWatch '#]:[Finding Type]],6,FALSE)="No_AML",HQ_MO_OnlyGlobal[[#This Row],[Finding English AML]],VLOOKUP(HQ_MO_OnlyGlobal[[#This Row],[Question]],CallTb[[#All],[iWatch '#]:[Finding Type]],6,FALSE)="No",HQ_MO_OnlyGlobal[[#This Row],[Finding English]]),LocationInfo[Select Letter Language]="Spanish",HQ_MO_OnlyGlobal[[#This Row],[Finding Spanish]],LocationInfo[Select Letter Language]="French",HQ_MO_OnlyGlobal[[#This Row],[Finding French]],LocationInfo[Select Letter Language]="Portuguese",HQ_MO_OnlyGlobal[[#This Row],[Finding Portuguese]]),"")</f>
        <v>0</v>
      </c>
      <c r="CY35" s="101" t="s">
        <v>2767</v>
      </c>
      <c r="CZ35" s="101"/>
      <c r="DA35" s="101"/>
      <c r="DB35" s="101"/>
      <c r="DC35" s="101" cm="1">
        <f t="array" ref="DC35">IFERROR(_xlfn.IFS(LocationInfo[Select Letter Language]="English",HQ_MO_OnlyGlobal[[#This Row],[Action Required English]],LocationInfo[Select Letter Language]="Spanish",HQ_MO_OnlyGlobal[[#This Row],[Action Required Spanish]],LocationInfo[Select Letter Language]="French",HQ_MO_OnlyGlobal[[#This Row],[Action Required French]],LocationInfo[Select Letter Language]="Portuguese",HQ_MO_OnlyGlobal[[#This Row],[Action Required Portuguese]]),"")</f>
        <v>0</v>
      </c>
      <c r="DD35" s="101" t="s">
        <v>2768</v>
      </c>
      <c r="DE35" s="101"/>
      <c r="DF35" s="101"/>
      <c r="DG35" s="101"/>
      <c r="DH35" s="101"/>
      <c r="DI35" s="101"/>
      <c r="DJ35" s="101"/>
      <c r="DK35" s="101" t="s">
        <v>2195</v>
      </c>
      <c r="DL35" s="101" t="s">
        <v>1645</v>
      </c>
      <c r="DM35" s="101" t="s">
        <v>2281</v>
      </c>
    </row>
    <row r="36" spans="2:117" hidden="1">
      <c r="B36" s="353" t="str">
        <f>Network_AgentGlobal[[#This Row],[Question]]&amp;"."&amp;Network_AgentGlobal[[#This Row],[Action Type]]&amp;Network_AgentGlobal[[#This Row],[Country]]</f>
        <v>GS3.GQ4.SuspensionIndia_FTF</v>
      </c>
      <c r="C36" s="353" t="e">
        <f ca="1">IFERROR(VLOOKUP(Network_AgentGlobal[[#This Row],[Question]],INDIRECT('Gen Info'!$D$4&amp;"[#All]"),13,FALSE),VLOOKUP(Network_AgentGlobal[[#This Row],[Question]],INDIRECT('Gen Info'!$D$4&amp;"_"&amp;'Gen Info'!$E$4&amp;"[#All]"),13,FALSE))</f>
        <v>#REF!</v>
      </c>
      <c r="D36" s="353" cm="1">
        <f t="array" aca="1" ref="D36"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36" s="353" t="s">
        <v>2769</v>
      </c>
      <c r="F36" s="353"/>
      <c r="G36" s="353"/>
      <c r="H36" s="353"/>
      <c r="I36" s="353" cm="1">
        <f t="array" ref="I36">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36" s="353" t="s">
        <v>2221</v>
      </c>
      <c r="K36" s="353"/>
      <c r="L36" s="353"/>
      <c r="M36" s="353"/>
      <c r="N36" s="353"/>
      <c r="O36" s="353"/>
      <c r="P36" s="353"/>
      <c r="Q36" s="353" t="s">
        <v>2222</v>
      </c>
      <c r="R36" s="353" t="s">
        <v>1517</v>
      </c>
      <c r="S36" s="353" t="s">
        <v>2196</v>
      </c>
      <c r="U36" t="str">
        <f>Master_Agent_HQsGlobal[[#This Row],[Question]]&amp;"."&amp;Master_Agent_HQsGlobal[[#This Row],[Action Type]]&amp;Master_Agent_HQsGlobal[[#This Row],[Country]]</f>
        <v>GS10.GQ9.Resolved_Onsite</v>
      </c>
      <c r="V36" t="str">
        <f ca="1">IFERROR(VLOOKUP(Master_Agent_HQsGlobal[[#This Row],[Question]],Master_Agent_HQs[#All],13,FALSE),VLOOKUP(Master_Agent_HQsGlobal[[#This Row],[Question]],INDIRECT("Master_Agent_HQs"&amp;'Gen Info'!$E$4&amp;"[#All]"),13,FALSE))</f>
        <v>Administración y Supervisión de Subagentes</v>
      </c>
      <c r="W36" t="str" cm="1">
        <f t="array" ref="W36">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puede demostrar que está realizando revisiones a sus Sub-agentes para validar el cumplimiento de los requerimientos del programa.</v>
      </c>
      <c r="X36" t="s">
        <v>2770</v>
      </c>
      <c r="AA36" s="143"/>
      <c r="AB36" t="str" cm="1">
        <f t="array" ref="AB36">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requiere acción. El agente ha sido debidamente entrenado en este tema durante la revisión.</v>
      </c>
      <c r="AC36" t="s">
        <v>2224</v>
      </c>
      <c r="AD36" t="s">
        <v>2771</v>
      </c>
      <c r="AE36" t="s">
        <v>2262</v>
      </c>
      <c r="AF36" t="s">
        <v>2772</v>
      </c>
      <c r="AG36" t="s">
        <v>2333</v>
      </c>
      <c r="AH36" t="s">
        <v>2773</v>
      </c>
      <c r="AI36" t="s">
        <v>2230</v>
      </c>
      <c r="AJ36" t="s">
        <v>2195</v>
      </c>
      <c r="AK36" t="s">
        <v>1789</v>
      </c>
      <c r="AO36" t="str">
        <f>IndependentGlobal[[#This Row],[Question]]&amp;"."&amp;IndependentGlobal[[#This Row],[Action Type]]&amp;IndependentGlobal[[#This Row],[Country]]</f>
        <v>GS12.RQ3.Resolved_OnsiteUnited_States</v>
      </c>
      <c r="AP36" t="e">
        <f ca="1">IFERROR(VLOOKUP(IndependentGlobal[[#This Row],[Question]],Independent[#All],13,FALSE),VLOOKUP(IndependentGlobal[[#This Row],[Question]],INDIRECT("Independent_"&amp;'Gen Info'!$E$4&amp;"[#All]"),13,FALSE))</f>
        <v>#REF!</v>
      </c>
      <c r="AQ36" t="str" cm="1">
        <f t="array" ref="AQ36">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conoce los requerimientos de Dodd-Frank relacionados al manejo de las quejas de los clientes.</v>
      </c>
      <c r="AR36" t="s">
        <v>2774</v>
      </c>
      <c r="AV36" t="str" cm="1">
        <f t="array" ref="AV36">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El agente ha sido debidamente entrenado en este tema durante la revisión.</v>
      </c>
      <c r="AW36" t="s">
        <v>2224</v>
      </c>
      <c r="AX36" t="s">
        <v>2775</v>
      </c>
      <c r="AY36" t="s">
        <v>2226</v>
      </c>
      <c r="AZ36" t="s">
        <v>2776</v>
      </c>
      <c r="BA36" t="s">
        <v>2749</v>
      </c>
      <c r="BB36" t="s">
        <v>2777</v>
      </c>
      <c r="BC36" t="s">
        <v>2230</v>
      </c>
      <c r="BD36" t="s">
        <v>2195</v>
      </c>
      <c r="BE36" t="s">
        <v>1020</v>
      </c>
      <c r="BF36" t="s">
        <v>2581</v>
      </c>
      <c r="BH36" t="str">
        <f>Independent_MO_OnlyGlobal[[#This Row],[Question]]&amp;"."&amp;Independent_MO_OnlyGlobal[[#This Row],[Action Type]]&amp;Independent_MO_OnlyGlobal[[#This Row],[Country]]</f>
        <v>GS10.GQ2.Response_Required</v>
      </c>
      <c r="BI36">
        <f ca="1">IFERROR(VLOOKUP(Independent_MO_OnlyGlobal[[#This Row],[Question]],Independent_MO_Only[#All],13,FALSE),VLOOKUP(Independent_MO_OnlyGlobal[[#This Row],[Question]],INDIRECT("Independent_MO_Only"&amp;'Gen Info'!$E$4&amp;"[#All]"),13,FALSE))</f>
        <v>0</v>
      </c>
      <c r="BJ36" cm="1">
        <f t="array" ref="BJ36">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36" t="s">
        <v>2641</v>
      </c>
      <c r="BO36" cm="1">
        <f t="array" ref="BO36">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36" t="s">
        <v>2764</v>
      </c>
      <c r="BW36" t="s">
        <v>2215</v>
      </c>
      <c r="BX36" t="s">
        <v>1326</v>
      </c>
      <c r="CB36" s="101" t="str">
        <f>Network_MO_OnlyGlobal[[#This Row],[Question]]&amp;"."&amp;Network_MO_OnlyGlobal[[#This Row],[Action Type]]&amp;Network_MO_OnlyGlobal[[#This Row],[Country]]</f>
        <v>GS3.RQ1.Resolved_OnsiteUnited_States</v>
      </c>
      <c r="CC36" s="101" t="e">
        <f ca="1">IFERROR(VLOOKUP(Network_MO_OnlyGlobal[[#This Row],[Question]],#REF!,13,FALSE),VLOOKUP(Network_MO_OnlyGlobal[[#This Row],[Question]],INDIRECT("Network_Agent_"&amp;'Gen Info'!$E$4&amp;"[#All]"),13,FALSE))</f>
        <v>#REF!</v>
      </c>
      <c r="CD36" s="101" cm="1">
        <f t="array" aca="1" ref="CD36"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36" t="s">
        <v>2778</v>
      </c>
      <c r="CF36" s="101"/>
      <c r="CG36" s="101"/>
      <c r="CH36" s="101"/>
      <c r="CI36" s="101" cm="1">
        <f t="array" ref="CI36">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36" s="353" t="s">
        <v>2362</v>
      </c>
      <c r="CK36" s="101"/>
      <c r="CL36" s="101"/>
      <c r="CM36" s="101"/>
      <c r="CN36" s="101"/>
      <c r="CO36" s="101"/>
      <c r="CP36" s="101"/>
      <c r="CQ36" s="101" t="s">
        <v>2195</v>
      </c>
      <c r="CR36" s="353" t="s">
        <v>630</v>
      </c>
      <c r="CS36" s="353" t="s">
        <v>2581</v>
      </c>
      <c r="CV36" s="101" t="str">
        <f>HQ_MO_OnlyGlobal[[#This Row],[Question]]&amp;"."&amp;HQ_MO_OnlyGlobal[[#This Row],[Action Type]]&amp;HQ_MO_OnlyGlobal[[#This Row],[Country]]</f>
        <v>GS1.RQ2.EscalateCanada</v>
      </c>
      <c r="CW36" s="101" t="e">
        <f ca="1">IFERROR(VLOOKUP(HQ_MO_OnlyGlobal[[#This Row],[Question]],INDIRECT('Gen Info'!$D$4&amp;"[#All]"),13,FALSE),VLOOKUP(HQ_MO_OnlyGlobal[[#This Row],[Question]],INDIRECT('Gen Info'!$D$4&amp;"_"&amp;'Gen Info'!$E$4&amp;"[#All]"),13,FALSE))</f>
        <v>#REF!</v>
      </c>
      <c r="CX36" s="101" cm="1">
        <f t="array" aca="1" ref="CX36" ca="1">IFERROR(_xlfn.IFS(LocationInfo[Select Letter Language]="English",_xlfn.IFS(VLOOKUP(HQ_MO_OnlyGlobal[[#This Row],[Question]],CallTb[[#All],[iWatch '#]:[Finding Type]],6,FALSE)="","",VLOOKUP(HQ_MO_OnlyGlobal[[#This Row],[Question]],CallTb[[#All],[iWatch '#]:[Finding Type]],6,FALSE)="No_AML",HQ_MO_OnlyGlobal[[#This Row],[Finding English AML]],VLOOKUP(HQ_MO_OnlyGlobal[[#This Row],[Question]],CallTb[[#All],[iWatch '#]:[Finding Type]],6,FALSE)="No",HQ_MO_OnlyGlobal[[#This Row],[Finding English]]),LocationInfo[Select Letter Language]="Spanish",HQ_MO_OnlyGlobal[[#This Row],[Finding Spanish]],LocationInfo[Select Letter Language]="French",HQ_MO_OnlyGlobal[[#This Row],[Finding French]],LocationInfo[Select Letter Language]="Portuguese",HQ_MO_OnlyGlobal[[#This Row],[Finding Portuguese]]),"")</f>
        <v>0</v>
      </c>
      <c r="CY36" s="101" t="s">
        <v>2779</v>
      </c>
      <c r="CZ36" s="101"/>
      <c r="DA36" s="101"/>
      <c r="DB36" s="101"/>
      <c r="DC36" s="101" cm="1">
        <f t="array" ref="DC36">IFERROR(_xlfn.IFS(LocationInfo[Select Letter Language]="English",HQ_MO_OnlyGlobal[[#This Row],[Action Required English]],LocationInfo[Select Letter Language]="Spanish",HQ_MO_OnlyGlobal[[#This Row],[Action Required Spanish]],LocationInfo[Select Letter Language]="French",HQ_MO_OnlyGlobal[[#This Row],[Action Required French]],LocationInfo[Select Letter Language]="Portuguese",HQ_MO_OnlyGlobal[[#This Row],[Action Required Portuguese]]),"")</f>
        <v>0</v>
      </c>
      <c r="DD36" s="101" t="s">
        <v>2780</v>
      </c>
      <c r="DE36" s="101"/>
      <c r="DF36" s="101"/>
      <c r="DG36" s="101"/>
      <c r="DH36" s="101"/>
      <c r="DI36" s="101"/>
      <c r="DJ36" s="101"/>
      <c r="DK36" s="101" t="s">
        <v>2780</v>
      </c>
      <c r="DL36" s="101" t="s">
        <v>2781</v>
      </c>
      <c r="DM36" s="101" t="s">
        <v>2281</v>
      </c>
    </row>
    <row r="37" spans="2:117" hidden="1">
      <c r="B37" s="353" t="str">
        <f>Network_AgentGlobal[[#This Row],[Question]]&amp;"."&amp;Network_AgentGlobal[[#This Row],[Action Type]]&amp;Network_AgentGlobal[[#This Row],[Country]]</f>
        <v>GS3.GQ5.India_FTF</v>
      </c>
      <c r="C37" s="353" t="e">
        <f ca="1">IFERROR(VLOOKUP(Network_AgentGlobal[[#This Row],[Question]],INDIRECT('Gen Info'!$D$4&amp;"[#All]"),13,FALSE),VLOOKUP(Network_AgentGlobal[[#This Row],[Question]],INDIRECT('Gen Info'!$D$4&amp;"_"&amp;'Gen Info'!$E$4&amp;"[#All]"),13,FALSE))</f>
        <v>#REF!</v>
      </c>
      <c r="D37" s="353" cm="1">
        <f t="array" aca="1" ref="D37"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37" s="353" t="s">
        <v>1403</v>
      </c>
      <c r="F37" s="353"/>
      <c r="G37" s="353"/>
      <c r="H37" s="353"/>
      <c r="I37" s="353" cm="1">
        <f t="array" ref="I37">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37" s="353" t="s">
        <v>1403</v>
      </c>
      <c r="K37" s="353"/>
      <c r="L37" s="353"/>
      <c r="M37" s="353"/>
      <c r="N37" s="353"/>
      <c r="O37" s="353"/>
      <c r="P37" s="353"/>
      <c r="Q37" s="353"/>
      <c r="R37" s="353" t="s">
        <v>1637</v>
      </c>
      <c r="S37" s="353" t="s">
        <v>2196</v>
      </c>
      <c r="U37" t="str">
        <f>Master_Agent_HQsGlobal[[#This Row],[Question]]&amp;"."&amp;Master_Agent_HQsGlobal[[#This Row],[Action Type]]&amp;Master_Agent_HQsGlobal[[#This Row],[Country]]</f>
        <v>GS10.GQ12.Resolved_Onsite</v>
      </c>
      <c r="V37" t="str">
        <f ca="1">IFERROR(VLOOKUP(Master_Agent_HQsGlobal[[#This Row],[Question]],Master_Agent_HQs[#All],13,FALSE),VLOOKUP(Master_Agent_HQsGlobal[[#This Row],[Question]],INDIRECT("Master_Agent_HQs"&amp;'Gen Info'!$E$4&amp;"[#All]"),13,FALSE))</f>
        <v>Administración y Supervisión de Subagentes</v>
      </c>
      <c r="W37" t="str" cm="1">
        <f t="array" ref="W37">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suspende ni termina a los Sub-agentes por incumplimientos identificados a través de actividades de supervisión.</v>
      </c>
      <c r="X37" t="s">
        <v>2782</v>
      </c>
      <c r="AA37" s="143"/>
      <c r="AB37" t="str" cm="1">
        <f t="array" ref="AB37">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requiere acción. El agente ha sido debidamente entrenado en este tema durante la revisión.</v>
      </c>
      <c r="AC37" t="s">
        <v>2224</v>
      </c>
      <c r="AD37" t="s">
        <v>2783</v>
      </c>
      <c r="AE37" t="s">
        <v>2262</v>
      </c>
      <c r="AF37" t="s">
        <v>2784</v>
      </c>
      <c r="AG37" t="s">
        <v>2333</v>
      </c>
      <c r="AH37" t="s">
        <v>2785</v>
      </c>
      <c r="AI37" t="s">
        <v>2230</v>
      </c>
      <c r="AJ37" t="s">
        <v>2195</v>
      </c>
      <c r="AK37" t="s">
        <v>1802</v>
      </c>
      <c r="AO37" t="str">
        <f>IndependentGlobal[[#This Row],[Question]]&amp;"."&amp;IndependentGlobal[[#This Row],[Action Type]]&amp;IndependentGlobal[[#This Row],[Country]]</f>
        <v>GS12.RQ4.Resolved_OnsiteUnited_States</v>
      </c>
      <c r="AP37" t="e">
        <f ca="1">IFERROR(VLOOKUP(IndependentGlobal[[#This Row],[Question]],Independent[#All],13,FALSE),VLOOKUP(IndependentGlobal[[#This Row],[Question]],INDIRECT("Independent_"&amp;'Gen Info'!$E$4&amp;"[#All]"),13,FALSE))</f>
        <v>#REF!</v>
      </c>
      <c r="AQ37" t="str" cm="1">
        <f t="array" ref="AQ37">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sabe como imprimir y explicar el documento de "Error Resolution and Cancellation Rights statement".</v>
      </c>
      <c r="AR37" t="s">
        <v>2786</v>
      </c>
      <c r="AV37" t="str" cm="1">
        <f t="array" ref="AV37">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El agente ha sido debidamente entrenado en este tema durante la revisión.</v>
      </c>
      <c r="AW37" t="s">
        <v>2224</v>
      </c>
      <c r="AX37" t="s">
        <v>2787</v>
      </c>
      <c r="AY37" t="s">
        <v>2226</v>
      </c>
      <c r="AZ37" t="s">
        <v>2788</v>
      </c>
      <c r="BA37" t="s">
        <v>2749</v>
      </c>
      <c r="BB37" t="s">
        <v>2789</v>
      </c>
      <c r="BC37" t="s">
        <v>2230</v>
      </c>
      <c r="BD37" t="s">
        <v>2195</v>
      </c>
      <c r="BE37" t="s">
        <v>1036</v>
      </c>
      <c r="BF37" t="s">
        <v>2581</v>
      </c>
      <c r="BH37" t="str">
        <f>Independent_MO_OnlyGlobal[[#This Row],[Question]]&amp;"."&amp;Independent_MO_OnlyGlobal[[#This Row],[Action Type]]&amp;Independent_MO_OnlyGlobal[[#This Row],[Country]]</f>
        <v>GS10.GQ3.Response_Required</v>
      </c>
      <c r="BI37">
        <f ca="1">IFERROR(VLOOKUP(Independent_MO_OnlyGlobal[[#This Row],[Question]],Independent_MO_Only[#All],13,FALSE),VLOOKUP(Independent_MO_OnlyGlobal[[#This Row],[Question]],INDIRECT("Independent_MO_Only"&amp;'Gen Info'!$E$4&amp;"[#All]"),13,FALSE))</f>
        <v>0</v>
      </c>
      <c r="BJ37" cm="1">
        <f t="array" ref="BJ37">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37" t="s">
        <v>2790</v>
      </c>
      <c r="BO37" cm="1">
        <f t="array" ref="BO37">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37" t="s">
        <v>2764</v>
      </c>
      <c r="BW37" t="s">
        <v>2215</v>
      </c>
      <c r="BX37" t="s">
        <v>1343</v>
      </c>
      <c r="CB37" s="101" t="str">
        <f>Network_MO_OnlyGlobal[[#This Row],[Question]]&amp;"."&amp;Network_MO_OnlyGlobal[[#This Row],[Action Type]]&amp;Network_MO_OnlyGlobal[[#This Row],[Country]]</f>
        <v>GS6.RQ1.Resolved_OnsiteUnited_States</v>
      </c>
      <c r="CC37" s="101" t="e">
        <f ca="1">IFERROR(VLOOKUP(Network_MO_OnlyGlobal[[#This Row],[Question]],#REF!,13,FALSE),VLOOKUP(Network_MO_OnlyGlobal[[#This Row],[Question]],INDIRECT("Network_Agent_"&amp;'Gen Info'!$E$4&amp;"[#All]"),13,FALSE))</f>
        <v>#REF!</v>
      </c>
      <c r="CD37" s="101" cm="1">
        <f t="array" aca="1" ref="CD37"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37" t="s">
        <v>2791</v>
      </c>
      <c r="CF37" s="101"/>
      <c r="CG37" s="101"/>
      <c r="CH37" s="101"/>
      <c r="CI37" s="101" cm="1">
        <f t="array" ref="CI37">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37" s="353" t="s">
        <v>2362</v>
      </c>
      <c r="CK37" s="101"/>
      <c r="CL37" s="101"/>
      <c r="CM37" s="101"/>
      <c r="CN37" s="101"/>
      <c r="CO37" s="101"/>
      <c r="CP37" s="101"/>
      <c r="CQ37" s="101" t="s">
        <v>2195</v>
      </c>
      <c r="CR37" s="353" t="s">
        <v>579</v>
      </c>
      <c r="CS37" s="353" t="s">
        <v>2581</v>
      </c>
      <c r="CV37" s="101" t="str">
        <f>HQ_MO_OnlyGlobal[[#This Row],[Question]]&amp;"."&amp;HQ_MO_OnlyGlobal[[#This Row],[Action Type]]&amp;HQ_MO_OnlyGlobal[[#This Row],[Country]]</f>
        <v>GS6.RQ1.Response_RequiredUnited_States</v>
      </c>
      <c r="CW37" s="101" t="e">
        <f ca="1">IFERROR(VLOOKUP(HQ_MO_OnlyGlobal[[#This Row],[Question]],INDIRECT('Gen Info'!$D$4&amp;"[#All]"),13,FALSE),VLOOKUP(HQ_MO_OnlyGlobal[[#This Row],[Question]],INDIRECT('Gen Info'!$D$4&amp;"_"&amp;'Gen Info'!$E$4&amp;"[#All]"),13,FALSE))</f>
        <v>#REF!</v>
      </c>
      <c r="CX37" s="101" cm="1">
        <f t="array" aca="1" ref="CX37" ca="1">IFERROR(_xlfn.IFS(LocationInfo[Select Letter Language]="English",_xlfn.IFS(VLOOKUP(HQ_MO_OnlyGlobal[[#This Row],[Question]],CallTb[[#All],[iWatch '#]:[Finding Type]],6,FALSE)="","",VLOOKUP(HQ_MO_OnlyGlobal[[#This Row],[Question]],CallTb[[#All],[iWatch '#]:[Finding Type]],6,FALSE)="No_AML",HQ_MO_OnlyGlobal[[#This Row],[Finding English AML]],VLOOKUP(HQ_MO_OnlyGlobal[[#This Row],[Question]],CallTb[[#All],[iWatch '#]:[Finding Type]],6,FALSE)="No",HQ_MO_OnlyGlobal[[#This Row],[Finding English]]),LocationInfo[Select Letter Language]="Spanish",HQ_MO_OnlyGlobal[[#This Row],[Finding Spanish]],LocationInfo[Select Letter Language]="French",HQ_MO_OnlyGlobal[[#This Row],[Finding French]],LocationInfo[Select Letter Language]="Portuguese",HQ_MO_OnlyGlobal[[#This Row],[Finding Portuguese]]),"")</f>
        <v>0</v>
      </c>
      <c r="CY37" s="101" t="s">
        <v>2792</v>
      </c>
      <c r="CZ37" s="101"/>
      <c r="DA37" s="101"/>
      <c r="DB37" s="101"/>
      <c r="DC37" s="101" cm="1">
        <f t="array" ref="DC37">IFERROR(_xlfn.IFS(LocationInfo[Select Letter Language]="English",HQ_MO_OnlyGlobal[[#This Row],[Action Required English]],LocationInfo[Select Letter Language]="Spanish",HQ_MO_OnlyGlobal[[#This Row],[Action Required Spanish]],LocationInfo[Select Letter Language]="French",HQ_MO_OnlyGlobal[[#This Row],[Action Required French]],LocationInfo[Select Letter Language]="Portuguese",HQ_MO_OnlyGlobal[[#This Row],[Action Required Portuguese]]),"")</f>
        <v>0</v>
      </c>
      <c r="DD37" s="101" t="s">
        <v>2793</v>
      </c>
      <c r="DE37" s="101"/>
      <c r="DF37" s="101"/>
      <c r="DG37" s="101"/>
      <c r="DH37" s="101"/>
      <c r="DI37" s="101"/>
      <c r="DJ37" s="101"/>
      <c r="DK37" s="101" t="s">
        <v>2215</v>
      </c>
      <c r="DL37" s="101" t="s">
        <v>579</v>
      </c>
      <c r="DM37" s="101" t="s">
        <v>2581</v>
      </c>
    </row>
    <row r="38" spans="2:117" hidden="1">
      <c r="B38" s="353" t="str">
        <f>Network_AgentGlobal[[#This Row],[Question]]&amp;"."&amp;Network_AgentGlobal[[#This Row],[Action Type]]&amp;Network_AgentGlobal[[#This Row],[Country]]</f>
        <v>GS3.RQ1.Resolved_OnsiteIndia_FTF</v>
      </c>
      <c r="C38" s="353" t="e">
        <f ca="1">IFERROR(VLOOKUP(Network_AgentGlobal[[#This Row],[Question]],INDIRECT('Gen Info'!$D$4&amp;"[#All]"),13,FALSE),VLOOKUP(Network_AgentGlobal[[#This Row],[Question]],INDIRECT('Gen Info'!$D$4&amp;"_"&amp;'Gen Info'!$E$4&amp;"[#All]"),13,FALSE))</f>
        <v>#REF!</v>
      </c>
      <c r="D38" s="353" cm="1">
        <f t="array" aca="1" ref="D38"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38" s="353" t="s">
        <v>2794</v>
      </c>
      <c r="F38" s="353"/>
      <c r="G38" s="353"/>
      <c r="H38" s="353"/>
      <c r="I38" s="353" cm="1">
        <f t="array" ref="I38">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38" s="353" t="s">
        <v>2795</v>
      </c>
      <c r="K38" s="353"/>
      <c r="L38" s="353"/>
      <c r="M38" s="353"/>
      <c r="N38" s="353"/>
      <c r="O38" s="353"/>
      <c r="P38" s="353"/>
      <c r="Q38" s="353" t="s">
        <v>2195</v>
      </c>
      <c r="R38" s="353" t="s">
        <v>630</v>
      </c>
      <c r="S38" s="353" t="s">
        <v>2196</v>
      </c>
      <c r="U38" t="str">
        <f>Master_Agent_HQsGlobal[[#This Row],[Question]]&amp;"."&amp;Master_Agent_HQsGlobal[[#This Row],[Action Type]]&amp;Master_Agent_HQsGlobal[[#This Row],[Country]]</f>
        <v>GS10.GQ13.Resolved_Onsite</v>
      </c>
      <c r="V38" t="str">
        <f ca="1">IFERROR(VLOOKUP(Master_Agent_HQsGlobal[[#This Row],[Question]],Master_Agent_HQs[#All],13,FALSE),VLOOKUP(Master_Agent_HQsGlobal[[#This Row],[Question]],INDIRECT("Master_Agent_HQs"&amp;'Gen Info'!$E$4&amp;"[#All]"),13,FALSE))</f>
        <v>Administración y Supervisión de Subagentes</v>
      </c>
      <c r="W38" t="str" cm="1">
        <f t="array" ref="W38">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puede demostrar que sus Sub-agentes tienen licencia o están registrados como se requiere antes de concretar un acuerdo de Sub-agente.</v>
      </c>
      <c r="X38" t="s">
        <v>2796</v>
      </c>
      <c r="AA38" s="143"/>
      <c r="AB38" t="str" cm="1">
        <f t="array" ref="AB38">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requiere acción. El agente ha sido debidamente entrenado en este tema durante la revisión.</v>
      </c>
      <c r="AC38" t="s">
        <v>2224</v>
      </c>
      <c r="AD38" t="s">
        <v>2797</v>
      </c>
      <c r="AE38" t="s">
        <v>2262</v>
      </c>
      <c r="AF38" t="s">
        <v>2798</v>
      </c>
      <c r="AG38" t="s">
        <v>2333</v>
      </c>
      <c r="AH38" t="s">
        <v>2799</v>
      </c>
      <c r="AI38" t="s">
        <v>2230</v>
      </c>
      <c r="AJ38" t="s">
        <v>2195</v>
      </c>
      <c r="AK38" t="s">
        <v>1808</v>
      </c>
      <c r="AO38" t="str">
        <f>IndependentGlobal[[#This Row],[Question]]&amp;"."&amp;IndependentGlobal[[#This Row],[Action Type]]&amp;IndependentGlobal[[#This Row],[Country]]</f>
        <v>GS12.RQ5.Resolved_OnsiteUnited_States</v>
      </c>
      <c r="AP38" t="e">
        <f ca="1">IFERROR(VLOOKUP(IndependentGlobal[[#This Row],[Question]],Independent[#All],13,FALSE),VLOOKUP(IndependentGlobal[[#This Row],[Question]],INDIRECT("Independent_"&amp;'Gen Info'!$E$4&amp;"[#All]"),13,FALSE))</f>
        <v>#REF!</v>
      </c>
      <c r="AQ38" t="str" cm="1">
        <f t="array" ref="AQ38">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muestra los materiales de mercadeo de Western Union en idiomas no aprobados.</v>
      </c>
      <c r="AR38" t="s">
        <v>2800</v>
      </c>
      <c r="AV38" t="str" cm="1">
        <f t="array" ref="AV38">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El agente ha sido debidamente entrenado en este tema durante la revisión.</v>
      </c>
      <c r="AW38" t="s">
        <v>2224</v>
      </c>
      <c r="AX38" t="s">
        <v>2801</v>
      </c>
      <c r="AY38" t="s">
        <v>2226</v>
      </c>
      <c r="AZ38" t="s">
        <v>2802</v>
      </c>
      <c r="BA38" t="s">
        <v>2749</v>
      </c>
      <c r="BB38" t="s">
        <v>2803</v>
      </c>
      <c r="BC38" t="s">
        <v>2230</v>
      </c>
      <c r="BD38" t="s">
        <v>2195</v>
      </c>
      <c r="BE38" t="s">
        <v>1048</v>
      </c>
      <c r="BF38" t="s">
        <v>2581</v>
      </c>
      <c r="BH38" t="str">
        <f>Independent_MO_OnlyGlobal[[#This Row],[Question]]&amp;"."&amp;Independent_MO_OnlyGlobal[[#This Row],[Action Type]]&amp;Independent_MO_OnlyGlobal[[#This Row],[Country]]</f>
        <v>GS6.RQ1.Response_Required</v>
      </c>
      <c r="BI38" t="e">
        <f ca="1">IFERROR(VLOOKUP(Independent_MO_OnlyGlobal[[#This Row],[Question]],Independent_MO_Only[#All],13,FALSE),VLOOKUP(Independent_MO_OnlyGlobal[[#This Row],[Question]],INDIRECT("Independent_MO_Only"&amp;'Gen Info'!$E$4&amp;"[#All]"),13,FALSE))</f>
        <v>#REF!</v>
      </c>
      <c r="BJ38" cm="1">
        <f t="array" ref="BJ38">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38" t="s">
        <v>2537</v>
      </c>
      <c r="BO38" cm="1">
        <f t="array" ref="BO38">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38" t="s">
        <v>2804</v>
      </c>
      <c r="BW38" t="s">
        <v>2215</v>
      </c>
      <c r="BX38" t="s">
        <v>579</v>
      </c>
      <c r="CB38" s="101" t="str">
        <f>Network_MO_OnlyGlobal[[#This Row],[Question]]&amp;"."&amp;Network_MO_OnlyGlobal[[#This Row],[Action Type]]&amp;Network_MO_OnlyGlobal[[#This Row],[Country]]</f>
        <v>GS6.RQ1.Response_RequiredUnited_States</v>
      </c>
      <c r="CC38" s="101" t="e">
        <f ca="1">IFERROR(VLOOKUP(Network_MO_OnlyGlobal[[#This Row],[Question]],#REF!,13,FALSE),VLOOKUP(Network_MO_OnlyGlobal[[#This Row],[Question]],INDIRECT("Network_Agent_"&amp;'Gen Info'!$E$4&amp;"[#All]"),13,FALSE))</f>
        <v>#REF!</v>
      </c>
      <c r="CD38" s="101" cm="1">
        <f t="array" aca="1" ref="CD38"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38" t="s">
        <v>2791</v>
      </c>
      <c r="CF38" s="101"/>
      <c r="CG38" s="101"/>
      <c r="CH38" s="101"/>
      <c r="CI38" s="101" cm="1">
        <f t="array" ref="CI38">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38" s="101" t="s">
        <v>2388</v>
      </c>
      <c r="CK38" s="101"/>
      <c r="CL38" s="101"/>
      <c r="CM38" s="101"/>
      <c r="CN38" s="101"/>
      <c r="CO38" s="101"/>
      <c r="CP38" s="101"/>
      <c r="CQ38" s="101" t="s">
        <v>2215</v>
      </c>
      <c r="CR38" s="353" t="s">
        <v>579</v>
      </c>
      <c r="CS38" s="353" t="s">
        <v>2581</v>
      </c>
      <c r="CV38" s="101" t="str">
        <f>HQ_MO_OnlyGlobal[[#This Row],[Question]]&amp;"."&amp;HQ_MO_OnlyGlobal[[#This Row],[Action Type]]&amp;HQ_MO_OnlyGlobal[[#This Row],[Country]]</f>
        <v>GS6.RQ1.Resolved_OnsiteUnited_States</v>
      </c>
      <c r="CW38" s="101" t="e">
        <f ca="1">IFERROR(VLOOKUP(HQ_MO_OnlyGlobal[[#This Row],[Question]],INDIRECT('Gen Info'!$D$4&amp;"[#All]"),13,FALSE),VLOOKUP(HQ_MO_OnlyGlobal[[#This Row],[Question]],INDIRECT('Gen Info'!$D$4&amp;"_"&amp;'Gen Info'!$E$4&amp;"[#All]"),13,FALSE))</f>
        <v>#REF!</v>
      </c>
      <c r="CX38" s="101" cm="1">
        <f t="array" aca="1" ref="CX38" ca="1">IFERROR(_xlfn.IFS(LocationInfo[Select Letter Language]="English",_xlfn.IFS(VLOOKUP(HQ_MO_OnlyGlobal[[#This Row],[Question]],CallTb[[#All],[iWatch '#]:[Finding Type]],6,FALSE)="","",VLOOKUP(HQ_MO_OnlyGlobal[[#This Row],[Question]],CallTb[[#All],[iWatch '#]:[Finding Type]],6,FALSE)="No_AML",HQ_MO_OnlyGlobal[[#This Row],[Finding English AML]],VLOOKUP(HQ_MO_OnlyGlobal[[#This Row],[Question]],CallTb[[#All],[iWatch '#]:[Finding Type]],6,FALSE)="No",HQ_MO_OnlyGlobal[[#This Row],[Finding English]]),LocationInfo[Select Letter Language]="Spanish",HQ_MO_OnlyGlobal[[#This Row],[Finding Spanish]],LocationInfo[Select Letter Language]="French",HQ_MO_OnlyGlobal[[#This Row],[Finding French]],LocationInfo[Select Letter Language]="Portuguese",HQ_MO_OnlyGlobal[[#This Row],[Finding Portuguese]]),"")</f>
        <v>0</v>
      </c>
      <c r="CY38" s="101" t="s">
        <v>2792</v>
      </c>
      <c r="CZ38" s="101"/>
      <c r="DA38" s="101"/>
      <c r="DB38" s="101"/>
      <c r="DC38" s="101" cm="1">
        <f t="array" ref="DC38">IFERROR(_xlfn.IFS(LocationInfo[Select Letter Language]="English",HQ_MO_OnlyGlobal[[#This Row],[Action Required English]],LocationInfo[Select Letter Language]="Spanish",HQ_MO_OnlyGlobal[[#This Row],[Action Required Spanish]],LocationInfo[Select Letter Language]="French",HQ_MO_OnlyGlobal[[#This Row],[Action Required French]],LocationInfo[Select Letter Language]="Portuguese",HQ_MO_OnlyGlobal[[#This Row],[Action Required Portuguese]]),"")</f>
        <v>0</v>
      </c>
      <c r="DD38" s="101" t="s">
        <v>2805</v>
      </c>
      <c r="DE38" s="101"/>
      <c r="DF38" s="101"/>
      <c r="DG38" s="101"/>
      <c r="DH38" s="101"/>
      <c r="DI38" s="101"/>
      <c r="DJ38" s="101"/>
      <c r="DK38" s="101" t="s">
        <v>2195</v>
      </c>
      <c r="DL38" s="101" t="s">
        <v>579</v>
      </c>
      <c r="DM38" s="101" t="s">
        <v>2581</v>
      </c>
    </row>
    <row r="39" spans="2:117" hidden="1">
      <c r="B39" s="353" t="str">
        <f>Network_AgentGlobal[[#This Row],[Question]]&amp;"."&amp;Network_AgentGlobal[[#This Row],[Action Type]]&amp;Network_AgentGlobal[[#This Row],[Country]]</f>
        <v>GS3.RQ1.Resolved_OnsiteUnited_States</v>
      </c>
      <c r="C39" s="353" t="e">
        <f ca="1">IFERROR(VLOOKUP(Network_AgentGlobal[[#This Row],[Question]],INDIRECT('Gen Info'!$D$4&amp;"[#All]"),13,FALSE),VLOOKUP(Network_AgentGlobal[[#This Row],[Question]],INDIRECT('Gen Info'!$D$4&amp;"_"&amp;'Gen Info'!$E$4&amp;"[#All]"),13,FALSE))</f>
        <v>#REF!</v>
      </c>
      <c r="D39" s="353" t="str" cm="1">
        <f t="array" aca="1" ref="D39"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 xml:space="preserve"> </v>
      </c>
      <c r="E39" s="353" t="s">
        <v>2806</v>
      </c>
      <c r="F39" s="353"/>
      <c r="G39" s="353"/>
      <c r="H39" s="353"/>
      <c r="I39" s="353" cm="1">
        <f t="array" ref="I39">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39" s="353" t="s">
        <v>2574</v>
      </c>
      <c r="K39" s="353" t="s">
        <v>42</v>
      </c>
      <c r="L39" s="353"/>
      <c r="M39" s="353"/>
      <c r="N39" s="353"/>
      <c r="O39" s="353"/>
      <c r="P39" s="353"/>
      <c r="Q39" s="353" t="s">
        <v>2195</v>
      </c>
      <c r="R39" s="353" t="s">
        <v>630</v>
      </c>
      <c r="S39" s="353" t="s">
        <v>2581</v>
      </c>
      <c r="U39" t="str">
        <f>Master_Agent_HQsGlobal[[#This Row],[Question]]&amp;"."&amp;Master_Agent_HQsGlobal[[#This Row],[Action Type]]&amp;Master_Agent_HQsGlobal[[#This Row],[Country]]</f>
        <v>GS10.GQ14.Resolved_Onsite</v>
      </c>
      <c r="V39" t="str">
        <f ca="1">IFERROR(VLOOKUP(Master_Agent_HQsGlobal[[#This Row],[Question]],Master_Agent_HQs[#All],13,FALSE),VLOOKUP(Master_Agent_HQsGlobal[[#This Row],[Question]],INDIRECT("Master_Agent_HQs"&amp;'Gen Info'!$E$4&amp;"[#All]"),13,FALSE))</f>
        <v>Administración y Supervisión de Subagentes</v>
      </c>
      <c r="W39" t="str" cm="1">
        <f t="array" ref="W39">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puede demostrar que ejerce la debida diligencia con sus Sub-agentes.</v>
      </c>
      <c r="X39" t="s">
        <v>2807</v>
      </c>
      <c r="AA39" s="143"/>
      <c r="AB39" t="str" cm="1">
        <f t="array" ref="AB39">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requiere acción. El agente ha sido debidamente entrenado en este tema durante la revisión.</v>
      </c>
      <c r="AC39" t="s">
        <v>2224</v>
      </c>
      <c r="AD39" t="s">
        <v>2808</v>
      </c>
      <c r="AE39" t="s">
        <v>2262</v>
      </c>
      <c r="AF39" t="s">
        <v>2809</v>
      </c>
      <c r="AG39" t="s">
        <v>2333</v>
      </c>
      <c r="AH39" t="s">
        <v>2810</v>
      </c>
      <c r="AI39" t="s">
        <v>2230</v>
      </c>
      <c r="AJ39" t="s">
        <v>2195</v>
      </c>
      <c r="AK39" t="s">
        <v>1815</v>
      </c>
      <c r="AO39" t="str">
        <f>IndependentGlobal[[#This Row],[Question]]&amp;"."&amp;IndependentGlobal[[#This Row],[Action Type]]&amp;IndependentGlobal[[#This Row],[Country]]</f>
        <v>GS12.RQ7.Resolved_OnsiteUnited_States</v>
      </c>
      <c r="AP39" t="e">
        <f ca="1">IFERROR(VLOOKUP(IndependentGlobal[[#This Row],[Question]],Independent[#All],13,FALSE),VLOOKUP(IndependentGlobal[[#This Row],[Question]],INDIRECT("Independent_"&amp;'Gen Info'!$E$4&amp;"[#All]"),13,FALSE))</f>
        <v>#REF!</v>
      </c>
      <c r="AQ39" t="str" cm="1">
        <f t="array" ref="AQ39">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ha brindado el entrenamiento respectivo de Dodd-Frank a todos los operadores/empleados antes de permitirles realizar transferencias de Western Union.</v>
      </c>
      <c r="AR39" t="s">
        <v>2811</v>
      </c>
      <c r="AV39" t="str" cm="1">
        <f t="array" ref="AV39">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Todos los operadores han sido entrenados durante la revisión en cuanto a los requerimientos de Dodd-Frank.</v>
      </c>
      <c r="AW39" t="s">
        <v>2812</v>
      </c>
      <c r="AX39" t="s">
        <v>2813</v>
      </c>
      <c r="AY39" t="s">
        <v>2814</v>
      </c>
      <c r="AZ39" t="s">
        <v>2815</v>
      </c>
      <c r="BA39" t="s">
        <v>2816</v>
      </c>
      <c r="BB39" t="s">
        <v>2817</v>
      </c>
      <c r="BC39" t="s">
        <v>2818</v>
      </c>
      <c r="BD39" t="s">
        <v>2195</v>
      </c>
      <c r="BE39" t="s">
        <v>1075</v>
      </c>
      <c r="BF39" t="s">
        <v>2581</v>
      </c>
      <c r="BH39" t="str">
        <f>Independent_MO_OnlyGlobal[[#This Row],[Question]]&amp;"."&amp;Independent_MO_OnlyGlobal[[#This Row],[Action Type]]&amp;Independent_MO_OnlyGlobal[[#This Row],[Country]]</f>
        <v>GS2.GQ1.Resolved_Onsite</v>
      </c>
      <c r="BI39">
        <f ca="1">IFERROR(VLOOKUP(Independent_MO_OnlyGlobal[[#This Row],[Question]],Independent_MO_Only[#All],13,FALSE),VLOOKUP(Independent_MO_OnlyGlobal[[#This Row],[Question]],INDIRECT("Independent_MO_Only"&amp;'Gen Info'!$E$4&amp;"[#All]"),13,FALSE))</f>
        <v>0</v>
      </c>
      <c r="BJ39" cm="1">
        <f t="array" ref="BJ39">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39" t="s">
        <v>2819</v>
      </c>
      <c r="BO39" cm="1">
        <f t="array" ref="BO39">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39" t="s">
        <v>2570</v>
      </c>
      <c r="BW39" t="s">
        <v>2195</v>
      </c>
      <c r="BX39" t="s">
        <v>638</v>
      </c>
      <c r="CB39" s="101" t="str">
        <f>Network_MO_OnlyGlobal[[#This Row],[Question]]&amp;"."&amp;Network_MO_OnlyGlobal[[#This Row],[Action Type]]&amp;Network_MO_OnlyGlobal[[#This Row],[Country]]</f>
        <v>GS6.RQ2.Resolved_OnsiteUnited_States</v>
      </c>
      <c r="CC39" s="101" t="e">
        <f ca="1">IFERROR(VLOOKUP(Network_MO_OnlyGlobal[[#This Row],[Question]],#REF!,13,FALSE),VLOOKUP(Network_MO_OnlyGlobal[[#This Row],[Question]],INDIRECT("Network_Agent_"&amp;'Gen Info'!$E$4&amp;"[#All]"),13,FALSE))</f>
        <v>#REF!</v>
      </c>
      <c r="CD39" s="101" cm="1">
        <f t="array" aca="1" ref="CD39"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39" t="s">
        <v>2820</v>
      </c>
      <c r="CF39" s="101"/>
      <c r="CG39" s="101"/>
      <c r="CH39" s="101"/>
      <c r="CI39" s="101" cm="1">
        <f t="array" ref="CI39">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39" s="353" t="s">
        <v>2362</v>
      </c>
      <c r="CK39" s="101"/>
      <c r="CL39" s="101"/>
      <c r="CM39" s="101"/>
      <c r="CN39" s="101"/>
      <c r="CO39" s="101"/>
      <c r="CP39" s="101"/>
      <c r="CQ39" s="101" t="s">
        <v>2195</v>
      </c>
      <c r="CR39" s="353" t="s">
        <v>592</v>
      </c>
      <c r="CS39" s="353" t="s">
        <v>2581</v>
      </c>
    </row>
    <row r="40" spans="2:117" hidden="1">
      <c r="B40" s="353" t="str">
        <f>Network_AgentGlobal[[#This Row],[Question]]&amp;"."&amp;Network_AgentGlobal[[#This Row],[Action Type]]&amp;Network_AgentGlobal[[#This Row],[Country]]</f>
        <v>GS3.RQ2.SuspensionIndia_FTF</v>
      </c>
      <c r="C40" s="353" t="e">
        <f ca="1">IFERROR(VLOOKUP(Network_AgentGlobal[[#This Row],[Question]],INDIRECT('Gen Info'!$D$4&amp;"[#All]"),13,FALSE),VLOOKUP(Network_AgentGlobal[[#This Row],[Question]],INDIRECT('Gen Info'!$D$4&amp;"_"&amp;'Gen Info'!$E$4&amp;"[#All]"),13,FALSE))</f>
        <v>#REF!</v>
      </c>
      <c r="D40" s="353" cm="1">
        <f t="array" aca="1" ref="D40"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40" s="353" t="s">
        <v>2821</v>
      </c>
      <c r="F40" s="353"/>
      <c r="G40" s="353"/>
      <c r="H40" s="353"/>
      <c r="I40" s="353" cm="1">
        <f t="array" ref="I40">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40" s="353" t="s">
        <v>2221</v>
      </c>
      <c r="K40" s="353"/>
      <c r="L40" s="353"/>
      <c r="M40" s="353"/>
      <c r="N40" s="353"/>
      <c r="O40" s="353"/>
      <c r="P40" s="353"/>
      <c r="Q40" s="353" t="s">
        <v>2222</v>
      </c>
      <c r="R40" s="353" t="s">
        <v>803</v>
      </c>
      <c r="S40" s="353" t="s">
        <v>2196</v>
      </c>
      <c r="U40" t="str">
        <f>Master_Agent_HQsGlobal[[#This Row],[Question]]&amp;"."&amp;Master_Agent_HQsGlobal[[#This Row],[Action Type]]&amp;Master_Agent_HQsGlobal[[#This Row],[Country]]</f>
        <v>GS12.GQ2.Resolved_Onsite</v>
      </c>
      <c r="V40" t="str">
        <f ca="1">IFERROR(VLOOKUP(Master_Agent_HQsGlobal[[#This Row],[Question]],Master_Agent_HQs[#All],13,FALSE),VLOOKUP(Master_Agent_HQsGlobal[[#This Row],[Question]],INDIRECT("Master_Agent_HQs"&amp;'Gen Info'!$E$4&amp;"[#All]"),13,FALSE))</f>
        <v>Conservación de Registros</v>
      </c>
      <c r="W40" t="str" cm="1">
        <f t="array" ref="W40">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cumple con los requisitos del período de retención para los registros en papel (ej: recibos) bajo la regulación local o de acuerdo con los estándares de WU, lo que sea más estricto.</v>
      </c>
      <c r="X40" t="s">
        <v>2822</v>
      </c>
      <c r="AA40" s="143"/>
      <c r="AB40" t="str" cm="1">
        <f t="array" ref="AB40">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requiere acción. Se ha enviado al Agente material de capacitación específico sobre este tema. Todos los "FLAs" han recibido realimentación/capacitación sobre este tema en el transcurso de la revisión.</v>
      </c>
      <c r="AC40" t="s">
        <v>2362</v>
      </c>
      <c r="AD40" t="s">
        <v>2823</v>
      </c>
      <c r="AE40" t="s">
        <v>2824</v>
      </c>
      <c r="AF40" t="s">
        <v>2825</v>
      </c>
      <c r="AG40" t="s">
        <v>2826</v>
      </c>
      <c r="AH40" s="97" t="s">
        <v>2264</v>
      </c>
      <c r="AI40" s="97" t="s">
        <v>2264</v>
      </c>
      <c r="AJ40" t="s">
        <v>2195</v>
      </c>
      <c r="AK40" t="s">
        <v>1436</v>
      </c>
      <c r="AO40" t="str">
        <f>IndependentGlobal[[#This Row],[Question]]&amp;"."&amp;IndependentGlobal[[#This Row],[Action Type]]&amp;IndependentGlobal[[#This Row],[Country]]</f>
        <v>GS12.RQ7.Response_RequiredUnited_States</v>
      </c>
      <c r="AP40" t="e">
        <f ca="1">IFERROR(VLOOKUP(IndependentGlobal[[#This Row],[Question]],Independent[#All],13,FALSE),VLOOKUP(IndependentGlobal[[#This Row],[Question]],INDIRECT("Independent_"&amp;'Gen Info'!$E$4&amp;"[#All]"),13,FALSE))</f>
        <v>#REF!</v>
      </c>
      <c r="AQ40" t="str" cm="1">
        <f t="array" ref="AQ40">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ha brindado el entrenamiento respectivo de Dodd-Frank a todos los operadores/empleados antes de permitirles realizar transferencias de Western Union.</v>
      </c>
      <c r="AR40" t="s">
        <v>2811</v>
      </c>
      <c r="AV40" t="str" cm="1">
        <f t="array" ref="AV40">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confirmación de entrenamiento que evidencie que todos los operadores han sido entrenados en cuanto a los requerimientos de Dodd-Frank. Asegúrese que la confirmación incluya el tema cubierto, el nombre de las personas que asistieron a la sesión y la fecha de la capacitación.</v>
      </c>
      <c r="AW40" t="s">
        <v>2827</v>
      </c>
      <c r="AX40" t="s">
        <v>2813</v>
      </c>
      <c r="AY40" t="s">
        <v>2828</v>
      </c>
      <c r="AZ40" t="s">
        <v>2815</v>
      </c>
      <c r="BA40" t="s">
        <v>2829</v>
      </c>
      <c r="BB40" t="s">
        <v>2817</v>
      </c>
      <c r="BC40" t="s">
        <v>2830</v>
      </c>
      <c r="BD40" t="s">
        <v>2215</v>
      </c>
      <c r="BE40" t="s">
        <v>1075</v>
      </c>
      <c r="BF40" t="s">
        <v>2581</v>
      </c>
      <c r="BH40" t="str">
        <f>Independent_MO_OnlyGlobal[[#This Row],[Question]]&amp;"."&amp;Independent_MO_OnlyGlobal[[#This Row],[Action Type]]&amp;Independent_MO_OnlyGlobal[[#This Row],[Country]]</f>
        <v>GS2.GQ3.Resolved_Onsite</v>
      </c>
      <c r="BI40">
        <f ca="1">IFERROR(VLOOKUP(Independent_MO_OnlyGlobal[[#This Row],[Question]],Independent_MO_Only[#All],13,FALSE),VLOOKUP(Independent_MO_OnlyGlobal[[#This Row],[Question]],INDIRECT("Independent_MO_Only"&amp;'Gen Info'!$E$4&amp;"[#All]"),13,FALSE))</f>
        <v>0</v>
      </c>
      <c r="BJ40" cm="1">
        <f t="array" ref="BJ40">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40" t="s">
        <v>2831</v>
      </c>
      <c r="BO40" cm="1">
        <f t="array" ref="BO40">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40" t="s">
        <v>2570</v>
      </c>
      <c r="BW40" t="s">
        <v>2195</v>
      </c>
      <c r="BX40" t="s">
        <v>1897</v>
      </c>
      <c r="CB40" s="101" t="str">
        <f>Network_MO_OnlyGlobal[[#This Row],[Question]]&amp;"."&amp;Network_MO_OnlyGlobal[[#This Row],[Action Type]]&amp;Network_MO_OnlyGlobal[[#This Row],[Country]]</f>
        <v>GS6.RQ3.Resolved_OnsiteUnited_States</v>
      </c>
      <c r="CC40" s="101" t="e">
        <f ca="1">IFERROR(VLOOKUP(Network_MO_OnlyGlobal[[#This Row],[Question]],#REF!,13,FALSE),VLOOKUP(Network_MO_OnlyGlobal[[#This Row],[Question]],INDIRECT("Network_Agent_"&amp;'Gen Info'!$E$4&amp;"[#All]"),13,FALSE))</f>
        <v>#REF!</v>
      </c>
      <c r="CD40" s="101" cm="1">
        <f t="array" aca="1" ref="CD40"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40" t="s">
        <v>2832</v>
      </c>
      <c r="CF40" s="101"/>
      <c r="CG40" s="101"/>
      <c r="CH40" s="101"/>
      <c r="CI40" s="101" cm="1">
        <f t="array" ref="CI40">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40" s="353" t="s">
        <v>2362</v>
      </c>
      <c r="CK40" s="101"/>
      <c r="CL40" s="101"/>
      <c r="CM40" s="101"/>
      <c r="CN40" s="101"/>
      <c r="CO40" s="101"/>
      <c r="CP40" s="101"/>
      <c r="CQ40" s="101" t="s">
        <v>2195</v>
      </c>
      <c r="CR40" s="353" t="s">
        <v>601</v>
      </c>
      <c r="CS40" s="353" t="s">
        <v>2581</v>
      </c>
    </row>
    <row r="41" spans="2:117">
      <c r="B41" s="353" t="str">
        <f>Network_AgentGlobal[[#This Row],[Question]]&amp;"."&amp;Network_AgentGlobal[[#This Row],[Action Type]]&amp;Network_AgentGlobal[[#This Row],[Country]]</f>
        <v>GS3.RQ3.Resolved_OnsiteIndia_FTF</v>
      </c>
      <c r="C41" s="353" t="e">
        <f ca="1">IFERROR(VLOOKUP(Network_AgentGlobal[[#This Row],[Question]],INDIRECT('Gen Info'!$D$4&amp;"[#All]"),13,FALSE),VLOOKUP(Network_AgentGlobal[[#This Row],[Question]],INDIRECT('Gen Info'!$D$4&amp;"_"&amp;'Gen Info'!$E$4&amp;"[#All]"),13,FALSE))</f>
        <v>#REF!</v>
      </c>
      <c r="D41" s="353" cm="1">
        <f t="array" aca="1" ref="D41"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41" s="353" t="s">
        <v>2833</v>
      </c>
      <c r="F41" s="353"/>
      <c r="G41" s="353"/>
      <c r="H41" s="353"/>
      <c r="I41" s="353" cm="1">
        <f t="array" ref="I41">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41" s="353" t="s">
        <v>2834</v>
      </c>
      <c r="K41" s="353"/>
      <c r="L41" s="353"/>
      <c r="M41" s="353"/>
      <c r="N41" s="353"/>
      <c r="O41" s="353"/>
      <c r="P41" s="353"/>
      <c r="Q41" s="353" t="s">
        <v>2195</v>
      </c>
      <c r="R41" s="353" t="s">
        <v>810</v>
      </c>
      <c r="S41" s="353" t="s">
        <v>2196</v>
      </c>
      <c r="U41" t="str">
        <f>Master_Agent_HQsGlobal[[#This Row],[Question]]&amp;"."&amp;Master_Agent_HQsGlobal[[#This Row],[Action Type]]&amp;Master_Agent_HQsGlobal[[#This Row],[Country]]</f>
        <v>GS2.GQ1.Response_Required</v>
      </c>
      <c r="V41" t="str">
        <f ca="1">IFERROR(VLOOKUP(Master_Agent_HQsGlobal[[#This Row],[Question]],Master_Agent_HQs[#All],13,FALSE),VLOOKUP(Master_Agent_HQsGlobal[[#This Row],[Question]],INDIRECT("Master_Agent_HQs"&amp;'Gen Info'!$E$4&amp;"[#All]"),13,FALSE))</f>
        <v>Historial de Cumplimiento</v>
      </c>
      <c r="W41" t="str" cm="1">
        <f t="array" ref="W41">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ha remediado todos los hallazgos o investigaciones de FIU o FRM relacionados con la última revisión del programa, que vencían en la fecha de la presente revisión o antes.</v>
      </c>
      <c r="X41" t="s">
        <v>2282</v>
      </c>
      <c r="AA41" s="143"/>
      <c r="AB41" t="str" cm="1">
        <f t="array" ref="AB41">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Brinde a Western Union documentación que demuestre que se corrigieron los hallazgos de la última revisión del programa o investigaciones de FIU o FRM.</v>
      </c>
      <c r="AC41" t="s">
        <v>2835</v>
      </c>
      <c r="AD41" t="s">
        <v>2284</v>
      </c>
      <c r="AE41" t="s">
        <v>2836</v>
      </c>
      <c r="AF41" t="s">
        <v>2286</v>
      </c>
      <c r="AG41" t="s">
        <v>2837</v>
      </c>
      <c r="AH41" t="s">
        <v>2288</v>
      </c>
      <c r="AI41" t="s">
        <v>2838</v>
      </c>
      <c r="AJ41" t="s">
        <v>2215</v>
      </c>
      <c r="AK41" t="s">
        <v>638</v>
      </c>
      <c r="AO41" t="str">
        <f>IndependentGlobal[[#This Row],[Question]]&amp;"."&amp;IndependentGlobal[[#This Row],[Action Type]]&amp;IndependentGlobal[[#This Row],[Country]]</f>
        <v>GS14.GQ1.Resolved_Onsite</v>
      </c>
      <c r="AP41" t="str">
        <f ca="1">IFERROR(VLOOKUP(IndependentGlobal[[#This Row],[Question]],Independent[#All],13,FALSE),VLOOKUP(IndependentGlobal[[#This Row],[Question]],INDIRECT("Independent_"&amp;'Gen Info'!$E$4&amp;"[#All]"),13,FALSE))</f>
        <v>Conservación de Registros</v>
      </c>
      <c r="AQ41" t="str" cm="1">
        <f t="array" ref="AQ41">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tiene una política documentada para la recolección y conservación de los documentos de identificación de los operadores.</v>
      </c>
      <c r="AR41" t="s">
        <v>2839</v>
      </c>
      <c r="AV41" t="str" cm="1">
        <f t="array" ref="AV41">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 xml:space="preserve">No se require acción. El agente ha sido debidamente entrenado en este tema durante la revisión.  La Política de la identificación de los empleados ha sido firmada y fechada durante la revisión. </v>
      </c>
      <c r="AW41" t="s">
        <v>2840</v>
      </c>
      <c r="AX41" t="s">
        <v>2841</v>
      </c>
      <c r="AY41" t="s">
        <v>2842</v>
      </c>
      <c r="AZ41" t="s">
        <v>2843</v>
      </c>
      <c r="BA41" t="s">
        <v>2844</v>
      </c>
      <c r="BB41" t="s">
        <v>2845</v>
      </c>
      <c r="BC41" t="s">
        <v>2846</v>
      </c>
      <c r="BD41" t="s">
        <v>2195</v>
      </c>
      <c r="BE41" t="s">
        <v>1070</v>
      </c>
      <c r="BH41" t="str">
        <f>Independent_MO_OnlyGlobal[[#This Row],[Question]]&amp;"."&amp;Independent_MO_OnlyGlobal[[#This Row],[Action Type]]&amp;Independent_MO_OnlyGlobal[[#This Row],[Country]]</f>
        <v>GS2.GQ5.Resolved_Onsite</v>
      </c>
      <c r="BI41">
        <f ca="1">IFERROR(VLOOKUP(Independent_MO_OnlyGlobal[[#This Row],[Question]],Independent_MO_Only[#All],13,FALSE),VLOOKUP(Independent_MO_OnlyGlobal[[#This Row],[Question]],INDIRECT("Independent_MO_Only"&amp;'Gen Info'!$E$4&amp;"[#All]"),13,FALSE))</f>
        <v>0</v>
      </c>
      <c r="BJ41" cm="1">
        <f t="array" ref="BJ41">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41" t="s">
        <v>2847</v>
      </c>
      <c r="BO41" cm="1">
        <f t="array" ref="BO41">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41" t="s">
        <v>2570</v>
      </c>
      <c r="BW41" t="s">
        <v>2195</v>
      </c>
      <c r="BX41" t="s">
        <v>1905</v>
      </c>
      <c r="CB41" s="101" t="str">
        <f>Network_MO_OnlyGlobal[[#This Row],[Question]]&amp;"."&amp;Network_MO_OnlyGlobal[[#This Row],[Action Type]]&amp;Network_MO_OnlyGlobal[[#This Row],[Country]]</f>
        <v>GS6.RQ3.Response_RequiredUnited_States</v>
      </c>
      <c r="CC41" s="101" t="e">
        <f ca="1">IFERROR(VLOOKUP(Network_MO_OnlyGlobal[[#This Row],[Question]],#REF!,13,FALSE),VLOOKUP(Network_MO_OnlyGlobal[[#This Row],[Question]],INDIRECT("Network_Agent_"&amp;'Gen Info'!$E$4&amp;"[#All]"),13,FALSE))</f>
        <v>#REF!</v>
      </c>
      <c r="CD41" s="101" cm="1">
        <f t="array" aca="1" ref="CD41" ca="1">_xlfn.IFS(LocationInfo[Select Letter Language]="English",_xlfn.IFS(VLOOKUP(Network_MO_OnlyGlobal[[#This Row],[Question]],CallTb[[#All],[iWatch '#]:[Finding Type]],6,FALSE)="","",VLOOKUP(Network_MO_OnlyGlobal[[#This Row],[Question]],CallTb[[#All],[iWatch '#]:[Finding Type]],6,FALSE)="No_AML",Network_MO_OnlyGlobal[[#This Row],[Finding English AML]],VLOOKUP(Network_MO_OnlyGlobal[[#This Row],[Question]],CallTb[[#All],[iWatch '#]:[Finding Type]],6,FALSE)="No",Network_MO_OnlyGlobal[[#This Row],[Finding English]]),LocationInfo[Select Letter Language]="Spanish",Network_MO_OnlyGlobal[[#This Row],[Finding Spanish]],LocationInfo[Select Letter Language]="French",Network_MO_OnlyGlobal[[#This Row],[Finding French]],LocationInfo[Select Letter Language]="Portuguese",Network_MO_OnlyGlobal[[#This Row],[Finding Portuguese]])</f>
        <v>0</v>
      </c>
      <c r="CE41" t="s">
        <v>2832</v>
      </c>
      <c r="CF41" s="101"/>
      <c r="CG41" s="101"/>
      <c r="CH41" s="101"/>
      <c r="CI41" s="101" cm="1">
        <f t="array" ref="CI41">IFERROR(_xlfn.IFS(LocationInfo[Select Letter Language]="English",Network_MO_OnlyGlobal[[#This Row],[Action Required English]],LocationInfo[Select Letter Language]="Spanish",Network_MO_OnlyGlobal[[#This Row],[Action Required Spanish]],LocationInfo[Select Letter Language]="French",Network_MO_OnlyGlobal[[#This Row],[Action Required French]],LocationInfo[Select Letter Language]="Portuguese",Network_MO_OnlyGlobal[[#This Row],[Action Required Portuguese]]),"")</f>
        <v>0</v>
      </c>
      <c r="CJ41" s="101" t="s">
        <v>2388</v>
      </c>
      <c r="CK41" s="101"/>
      <c r="CL41" s="101"/>
      <c r="CM41" s="101"/>
      <c r="CN41" s="101"/>
      <c r="CO41" s="101"/>
      <c r="CP41" s="101"/>
      <c r="CQ41" s="101" t="s">
        <v>2215</v>
      </c>
      <c r="CR41" s="353" t="s">
        <v>601</v>
      </c>
      <c r="CS41" s="353" t="s">
        <v>2581</v>
      </c>
    </row>
    <row r="42" spans="2:117">
      <c r="B42" s="353" t="str">
        <f>Network_AgentGlobal[[#This Row],[Question]]&amp;"."&amp;Network_AgentGlobal[[#This Row],[Action Type]]&amp;Network_AgentGlobal[[#This Row],[Country]]</f>
        <v>GS3.RQ3.SuspensionIndia_FTF</v>
      </c>
      <c r="C42" s="353" t="e">
        <f ca="1">IFERROR(VLOOKUP(Network_AgentGlobal[[#This Row],[Question]],INDIRECT('Gen Info'!$D$4&amp;"[#All]"),13,FALSE),VLOOKUP(Network_AgentGlobal[[#This Row],[Question]],INDIRECT('Gen Info'!$D$4&amp;"_"&amp;'Gen Info'!$E$4&amp;"[#All]"),13,FALSE))</f>
        <v>#REF!</v>
      </c>
      <c r="D42" s="353" cm="1">
        <f t="array" aca="1" ref="D42"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42" s="353" t="s">
        <v>2848</v>
      </c>
      <c r="F42" s="353"/>
      <c r="G42" s="353"/>
      <c r="H42" s="353"/>
      <c r="I42" s="353" cm="1">
        <f t="array" ref="I42">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42" s="353" t="s">
        <v>2221</v>
      </c>
      <c r="K42" s="353"/>
      <c r="L42" s="353"/>
      <c r="M42" s="353"/>
      <c r="N42" s="353"/>
      <c r="O42" s="353"/>
      <c r="P42" s="353"/>
      <c r="Q42" s="353" t="s">
        <v>2222</v>
      </c>
      <c r="R42" s="353" t="s">
        <v>810</v>
      </c>
      <c r="S42" s="353" t="s">
        <v>2196</v>
      </c>
      <c r="U42" t="str">
        <f>Master_Agent_HQsGlobal[[#This Row],[Question]]&amp;"."&amp;Master_Agent_HQsGlobal[[#This Row],[Action Type]]&amp;Master_Agent_HQsGlobal[[#This Row],[Country]]</f>
        <v>GS3.GQ2.Response_Required</v>
      </c>
      <c r="V42" t="str">
        <f ca="1">IFERROR(VLOOKUP(Master_Agent_HQsGlobal[[#This Row],[Question]],Master_Agent_HQs[#All],13,FALSE),VLOOKUP(Master_Agent_HQsGlobal[[#This Row],[Question]],INDIRECT("Master_Agent_HQs"&amp;'Gen Info'!$E$4&amp;"[#All]"),13,FALSE))</f>
        <v>Oficial/Delegado de Cumplimiento</v>
      </c>
      <c r="W42" t="str" cm="1">
        <f t="array" ref="W42">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nombre del Oficial de Cumplimiento del programa de AML/CFT y/o Anti-Fraude, ha cambiado desde la última revisión; sin embargo, Western Union no ha sido notificado.</v>
      </c>
      <c r="X42" t="s">
        <v>2306</v>
      </c>
      <c r="AA42" s="143"/>
      <c r="AB42" t="str" cm="1">
        <f t="array" ref="AB42">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Brinde a Western Union evidencia acerca de la asignación del Oficial de Cumplmiento/Delagado de Cumplimiento.</v>
      </c>
      <c r="AC42" t="s">
        <v>2386</v>
      </c>
      <c r="AD42" t="s">
        <v>2308</v>
      </c>
      <c r="AE42" t="s">
        <v>2849</v>
      </c>
      <c r="AF42" t="s">
        <v>2310</v>
      </c>
      <c r="AG42" t="s">
        <v>2850</v>
      </c>
      <c r="AH42" t="s">
        <v>2312</v>
      </c>
      <c r="AI42" t="s">
        <v>2851</v>
      </c>
      <c r="AJ42" t="s">
        <v>2215</v>
      </c>
      <c r="AK42" t="s">
        <v>677</v>
      </c>
      <c r="AO42" t="str">
        <f>IndependentGlobal[[#This Row],[Question]]&amp;"."&amp;IndependentGlobal[[#This Row],[Action Type]]&amp;IndependentGlobal[[#This Row],[Country]]</f>
        <v>GS14.GQ1.Response_Required</v>
      </c>
      <c r="AP42" t="str">
        <f ca="1">IFERROR(VLOOKUP(IndependentGlobal[[#This Row],[Question]],Independent[#All],13,FALSE),VLOOKUP(IndependentGlobal[[#This Row],[Question]],INDIRECT("Independent_"&amp;'Gen Info'!$E$4&amp;"[#All]"),13,FALSE))</f>
        <v>Conservación de Registros</v>
      </c>
      <c r="AQ42" t="str" cm="1">
        <f t="array" ref="AQ42">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tiene una política documentada para la recolección y conservación de los documentos de identificación de los operadores.</v>
      </c>
      <c r="AR42" t="s">
        <v>2839</v>
      </c>
      <c r="AV42" t="str" cm="1">
        <f t="array" ref="AV42">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evidencia escrita confirmando que las identificaciones de los operadores están siendo recolectadas y conservadas.</v>
      </c>
      <c r="AW42" t="s">
        <v>2852</v>
      </c>
      <c r="AX42" t="s">
        <v>2841</v>
      </c>
      <c r="AY42" t="s">
        <v>2853</v>
      </c>
      <c r="AZ42" t="s">
        <v>2843</v>
      </c>
      <c r="BA42" t="s">
        <v>2854</v>
      </c>
      <c r="BB42" t="s">
        <v>2845</v>
      </c>
      <c r="BC42" t="s">
        <v>2855</v>
      </c>
      <c r="BD42" t="s">
        <v>2215</v>
      </c>
      <c r="BE42" t="s">
        <v>1070</v>
      </c>
      <c r="BH42" t="str">
        <f>Independent_MO_OnlyGlobal[[#This Row],[Question]]&amp;"."&amp;Independent_MO_OnlyGlobal[[#This Row],[Action Type]]&amp;Independent_MO_OnlyGlobal[[#This Row],[Country]]</f>
        <v>GS2.GQ7.Resolved_Onsite</v>
      </c>
      <c r="BI42">
        <f ca="1">IFERROR(VLOOKUP(Independent_MO_OnlyGlobal[[#This Row],[Question]],Independent_MO_Only[#All],13,FALSE),VLOOKUP(Independent_MO_OnlyGlobal[[#This Row],[Question]],INDIRECT("Independent_MO_Only"&amp;'Gen Info'!$E$4&amp;"[#All]"),13,FALSE))</f>
        <v>0</v>
      </c>
      <c r="BJ42" cm="1">
        <f t="array" ref="BJ42">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42" t="s">
        <v>2856</v>
      </c>
      <c r="BO42" cm="1">
        <f t="array" ref="BO42">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42" t="s">
        <v>2857</v>
      </c>
      <c r="BW42" t="s">
        <v>2195</v>
      </c>
      <c r="BX42" t="s">
        <v>1913</v>
      </c>
    </row>
    <row r="43" spans="2:117">
      <c r="B43" s="353" t="str">
        <f>Network_AgentGlobal[[#This Row],[Question]]&amp;"."&amp;Network_AgentGlobal[[#This Row],[Action Type]]&amp;Network_AgentGlobal[[#This Row],[Country]]</f>
        <v>GS3.RQ4.Resolved_OnsiteIndia_FTF</v>
      </c>
      <c r="C43" s="353" t="e">
        <f ca="1">IFERROR(VLOOKUP(Network_AgentGlobal[[#This Row],[Question]],INDIRECT('Gen Info'!$D$4&amp;"[#All]"),13,FALSE),VLOOKUP(Network_AgentGlobal[[#This Row],[Question]],INDIRECT('Gen Info'!$D$4&amp;"_"&amp;'Gen Info'!$E$4&amp;"[#All]"),13,FALSE))</f>
        <v>#REF!</v>
      </c>
      <c r="D43" s="353" cm="1">
        <f t="array" aca="1" ref="D43"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43" s="353" t="s">
        <v>2858</v>
      </c>
      <c r="F43" s="353"/>
      <c r="G43" s="353"/>
      <c r="H43" s="353"/>
      <c r="I43" s="353" cm="1">
        <f t="array" ref="I43">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43" s="353" t="s">
        <v>2642</v>
      </c>
      <c r="K43" s="353"/>
      <c r="L43" s="353"/>
      <c r="M43" s="353"/>
      <c r="N43" s="353"/>
      <c r="O43" s="353"/>
      <c r="P43" s="353"/>
      <c r="Q43" s="353" t="s">
        <v>2195</v>
      </c>
      <c r="R43" s="353" t="s">
        <v>902</v>
      </c>
      <c r="S43" s="353" t="s">
        <v>2196</v>
      </c>
      <c r="U43" t="str">
        <f>Master_Agent_HQsGlobal[[#This Row],[Question]]&amp;"."&amp;Master_Agent_HQsGlobal[[#This Row],[Action Type]]&amp;Master_Agent_HQsGlobal[[#This Row],[Country]]</f>
        <v>GS3.GQ5.Response_Required</v>
      </c>
      <c r="V43" t="str">
        <f ca="1">IFERROR(VLOOKUP(Master_Agent_HQsGlobal[[#This Row],[Question]],Master_Agent_HQs[#All],13,FALSE),VLOOKUP(Master_Agent_HQsGlobal[[#This Row],[Question]],INDIRECT("Master_Agent_HQs"&amp;'Gen Info'!$E$4&amp;"[#All]"),13,FALSE))</f>
        <v>Oficial/Delegado de Cumplimiento</v>
      </c>
      <c r="W43" t="str" cm="1">
        <f t="array" ref="W43">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La línea de jerarquía del Oficial de Cumplimiento no es independiente de las funciones de ventas o negocios.</v>
      </c>
      <c r="X43" t="s">
        <v>2302</v>
      </c>
      <c r="AA43" s="143"/>
      <c r="AB43" t="str" cm="1">
        <f t="array" ref="AB43">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 xml:space="preserve">Asegúrese de que la línea de jerarquía del Oficial de Cumplimiento sea independiente de la función de Ventas o Negocios. Brinde a Western Union evidencia de respaldo del rol de Oficial de Cumplimiento en la organización. La evidencia debe considerar el tamaño de la entidad y podría incluir un organigrama actualizado, una descripción del puesto del Oficial de Cumplimiento o políticas y procedimientos debidamente actualizados.
</v>
      </c>
      <c r="AC43" t="s">
        <v>2859</v>
      </c>
      <c r="AD43" t="s">
        <v>2331</v>
      </c>
      <c r="AE43" t="s">
        <v>2860</v>
      </c>
      <c r="AF43" t="s">
        <v>2332</v>
      </c>
      <c r="AG43" t="s">
        <v>2861</v>
      </c>
      <c r="AH43" t="s">
        <v>2334</v>
      </c>
      <c r="AI43" t="s">
        <v>2862</v>
      </c>
      <c r="AJ43" t="s">
        <v>2215</v>
      </c>
      <c r="AK43" t="s">
        <v>1637</v>
      </c>
      <c r="AO43" t="str">
        <f>IndependentGlobal[[#This Row],[Question]]&amp;"."&amp;IndependentGlobal[[#This Row],[Action Type]]&amp;IndependentGlobal[[#This Row],[Country]]</f>
        <v>GS14.GQ2.Resolved_Onsite</v>
      </c>
      <c r="AP43" t="str">
        <f ca="1">IFERROR(VLOOKUP(IndependentGlobal[[#This Row],[Question]],Independent[#All],13,FALSE),VLOOKUP(IndependentGlobal[[#This Row],[Question]],INDIRECT("Independent_"&amp;'Gen Info'!$E$4&amp;"[#All]"),13,FALSE))</f>
        <v>Conservación de Registros</v>
      </c>
      <c r="AQ43" t="str" cm="1">
        <f t="array" ref="AQ43">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cumple o no tiene evidencia para demostrar que cumple con la política de conservación de documentos (recibos/formularios y otros registros).</v>
      </c>
      <c r="AR43" t="s">
        <v>2863</v>
      </c>
      <c r="AV43" t="str" cm="1">
        <f t="array" ref="AV43">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Todos los operadores han sido debidamente entrenados en este tema durante la revisión.</v>
      </c>
      <c r="AW43" t="s">
        <v>2378</v>
      </c>
      <c r="AX43" t="s">
        <v>2864</v>
      </c>
      <c r="AY43" t="s">
        <v>2380</v>
      </c>
      <c r="AZ43" t="s">
        <v>2865</v>
      </c>
      <c r="BA43" t="s">
        <v>2382</v>
      </c>
      <c r="BB43" t="s">
        <v>2866</v>
      </c>
      <c r="BC43" t="s">
        <v>2384</v>
      </c>
      <c r="BD43" t="s">
        <v>2195</v>
      </c>
      <c r="BE43" t="s">
        <v>1080</v>
      </c>
      <c r="BH43" t="str">
        <f>Independent_MO_OnlyGlobal[[#This Row],[Question]]&amp;"."&amp;Independent_MO_OnlyGlobal[[#This Row],[Action Type]]&amp;Independent_MO_OnlyGlobal[[#This Row],[Country]]</f>
        <v>GS2.GQ8.Resolved_Onsite</v>
      </c>
      <c r="BI43">
        <f ca="1">IFERROR(VLOOKUP(Independent_MO_OnlyGlobal[[#This Row],[Question]],Independent_MO_Only[#All],13,FALSE),VLOOKUP(Independent_MO_OnlyGlobal[[#This Row],[Question]],INDIRECT("Independent_MO_Only"&amp;'Gen Info'!$E$4&amp;"[#All]"),13,FALSE))</f>
        <v>0</v>
      </c>
      <c r="BJ43" cm="1">
        <f t="array" ref="BJ43">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43" t="s">
        <v>2213</v>
      </c>
      <c r="BO43" cm="1">
        <f t="array" ref="BO43">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43" t="s">
        <v>2857</v>
      </c>
      <c r="BW43" t="s">
        <v>2195</v>
      </c>
      <c r="BX43" t="s">
        <v>1917</v>
      </c>
    </row>
    <row r="44" spans="2:117">
      <c r="B44" s="353" t="str">
        <f>Network_AgentGlobal[[#This Row],[Question]]&amp;"."&amp;Network_AgentGlobal[[#This Row],[Action Type]]&amp;Network_AgentGlobal[[#This Row],[Country]]</f>
        <v>GS3.RQ5.Resolved_OnsiteIndia_FTF</v>
      </c>
      <c r="C44" s="353" t="e">
        <f ca="1">IFERROR(VLOOKUP(Network_AgentGlobal[[#This Row],[Question]],INDIRECT('Gen Info'!$D$4&amp;"[#All]"),13,FALSE),VLOOKUP(Network_AgentGlobal[[#This Row],[Question]],INDIRECT('Gen Info'!$D$4&amp;"_"&amp;'Gen Info'!$E$4&amp;"[#All]"),13,FALSE))</f>
        <v>#REF!</v>
      </c>
      <c r="D44" s="353" cm="1">
        <f t="array" aca="1" ref="D44"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44" s="353" t="s">
        <v>2867</v>
      </c>
      <c r="F44" s="353"/>
      <c r="G44" s="353"/>
      <c r="H44" s="353"/>
      <c r="I44" s="353" cm="1">
        <f t="array" ref="I44">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44" s="353" t="s">
        <v>2868</v>
      </c>
      <c r="K44" s="353"/>
      <c r="L44" s="353"/>
      <c r="M44" s="353"/>
      <c r="N44" s="353"/>
      <c r="O44" s="353"/>
      <c r="P44" s="353"/>
      <c r="Q44" s="353" t="s">
        <v>2195</v>
      </c>
      <c r="R44" s="353" t="s">
        <v>2869</v>
      </c>
      <c r="S44" s="353" t="s">
        <v>2196</v>
      </c>
      <c r="U44" t="str">
        <f>Master_Agent_HQsGlobal[[#This Row],[Question]]&amp;"."&amp;Master_Agent_HQsGlobal[[#This Row],[Action Type]]&amp;Master_Agent_HQsGlobal[[#This Row],[Country]]</f>
        <v>GS3.GQ6.Response_Required</v>
      </c>
      <c r="V44" t="str">
        <f ca="1">IFERROR(VLOOKUP(Master_Agent_HQsGlobal[[#This Row],[Question]],Master_Agent_HQs[#All],13,FALSE),VLOOKUP(Master_Agent_HQsGlobal[[#This Row],[Question]],INDIRECT("Master_Agent_HQs"&amp;'Gen Info'!$E$4&amp;"[#All]"),13,FALSE))</f>
        <v>Oficial/Delegado de Cumplimiento</v>
      </c>
      <c r="W44" t="str" cm="1">
        <f t="array" ref="W44">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Las responsabilidades del Oficial de Cumplimiento en su rol como encargado del programa de cumplimiento no se encuentran debidamente documentadas.</v>
      </c>
      <c r="X44" t="s">
        <v>2347</v>
      </c>
      <c r="AA44" s="143"/>
      <c r="AB44" t="str" cm="1">
        <f t="array" ref="AB44">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Brindar evidencia a Western Union sobre las responsabilidades documentadas del Oficial de Cumplimiento</v>
      </c>
      <c r="AC44" t="s">
        <v>2870</v>
      </c>
      <c r="AD44" t="s">
        <v>2349</v>
      </c>
      <c r="AE44" t="s">
        <v>2871</v>
      </c>
      <c r="AF44" t="s">
        <v>2351</v>
      </c>
      <c r="AG44" t="s">
        <v>2872</v>
      </c>
      <c r="AH44" t="s">
        <v>2353</v>
      </c>
      <c r="AI44" t="s">
        <v>2873</v>
      </c>
      <c r="AJ44" t="s">
        <v>2215</v>
      </c>
      <c r="AK44" t="s">
        <v>1650</v>
      </c>
      <c r="AO44" t="str">
        <f>IndependentGlobal[[#This Row],[Question]]&amp;"."&amp;IndependentGlobal[[#This Row],[Action Type]]&amp;IndependentGlobal[[#This Row],[Country]]</f>
        <v>GS14.GQ2.Response_Required</v>
      </c>
      <c r="AP44" t="str">
        <f ca="1">IFERROR(VLOOKUP(IndependentGlobal[[#This Row],[Question]],Independent[#All],13,FALSE),VLOOKUP(IndependentGlobal[[#This Row],[Question]],INDIRECT("Independent_"&amp;'Gen Info'!$E$4&amp;"[#All]"),13,FALSE))</f>
        <v>Conservación de Registros</v>
      </c>
      <c r="AQ44" t="str" cm="1">
        <f t="array" ref="AQ44">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cumple o no tiene evidencia para demostrar que cumple con la política de conservación de documentos (recibos/formularios y otros registros).</v>
      </c>
      <c r="AR44" t="s">
        <v>2863</v>
      </c>
      <c r="AV44" t="str" cm="1">
        <f t="array" ref="AV44">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confirmación donde se evidencie que todos los empleados han sido entrenados en este tema. Asegúrese que la confirmación incluya el tema cubierto, el nombre de las personas que asistieron a la sesión y la fecha de la capacitación.</v>
      </c>
      <c r="AW44" t="s">
        <v>2400</v>
      </c>
      <c r="AX44" t="s">
        <v>2864</v>
      </c>
      <c r="AY44" t="s">
        <v>2401</v>
      </c>
      <c r="AZ44" t="s">
        <v>2865</v>
      </c>
      <c r="BA44" t="s">
        <v>2402</v>
      </c>
      <c r="BB44" t="s">
        <v>2866</v>
      </c>
      <c r="BC44" t="s">
        <v>2403</v>
      </c>
      <c r="BD44" t="s">
        <v>2215</v>
      </c>
      <c r="BE44" t="s">
        <v>1080</v>
      </c>
      <c r="BH44" t="str">
        <f>Independent_MO_OnlyGlobal[[#This Row],[Question]]&amp;"."&amp;Independent_MO_OnlyGlobal[[#This Row],[Action Type]]&amp;Independent_MO_OnlyGlobal[[#This Row],[Country]]</f>
        <v>GS2.GQ10.Resolved_Onsite</v>
      </c>
      <c r="BI44">
        <f ca="1">IFERROR(VLOOKUP(Independent_MO_OnlyGlobal[[#This Row],[Question]],Independent_MO_Only[#All],13,FALSE),VLOOKUP(Independent_MO_OnlyGlobal[[#This Row],[Question]],INDIRECT("Independent_MO_Only"&amp;'Gen Info'!$E$4&amp;"[#All]"),13,FALSE))</f>
        <v>0</v>
      </c>
      <c r="BJ44" cm="1">
        <f t="array" ref="BJ44">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44" t="s">
        <v>2874</v>
      </c>
      <c r="BO44" cm="1">
        <f t="array" ref="BO44">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44" t="s">
        <v>2857</v>
      </c>
      <c r="BW44" t="s">
        <v>2195</v>
      </c>
      <c r="BX44" t="s">
        <v>1932</v>
      </c>
    </row>
    <row r="45" spans="2:117">
      <c r="B45" s="353" t="str">
        <f>Network_AgentGlobal[[#This Row],[Question]]&amp;"."&amp;Network_AgentGlobal[[#This Row],[Action Type]]&amp;Network_AgentGlobal[[#This Row],[Country]]</f>
        <v>GS3.RQ6.SuspensionIndia_FTF</v>
      </c>
      <c r="C45" s="353" t="e">
        <f ca="1">IFERROR(VLOOKUP(Network_AgentGlobal[[#This Row],[Question]],INDIRECT('Gen Info'!$D$4&amp;"[#All]"),13,FALSE),VLOOKUP(Network_AgentGlobal[[#This Row],[Question]],INDIRECT('Gen Info'!$D$4&amp;"_"&amp;'Gen Info'!$E$4&amp;"[#All]"),13,FALSE))</f>
        <v>#REF!</v>
      </c>
      <c r="D45" s="353" cm="1">
        <f t="array" aca="1" ref="D45"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45" s="353" t="s">
        <v>2875</v>
      </c>
      <c r="F45" s="353"/>
      <c r="G45" s="353"/>
      <c r="H45" s="353"/>
      <c r="I45" s="353" cm="1">
        <f t="array" ref="I45">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45" s="353" t="s">
        <v>2221</v>
      </c>
      <c r="K45" s="353"/>
      <c r="L45" s="353"/>
      <c r="M45" s="353"/>
      <c r="N45" s="353"/>
      <c r="O45" s="353"/>
      <c r="P45" s="353"/>
      <c r="Q45" s="353" t="s">
        <v>2222</v>
      </c>
      <c r="R45" s="353" t="s">
        <v>2876</v>
      </c>
      <c r="S45" s="353" t="s">
        <v>2196</v>
      </c>
      <c r="U45" t="str">
        <f>Master_Agent_HQsGlobal[[#This Row],[Question]]&amp;"."&amp;Master_Agent_HQsGlobal[[#This Row],[Action Type]]&amp;Master_Agent_HQsGlobal[[#This Row],[Country]]</f>
        <v>GS4.GQ1.Response_Required</v>
      </c>
      <c r="V45" t="str">
        <f ca="1">IFERROR(VLOOKUP(Master_Agent_HQsGlobal[[#This Row],[Question]],Master_Agent_HQs[#All],13,FALSE),VLOOKUP(Master_Agent_HQsGlobal[[#This Row],[Question]],INDIRECT("Master_Agent_HQs"&amp;'Gen Info'!$E$4&amp;"[#All]"),13,FALSE))</f>
        <v>Políticas y Procedimientos</v>
      </c>
      <c r="W45" t="str" cm="1">
        <f t="array" ref="W45">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tiene políiticas de cumplimiento de AML/CFT debidamente documentadas.</v>
      </c>
      <c r="X45" t="s">
        <v>2369</v>
      </c>
      <c r="AA45" s="143"/>
      <c r="AB45" t="str" cm="1">
        <f t="array" ref="AB45">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Brindar a Western Union copia o evidencia de las Políticas y Procedimientos del programa de AML/CFT junto con el reconocimiento del responsable de cumplimiento.</v>
      </c>
      <c r="AC45" t="s">
        <v>2877</v>
      </c>
      <c r="AD45" t="s">
        <v>2371</v>
      </c>
      <c r="AE45" t="s">
        <v>2878</v>
      </c>
      <c r="AF45" t="s">
        <v>2373</v>
      </c>
      <c r="AG45" t="s">
        <v>2879</v>
      </c>
      <c r="AH45" t="s">
        <v>2375</v>
      </c>
      <c r="AI45" t="s">
        <v>2880</v>
      </c>
      <c r="AJ45" t="s">
        <v>2215</v>
      </c>
      <c r="AK45" t="s">
        <v>711</v>
      </c>
      <c r="AO45" t="str">
        <f>IndependentGlobal[[#This Row],[Question]]&amp;"."&amp;IndependentGlobal[[#This Row],[Action Type]]&amp;IndependentGlobal[[#This Row],[Country]]</f>
        <v>GS14.GQ3.Resolved_Onsite</v>
      </c>
      <c r="AP45" t="str">
        <f ca="1">IFERROR(VLOOKUP(IndependentGlobal[[#This Row],[Question]],Independent[#All],13,FALSE),VLOOKUP(IndependentGlobal[[#This Row],[Question]],INDIRECT("Independent_"&amp;'Gen Info'!$E$4&amp;"[#All]"),13,FALSE))</f>
        <v>Conservación de Registros</v>
      </c>
      <c r="AQ45" t="str" cm="1">
        <f t="array" ref="AQ45">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desecha los documentos del programa de cumplimiento de forma adecuada.</v>
      </c>
      <c r="AR45" t="s">
        <v>2881</v>
      </c>
      <c r="AV45" t="str" cm="1">
        <f t="array" ref="AV45">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El agente ha sido debidamente entrenado en este tema durante la revisión.</v>
      </c>
      <c r="AW45" t="s">
        <v>2224</v>
      </c>
      <c r="AX45" t="s">
        <v>2882</v>
      </c>
      <c r="AY45" t="s">
        <v>2226</v>
      </c>
      <c r="AZ45" t="s">
        <v>2883</v>
      </c>
      <c r="BA45" t="s">
        <v>2382</v>
      </c>
      <c r="BB45" t="s">
        <v>2884</v>
      </c>
      <c r="BC45" t="s">
        <v>2885</v>
      </c>
      <c r="BD45" t="s">
        <v>2195</v>
      </c>
      <c r="BE45" t="s">
        <v>1121</v>
      </c>
      <c r="BH45" t="str">
        <f>Independent_MO_OnlyGlobal[[#This Row],[Question]]&amp;"."&amp;Independent_MO_OnlyGlobal[[#This Row],[Action Type]]&amp;Independent_MO_OnlyGlobal[[#This Row],[Country]]</f>
        <v>GS2.RQ1.Resolved_Onsite</v>
      </c>
      <c r="BI45" t="e">
        <f ca="1">IFERROR(VLOOKUP(Independent_MO_OnlyGlobal[[#This Row],[Question]],Independent_MO_Only[#All],13,FALSE),VLOOKUP(Independent_MO_OnlyGlobal[[#This Row],[Question]],INDIRECT("Independent_MO_Only"&amp;'Gen Info'!$E$4&amp;"[#All]"),13,FALSE))</f>
        <v>#REF!</v>
      </c>
      <c r="BJ45" cm="1">
        <f t="array" ref="BJ45">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45" t="s">
        <v>2886</v>
      </c>
      <c r="BO45" cm="1">
        <f t="array" ref="BO45">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45" t="s">
        <v>2887</v>
      </c>
      <c r="BW45" t="s">
        <v>2195</v>
      </c>
      <c r="BX45" t="s">
        <v>1853</v>
      </c>
    </row>
    <row r="46" spans="2:117">
      <c r="B46" s="353" t="str">
        <f>Network_AgentGlobal[[#This Row],[Question]]&amp;"."&amp;Network_AgentGlobal[[#This Row],[Action Type]]&amp;Network_AgentGlobal[[#This Row],[Country]]</f>
        <v>GS3.RQ7.Response_RequiredIndia_FTF</v>
      </c>
      <c r="C46" s="353" t="e">
        <f ca="1">IFERROR(VLOOKUP(Network_AgentGlobal[[#This Row],[Question]],INDIRECT('Gen Info'!$D$4&amp;"[#All]"),13,FALSE),VLOOKUP(Network_AgentGlobal[[#This Row],[Question]],INDIRECT('Gen Info'!$D$4&amp;"_"&amp;'Gen Info'!$E$4&amp;"[#All]"),13,FALSE))</f>
        <v>#REF!</v>
      </c>
      <c r="D46" s="353" cm="1">
        <f t="array" aca="1" ref="D46"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46" s="353" t="s">
        <v>2888</v>
      </c>
      <c r="F46" s="353"/>
      <c r="G46" s="353"/>
      <c r="H46" s="353"/>
      <c r="I46" s="353" cm="1">
        <f t="array" ref="I46">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46" s="353" t="s">
        <v>2482</v>
      </c>
      <c r="K46" s="353"/>
      <c r="L46" s="353"/>
      <c r="M46" s="353"/>
      <c r="N46" s="353"/>
      <c r="O46" s="353"/>
      <c r="P46" s="353"/>
      <c r="Q46" s="353" t="s">
        <v>2215</v>
      </c>
      <c r="R46" s="353" t="s">
        <v>2889</v>
      </c>
      <c r="S46" s="353" t="s">
        <v>2196</v>
      </c>
      <c r="U46" t="str">
        <f>Master_Agent_HQsGlobal[[#This Row],[Question]]&amp;"."&amp;Master_Agent_HQsGlobal[[#This Row],[Action Type]]&amp;Master_Agent_HQsGlobal[[#This Row],[Country]]</f>
        <v>GS4.GQ2.Response_Required</v>
      </c>
      <c r="V46" t="str">
        <f ca="1">IFERROR(VLOOKUP(Master_Agent_HQsGlobal[[#This Row],[Question]],Master_Agent_HQs[#All],13,FALSE),VLOOKUP(Master_Agent_HQsGlobal[[#This Row],[Question]],INDIRECT("Master_Agent_HQs"&amp;'Gen Info'!$E$4&amp;"[#All]"),13,FALSE))</f>
        <v>Políticas y Procedimientos</v>
      </c>
      <c r="W46" t="str" cm="1">
        <f t="array" ref="W46">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Las Políticas y Procedimientos de AML/CFT, estan incompletas.</v>
      </c>
      <c r="X46" t="s">
        <v>2392</v>
      </c>
      <c r="AA46" s="143"/>
      <c r="AB46" t="str" cm="1">
        <f t="array" ref="AB46">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Brindar a Western Union copia o evidencia de las Políticas y Procedimientos del programa de AML/CFT junto con el reconocimiento del responsable de cumplimiento.</v>
      </c>
      <c r="AC46" t="s">
        <v>2877</v>
      </c>
      <c r="AD46" t="s">
        <v>2394</v>
      </c>
      <c r="AE46" t="s">
        <v>2878</v>
      </c>
      <c r="AF46" t="s">
        <v>2396</v>
      </c>
      <c r="AG46" t="s">
        <v>2890</v>
      </c>
      <c r="AH46" t="s">
        <v>2398</v>
      </c>
      <c r="AI46" t="s">
        <v>2880</v>
      </c>
      <c r="AJ46" t="s">
        <v>2215</v>
      </c>
      <c r="AK46" t="s">
        <v>723</v>
      </c>
      <c r="AO46" t="str">
        <f>IndependentGlobal[[#This Row],[Question]]&amp;"."&amp;IndependentGlobal[[#This Row],[Action Type]]&amp;IndependentGlobal[[#This Row],[Country]]</f>
        <v>GS14.GQ3.Response_Required</v>
      </c>
      <c r="AP46" t="str">
        <f ca="1">IFERROR(VLOOKUP(IndependentGlobal[[#This Row],[Question]],Independent[#All],13,FALSE),VLOOKUP(IndependentGlobal[[#This Row],[Question]],INDIRECT("Independent_"&amp;'Gen Info'!$E$4&amp;"[#All]"),13,FALSE))</f>
        <v>Conservación de Registros</v>
      </c>
      <c r="AQ46" t="str" cm="1">
        <f t="array" ref="AQ46">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desecha los documentos del programa de cumplimiento de forma adecuada.</v>
      </c>
      <c r="AR46" t="s">
        <v>2881</v>
      </c>
      <c r="AV46" t="str" cm="1">
        <f t="array" ref="AV46">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confirmación donde se evidencie que todos los empleados han sido entrenados en este tema. Asegúrese que la confirmación incluya el tema cubierto, el nombre de las personas que asistieron a la sesión y la fecha de la capacitación.</v>
      </c>
      <c r="AW46" t="s">
        <v>2400</v>
      </c>
      <c r="AX46" t="s">
        <v>2882</v>
      </c>
      <c r="AY46" t="s">
        <v>2401</v>
      </c>
      <c r="AZ46" t="s">
        <v>2883</v>
      </c>
      <c r="BA46" t="s">
        <v>2402</v>
      </c>
      <c r="BB46" t="s">
        <v>2884</v>
      </c>
      <c r="BC46" t="s">
        <v>2891</v>
      </c>
      <c r="BD46" t="s">
        <v>2215</v>
      </c>
      <c r="BE46" t="s">
        <v>1121</v>
      </c>
      <c r="BH46" t="str">
        <f>Independent_MO_OnlyGlobal[[#This Row],[Question]]&amp;"."&amp;Independent_MO_OnlyGlobal[[#This Row],[Action Type]]&amp;Independent_MO_OnlyGlobal[[#This Row],[Country]]</f>
        <v>GS3.GQ3.Resolved_Onsite</v>
      </c>
      <c r="BI46">
        <f ca="1">IFERROR(VLOOKUP(Independent_MO_OnlyGlobal[[#This Row],[Question]],Independent_MO_Only[#All],13,FALSE),VLOOKUP(Independent_MO_OnlyGlobal[[#This Row],[Question]],INDIRECT("Independent_MO_Only"&amp;'Gen Info'!$E$4&amp;"[#All]"),13,FALSE))</f>
        <v>0</v>
      </c>
      <c r="BJ46" cm="1">
        <f t="array" ref="BJ46">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46" t="s">
        <v>2340</v>
      </c>
      <c r="BO46" cm="1">
        <f t="array" ref="BO46">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46" t="s">
        <v>2570</v>
      </c>
      <c r="BW46" t="s">
        <v>2195</v>
      </c>
      <c r="BX46" t="s">
        <v>693</v>
      </c>
    </row>
    <row r="47" spans="2:117">
      <c r="B47" s="353" t="str">
        <f>Network_AgentGlobal[[#This Row],[Question]]&amp;"."&amp;Network_AgentGlobal[[#This Row],[Action Type]]&amp;Network_AgentGlobal[[#This Row],[Country]]</f>
        <v>GS4.GQ1.Resolved_Onsite</v>
      </c>
      <c r="C47" s="353" t="str">
        <f ca="1">IFERROR(VLOOKUP(Network_AgentGlobal[[#This Row],[Question]],INDIRECT('Gen Info'!$D$4&amp;"[#All]"),13,FALSE),VLOOKUP(Network_AgentGlobal[[#This Row],[Question]],INDIRECT('Gen Info'!$D$4&amp;"_"&amp;'Gen Info'!$E$4&amp;"[#All]"),13,FALSE))</f>
        <v>Conocimiento de Operador - Actividad Sospechosa y Fraude</v>
      </c>
      <c r="D47" s="353" t="str" cm="1">
        <f t="array" aca="1" ref="D47"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Los "FLAs" no pueden demostrar que han sido debidamente capacitados en cuanto a las características de cumplimiento de AML y CFT.</v>
      </c>
      <c r="E47" s="353" t="s">
        <v>2892</v>
      </c>
      <c r="F47" s="353"/>
      <c r="G47" s="353"/>
      <c r="H47" s="353"/>
      <c r="I47" s="353" t="str" cm="1">
        <f t="array" ref="I47">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No se requiere acción. Se ha enviado al Agente material de capacitación específico sobre este tema. Todos los "FLAs" han recibido realimentación/capacitación sobre este tema en el transcurso de la revisión.</v>
      </c>
      <c r="J47" s="353" t="s">
        <v>2362</v>
      </c>
      <c r="K47" s="353" t="s">
        <v>2893</v>
      </c>
      <c r="L47" s="353" t="s">
        <v>2824</v>
      </c>
      <c r="M47" s="353" t="s">
        <v>2894</v>
      </c>
      <c r="N47" s="353" t="s">
        <v>2826</v>
      </c>
      <c r="O47" s="353" t="s">
        <v>2895</v>
      </c>
      <c r="P47" s="353" t="s">
        <v>2896</v>
      </c>
      <c r="Q47" s="353" t="s">
        <v>2195</v>
      </c>
      <c r="R47" s="353" t="s">
        <v>711</v>
      </c>
      <c r="S47" s="353"/>
      <c r="U47" t="str">
        <f>Master_Agent_HQsGlobal[[#This Row],[Question]]&amp;"."&amp;Master_Agent_HQsGlobal[[#This Row],[Action Type]]&amp;Master_Agent_HQsGlobal[[#This Row],[Country]]</f>
        <v>GS4.GQ3.Response_Required</v>
      </c>
      <c r="V47" t="str">
        <f ca="1">IFERROR(VLOOKUP(Master_Agent_HQsGlobal[[#This Row],[Question]],Master_Agent_HQs[#All],13,FALSE),VLOOKUP(Master_Agent_HQsGlobal[[#This Row],[Question]],INDIRECT("Master_Agent_HQs"&amp;'Gen Info'!$E$4&amp;"[#All]"),13,FALSE))</f>
        <v>Políticas y Procedimientos</v>
      </c>
      <c r="W47" t="str" cm="1">
        <f t="array" ref="W47">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tiene políiticas de cumplimiento de Anti-Fraude debidamente documentadas.</v>
      </c>
      <c r="X47" t="s">
        <v>2415</v>
      </c>
      <c r="AA47" s="143"/>
      <c r="AB47" t="str" cm="1">
        <f t="array" ref="AB47">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Brindar a Western Union copia o evidencia de las Políticas y Procedimientos del programa de Anti-Fraude junto con el reconocimiento del responsable de cumplimiento.</v>
      </c>
      <c r="AC47" t="s">
        <v>2726</v>
      </c>
      <c r="AD47" t="s">
        <v>2417</v>
      </c>
      <c r="AE47" t="s">
        <v>2727</v>
      </c>
      <c r="AF47" t="s">
        <v>2419</v>
      </c>
      <c r="AG47" t="s">
        <v>2897</v>
      </c>
      <c r="AH47" t="s">
        <v>2421</v>
      </c>
      <c r="AI47" t="s">
        <v>2898</v>
      </c>
      <c r="AJ47" t="s">
        <v>2215</v>
      </c>
      <c r="AK47" t="s">
        <v>738</v>
      </c>
      <c r="AO47" t="str">
        <f>IndependentGlobal[[#This Row],[Question]]&amp;"."&amp;IndependentGlobal[[#This Row],[Action Type]]&amp;IndependentGlobal[[#This Row],[Country]]</f>
        <v>GS14.GQ4.Resolved_Onsite</v>
      </c>
      <c r="AP47" t="str">
        <f ca="1">IFERROR(VLOOKUP(IndependentGlobal[[#This Row],[Question]],Independent[#All],13,FALSE),VLOOKUP(IndependentGlobal[[#This Row],[Question]],INDIRECT("Independent_"&amp;'Gen Info'!$E$4&amp;"[#All]"),13,FALSE))</f>
        <v>Conservación de Registros</v>
      </c>
      <c r="AQ47" t="str" cm="1">
        <f t="array" ref="AQ47">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puede brindar copias claras de las transferencias.</v>
      </c>
      <c r="AR47" t="s">
        <v>2899</v>
      </c>
      <c r="AV47" t="str" cm="1">
        <f t="array" ref="AV47">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El agente ha sido debidamente entrenado en este tema durante la revisión. El agente ha brindado confirmación escrita de la remediación. El documento incluye una clara explicación acerca de la falta de conservación de los registros. El agente también ha brindado un plan de acción para solucionar la falta en el futuro.</v>
      </c>
      <c r="AW47" t="s">
        <v>2900</v>
      </c>
      <c r="AX47" t="s">
        <v>2901</v>
      </c>
      <c r="AY47" t="s">
        <v>2902</v>
      </c>
      <c r="AZ47" t="s">
        <v>2903</v>
      </c>
      <c r="BA47" t="s">
        <v>2904</v>
      </c>
      <c r="BB47" t="s">
        <v>2905</v>
      </c>
      <c r="BC47" t="s">
        <v>2906</v>
      </c>
      <c r="BD47" t="s">
        <v>2195</v>
      </c>
      <c r="BE47" t="s">
        <v>1094</v>
      </c>
      <c r="BH47" t="str">
        <f>Independent_MO_OnlyGlobal[[#This Row],[Question]]&amp;"."&amp;Independent_MO_OnlyGlobal[[#This Row],[Action Type]]&amp;Independent_MO_OnlyGlobal[[#This Row],[Country]]</f>
        <v>GS3.GQ4.Resolved_Onsite</v>
      </c>
      <c r="BI47">
        <f ca="1">IFERROR(VLOOKUP(Independent_MO_OnlyGlobal[[#This Row],[Question]],Independent_MO_Only[#All],13,FALSE),VLOOKUP(Independent_MO_OnlyGlobal[[#This Row],[Question]],INDIRECT("Independent_MO_Only"&amp;'Gen Info'!$E$4&amp;"[#All]"),13,FALSE))</f>
        <v>0</v>
      </c>
      <c r="BJ47" cm="1">
        <f t="array" ref="BJ47">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47" t="s">
        <v>2359</v>
      </c>
      <c r="BO47" cm="1">
        <f t="array" ref="BO47">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47" t="s">
        <v>2570</v>
      </c>
      <c r="BW47" t="s">
        <v>2195</v>
      </c>
      <c r="BX47" t="s">
        <v>1517</v>
      </c>
    </row>
    <row r="48" spans="2:117">
      <c r="B48" s="353" t="str">
        <f>Network_AgentGlobal[[#This Row],[Question]]&amp;"."&amp;Network_AgentGlobal[[#This Row],[Action Type]]&amp;Network_AgentGlobal[[#This Row],[Country]]</f>
        <v>GS4.GQ1.Response_Required</v>
      </c>
      <c r="C48" s="353" t="str">
        <f ca="1">IFERROR(VLOOKUP(Network_AgentGlobal[[#This Row],[Question]],INDIRECT('Gen Info'!$D$4&amp;"[#All]"),13,FALSE),VLOOKUP(Network_AgentGlobal[[#This Row],[Question]],INDIRECT('Gen Info'!$D$4&amp;"_"&amp;'Gen Info'!$E$4&amp;"[#All]"),13,FALSE))</f>
        <v>Conocimiento de Operador - Actividad Sospechosa y Fraude</v>
      </c>
      <c r="D48" s="353" t="str" cm="1">
        <f t="array" aca="1" ref="D48"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Los "FLAs" no pueden demostrar que han sido debidamente capacitados en cuanto a las características de cumplimiento de AML y CFT.</v>
      </c>
      <c r="E48" s="353" t="s">
        <v>2892</v>
      </c>
      <c r="F48" s="353"/>
      <c r="G48" s="353"/>
      <c r="H48" s="353"/>
      <c r="I48" s="353" t="str" cm="1">
        <f t="array" ref="I48">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Brinde a Western Union evidencia o confirmación que todos los operadores han sido entrenados en el tema. Asegúrese que la confirmación incluya el tema cubierto, el nombre de las personas que asistieron a la sesión y la fecha de la capacitación.</v>
      </c>
      <c r="J48" s="353" t="s">
        <v>2388</v>
      </c>
      <c r="K48" s="353" t="s">
        <v>2907</v>
      </c>
      <c r="L48" s="353" t="s">
        <v>2389</v>
      </c>
      <c r="M48" s="353" t="s">
        <v>2908</v>
      </c>
      <c r="N48" s="353" t="s">
        <v>2390</v>
      </c>
      <c r="O48" s="353" t="s">
        <v>2895</v>
      </c>
      <c r="P48" s="353" t="s">
        <v>2391</v>
      </c>
      <c r="Q48" s="353" t="s">
        <v>2215</v>
      </c>
      <c r="R48" s="353" t="s">
        <v>711</v>
      </c>
      <c r="S48" s="353"/>
      <c r="U48" t="str">
        <f>Master_Agent_HQsGlobal[[#This Row],[Question]]&amp;"."&amp;Master_Agent_HQsGlobal[[#This Row],[Action Type]]&amp;Master_Agent_HQsGlobal[[#This Row],[Country]]</f>
        <v>GS4.GQ4.Response_Required</v>
      </c>
      <c r="V48" t="str">
        <f ca="1">IFERROR(VLOOKUP(Master_Agent_HQsGlobal[[#This Row],[Question]],Master_Agent_HQs[#All],13,FALSE),VLOOKUP(Master_Agent_HQsGlobal[[#This Row],[Question]],INDIRECT("Master_Agent_HQs"&amp;'Gen Info'!$E$4&amp;"[#All]"),13,FALSE))</f>
        <v>Políticas y Procedimientos</v>
      </c>
      <c r="W48" t="str" cm="1">
        <f t="array" ref="W48">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Las Políticas y Procedimientos de Anti-Fraude, estan incompletas.</v>
      </c>
      <c r="X48" t="s">
        <v>2434</v>
      </c>
      <c r="AA48" s="143"/>
      <c r="AB48" t="str" cm="1">
        <f t="array" ref="AB48">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Brindar a Western Union copia o evidencia de las Políticas y Procedimientos del programa de Anti-Fraude junto con el reconocimiento del responsable de cumplimiento.</v>
      </c>
      <c r="AC48" t="s">
        <v>2726</v>
      </c>
      <c r="AD48" t="s">
        <v>2436</v>
      </c>
      <c r="AE48" t="s">
        <v>2727</v>
      </c>
      <c r="AF48" t="s">
        <v>2438</v>
      </c>
      <c r="AG48" t="s">
        <v>2897</v>
      </c>
      <c r="AH48" t="s">
        <v>2439</v>
      </c>
      <c r="AI48" t="s">
        <v>2898</v>
      </c>
      <c r="AJ48" t="s">
        <v>2215</v>
      </c>
      <c r="AK48" t="s">
        <v>753</v>
      </c>
      <c r="AO48" t="str">
        <f>IndependentGlobal[[#This Row],[Question]]&amp;"."&amp;IndependentGlobal[[#This Row],[Action Type]]&amp;IndependentGlobal[[#This Row],[Country]]</f>
        <v>GS14.GQ4.Response_Required</v>
      </c>
      <c r="AP48" t="str">
        <f ca="1">IFERROR(VLOOKUP(IndependentGlobal[[#This Row],[Question]],Independent[#All],13,FALSE),VLOOKUP(IndependentGlobal[[#This Row],[Question]],INDIRECT("Independent_"&amp;'Gen Info'!$E$4&amp;"[#All]"),13,FALSE))</f>
        <v>Conservación de Registros</v>
      </c>
      <c r="AQ48" t="str" cm="1">
        <f t="array" ref="AQ48">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puede brindar copias claras de las transferencias.</v>
      </c>
      <c r="AR48" t="s">
        <v>2899</v>
      </c>
      <c r="AV48" t="str" cm="1">
        <f t="array" ref="AV48">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confirmación donde se evidencie que todos los empleados han sido entrenados en este tema. Asegúrese que la confirmación incluya el tema cubierto, el nombre de las personas que asistieron a la sesión y la fecha de la capacitación. Además, brinde confirmación escrita de la remediación incluyendo una explicación clara de la causa de esta falta y un plan de acción para evitar que suceda en el futuro.</v>
      </c>
      <c r="AW48" t="s">
        <v>2909</v>
      </c>
      <c r="AX48" t="s">
        <v>2901</v>
      </c>
      <c r="AY48" t="s">
        <v>2910</v>
      </c>
      <c r="AZ48" t="s">
        <v>2903</v>
      </c>
      <c r="BA48" t="s">
        <v>2911</v>
      </c>
      <c r="BB48" t="s">
        <v>2905</v>
      </c>
      <c r="BC48" t="s">
        <v>2912</v>
      </c>
      <c r="BD48" t="s">
        <v>2215</v>
      </c>
      <c r="BE48" t="s">
        <v>1094</v>
      </c>
      <c r="BH48" t="str">
        <f>Independent_MO_OnlyGlobal[[#This Row],[Question]]&amp;"."&amp;Independent_MO_OnlyGlobal[[#This Row],[Action Type]]&amp;Independent_MO_OnlyGlobal[[#This Row],[Country]]</f>
        <v>GS4.GQ3.Resolved_Onsite</v>
      </c>
      <c r="BI48">
        <f ca="1">IFERROR(VLOOKUP(Independent_MO_OnlyGlobal[[#This Row],[Question]],Independent_MO_Only[#All],13,FALSE),VLOOKUP(Independent_MO_OnlyGlobal[[#This Row],[Question]],INDIRECT("Independent_MO_Only"&amp;'Gen Info'!$E$4&amp;"[#All]"),13,FALSE))</f>
        <v>0</v>
      </c>
      <c r="BJ48" cm="1">
        <f t="array" ref="BJ48">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48" t="s">
        <v>2913</v>
      </c>
      <c r="BO48" cm="1">
        <f t="array" ref="BO48">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48" t="s">
        <v>2570</v>
      </c>
      <c r="BW48" t="s">
        <v>2195</v>
      </c>
      <c r="BX48" t="s">
        <v>738</v>
      </c>
    </row>
    <row r="49" spans="2:76">
      <c r="B49" s="353" t="str">
        <f>Network_AgentGlobal[[#This Row],[Question]]&amp;"."&amp;Network_AgentGlobal[[#This Row],[Action Type]]&amp;Network_AgentGlobal[[#This Row],[Country]]</f>
        <v>GS4.GQ1.Response_RequiredIndia_FTF</v>
      </c>
      <c r="C49" s="353" t="str">
        <f ca="1">IFERROR(VLOOKUP(Network_AgentGlobal[[#This Row],[Question]],INDIRECT('Gen Info'!$D$4&amp;"[#All]"),13,FALSE),VLOOKUP(Network_AgentGlobal[[#This Row],[Question]],INDIRECT('Gen Info'!$D$4&amp;"_"&amp;'Gen Info'!$E$4&amp;"[#All]"),13,FALSE))</f>
        <v>Conocimiento de Operador - Actividad Sospechosa y Fraude</v>
      </c>
      <c r="D49" s="353" cm="1">
        <f t="array" aca="1" ref="D49"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49" s="353" t="s">
        <v>2521</v>
      </c>
      <c r="F49" s="353"/>
      <c r="G49" s="353"/>
      <c r="H49" s="353"/>
      <c r="I49" s="353" cm="1">
        <f t="array" ref="I49">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49" s="353" t="s">
        <v>2482</v>
      </c>
      <c r="K49" s="353"/>
      <c r="L49" s="353"/>
      <c r="M49" s="353"/>
      <c r="N49" s="353"/>
      <c r="O49" s="353"/>
      <c r="P49" s="353"/>
      <c r="Q49" s="353" t="s">
        <v>2215</v>
      </c>
      <c r="R49" s="353" t="s">
        <v>711</v>
      </c>
      <c r="S49" s="353" t="s">
        <v>2196</v>
      </c>
      <c r="U49" t="str">
        <f>Master_Agent_HQsGlobal[[#This Row],[Question]]&amp;"."&amp;Master_Agent_HQsGlobal[[#This Row],[Action Type]]&amp;Master_Agent_HQsGlobal[[#This Row],[Country]]</f>
        <v>GS4.GQ5.Response_Required</v>
      </c>
      <c r="V49" t="str">
        <f ca="1">IFERROR(VLOOKUP(Master_Agent_HQsGlobal[[#This Row],[Question]],Master_Agent_HQs[#All],13,FALSE),VLOOKUP(Master_Agent_HQsGlobal[[#This Row],[Question]],INDIRECT("Master_Agent_HQs"&amp;'Gen Info'!$E$4&amp;"[#All]"),13,FALSE))</f>
        <v>Políticas y Procedimientos</v>
      </c>
      <c r="W49" t="str" cm="1">
        <f t="array" ref="W49">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Las Políticas y Procedimientos AML/CFTy Anti-fraude no se actualizan periódicamente.</v>
      </c>
      <c r="X49" t="s">
        <v>2449</v>
      </c>
      <c r="AA49" s="143"/>
      <c r="AB49" t="str" cm="1">
        <f t="array" ref="AB49">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Brinde a Western Union evidencia que demuestre la revisión y aprobación de las políticas y procedimientos AML/CFT y Anti-fraude.</v>
      </c>
      <c r="AC49" t="s">
        <v>2914</v>
      </c>
      <c r="AD49" t="s">
        <v>2451</v>
      </c>
      <c r="AE49" t="s">
        <v>2915</v>
      </c>
      <c r="AF49" t="s">
        <v>2453</v>
      </c>
      <c r="AG49" t="s">
        <v>2916</v>
      </c>
      <c r="AH49" t="s">
        <v>2455</v>
      </c>
      <c r="AI49" t="s">
        <v>2917</v>
      </c>
      <c r="AJ49" t="s">
        <v>2215</v>
      </c>
      <c r="AK49" t="s">
        <v>761</v>
      </c>
      <c r="AO49" t="str">
        <f>IndependentGlobal[[#This Row],[Question]]&amp;"."&amp;IndependentGlobal[[#This Row],[Action Type]]&amp;IndependentGlobal[[#This Row],[Country]]</f>
        <v>GS14.GQ5.Resolved_Onsite</v>
      </c>
      <c r="AP49" t="str">
        <f ca="1">IFERROR(VLOOKUP(IndependentGlobal[[#This Row],[Question]],Independent[#All],13,FALSE),VLOOKUP(IndependentGlobal[[#This Row],[Question]],INDIRECT("Independent_"&amp;'Gen Info'!$E$4&amp;"[#All]"),13,FALSE))</f>
        <v>Conservación de Registros</v>
      </c>
      <c r="AQ49" t="str" cm="1">
        <f t="array" ref="AQ49">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almacena los registros/documentos en un lugar seguro.</v>
      </c>
      <c r="AR49" t="s">
        <v>2918</v>
      </c>
      <c r="AV49" t="str" cm="1">
        <f t="array" ref="AV49">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Todos los operadores han sido debidamente entrenados en este tema durante la revisión.</v>
      </c>
      <c r="AW49" t="s">
        <v>2378</v>
      </c>
      <c r="AX49" t="s">
        <v>2919</v>
      </c>
      <c r="AY49" t="s">
        <v>2380</v>
      </c>
      <c r="AZ49" t="s">
        <v>2920</v>
      </c>
      <c r="BA49" t="s">
        <v>2382</v>
      </c>
      <c r="BB49" t="s">
        <v>2921</v>
      </c>
      <c r="BC49" t="s">
        <v>2384</v>
      </c>
      <c r="BD49" t="s">
        <v>2195</v>
      </c>
      <c r="BE49" t="s">
        <v>1108</v>
      </c>
      <c r="BH49" t="str">
        <f>Independent_MO_OnlyGlobal[[#This Row],[Question]]&amp;"."&amp;Independent_MO_OnlyGlobal[[#This Row],[Action Type]]&amp;Independent_MO_OnlyGlobal[[#This Row],[Country]]</f>
        <v>GS5.GQ1.Resolved_Onsite</v>
      </c>
      <c r="BI49">
        <f ca="1">IFERROR(VLOOKUP(Independent_MO_OnlyGlobal[[#This Row],[Question]],Independent_MO_Only[#All],13,FALSE),VLOOKUP(Independent_MO_OnlyGlobal[[#This Row],[Question]],INDIRECT("Independent_MO_Only"&amp;'Gen Info'!$E$4&amp;"[#All]"),13,FALSE))</f>
        <v>0</v>
      </c>
      <c r="BJ49" cm="1">
        <f t="array" ref="BJ49">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49" t="s">
        <v>2427</v>
      </c>
      <c r="BO49" cm="1">
        <f t="array" ref="BO49">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49" t="s">
        <v>2922</v>
      </c>
      <c r="BW49" t="s">
        <v>2195</v>
      </c>
      <c r="BX49" t="s">
        <v>797</v>
      </c>
    </row>
    <row r="50" spans="2:76">
      <c r="B50" s="353" t="str">
        <f>Network_AgentGlobal[[#This Row],[Question]]&amp;"."&amp;Network_AgentGlobal[[#This Row],[Action Type]]&amp;Network_AgentGlobal[[#This Row],[Country]]</f>
        <v>GS4.GQ8.Resolved_Onsite</v>
      </c>
      <c r="C50" s="353" t="str">
        <f ca="1">IFERROR(VLOOKUP(Network_AgentGlobal[[#This Row],[Question]],INDIRECT('Gen Info'!$D$4&amp;"[#All]"),13,FALSE),VLOOKUP(Network_AgentGlobal[[#This Row],[Question]],INDIRECT('Gen Info'!$D$4&amp;"_"&amp;'Gen Info'!$E$4&amp;"[#All]"),13,FALSE))</f>
        <v>Conocimiento de Operador - Actividad Sospechosa y Fraude</v>
      </c>
      <c r="D50" s="353" t="str" cm="1">
        <f t="array" aca="1" ref="D50"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Los operadores no saben que no deben remitir a los consumidores a otros lugares cuando se les presenten transacciones que involucren un posible fraude al consumidor.</v>
      </c>
      <c r="E50" s="353" t="s">
        <v>2923</v>
      </c>
      <c r="F50" s="353"/>
      <c r="G50" s="353"/>
      <c r="H50" s="353"/>
      <c r="I50" s="353" t="str" cm="1">
        <f t="array" ref="I50">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No se requiere acción. Se ha enviado al Agente material de capacitación específico sobre este tema. Todos los "FLAs" han recibido realimentación/capacitación sobre este tema en el transcurso de la revisión.</v>
      </c>
      <c r="J50" s="353" t="s">
        <v>2362</v>
      </c>
      <c r="K50" s="353" t="s">
        <v>2924</v>
      </c>
      <c r="L50" s="353" t="s">
        <v>2824</v>
      </c>
      <c r="M50" s="353" t="s">
        <v>2894</v>
      </c>
      <c r="N50" s="353" t="s">
        <v>2826</v>
      </c>
      <c r="O50" s="353" t="s">
        <v>2925</v>
      </c>
      <c r="P50" s="353" t="s">
        <v>2896</v>
      </c>
      <c r="Q50" s="353" t="s">
        <v>2195</v>
      </c>
      <c r="R50" s="353" t="s">
        <v>785</v>
      </c>
      <c r="S50" s="353"/>
      <c r="U50" t="str">
        <f>Master_Agent_HQsGlobal[[#This Row],[Question]]&amp;"."&amp;Master_Agent_HQsGlobal[[#This Row],[Action Type]]&amp;Master_Agent_HQsGlobal[[#This Row],[Country]]</f>
        <v>GS4.GQ7.Response_Required</v>
      </c>
      <c r="V50" t="str">
        <f ca="1">IFERROR(VLOOKUP(Master_Agent_HQsGlobal[[#This Row],[Question]],Master_Agent_HQs[#All],13,FALSE),VLOOKUP(Master_Agent_HQsGlobal[[#This Row],[Question]],INDIRECT("Master_Agent_HQs"&amp;'Gen Info'!$E$4&amp;"[#All]"),13,FALSE))</f>
        <v>Políticas y Procedimientos</v>
      </c>
      <c r="W50" t="str" cm="1">
        <f t="array" ref="W50">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Las Políticas y Procedimientos de AML/CFT y Anti-Fraude, no han sido debidamente comunicadas a los empleados anualmente.</v>
      </c>
      <c r="X50" t="s">
        <v>2469</v>
      </c>
      <c r="AA50" s="143"/>
      <c r="AB50" t="str" cm="1">
        <f t="array" ref="AB50">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Brinde a Western Union evidencia que indique que el programa de AML/CFT y Anti-Fraude ha sido comunicado a todos los empleados con acceso al sistema de Western Union.</v>
      </c>
      <c r="AC50" t="s">
        <v>2926</v>
      </c>
      <c r="AD50" t="s">
        <v>2471</v>
      </c>
      <c r="AE50" t="s">
        <v>2927</v>
      </c>
      <c r="AF50" t="s">
        <v>2473</v>
      </c>
      <c r="AG50" t="s">
        <v>2928</v>
      </c>
      <c r="AH50" t="s">
        <v>2475</v>
      </c>
      <c r="AI50" t="s">
        <v>2929</v>
      </c>
      <c r="AJ50" t="s">
        <v>2215</v>
      </c>
      <c r="AK50" t="s">
        <v>777</v>
      </c>
      <c r="AO50" t="str">
        <f>IndependentGlobal[[#This Row],[Question]]&amp;"."&amp;IndependentGlobal[[#This Row],[Action Type]]&amp;IndependentGlobal[[#This Row],[Country]]</f>
        <v>GS14.GQ5.Response_Required</v>
      </c>
      <c r="AP50" t="str">
        <f ca="1">IFERROR(VLOOKUP(IndependentGlobal[[#This Row],[Question]],Independent[#All],13,FALSE),VLOOKUP(IndependentGlobal[[#This Row],[Question]],INDIRECT("Independent_"&amp;'Gen Info'!$E$4&amp;"[#All]"),13,FALSE))</f>
        <v>Conservación de Registros</v>
      </c>
      <c r="AQ50" t="str" cm="1">
        <f t="array" ref="AQ50">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almacena los registros/documentos en un lugar seguro.</v>
      </c>
      <c r="AR50" t="s">
        <v>2918</v>
      </c>
      <c r="AV50" t="str" cm="1">
        <f t="array" ref="AV50">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confirmación donde se evidencie que todos los empleados han sido entrenados en este tema. Asegúrese que la confirmación incluya el tema cubierto, el nombre de las personas que asistieron a la sesión y la fecha de la capacitación.</v>
      </c>
      <c r="AW50" t="s">
        <v>2400</v>
      </c>
      <c r="AX50" t="s">
        <v>2919</v>
      </c>
      <c r="AY50" t="s">
        <v>2401</v>
      </c>
      <c r="AZ50" t="s">
        <v>2920</v>
      </c>
      <c r="BA50" t="s">
        <v>2402</v>
      </c>
      <c r="BB50" t="s">
        <v>2921</v>
      </c>
      <c r="BC50" t="s">
        <v>2403</v>
      </c>
      <c r="BD50" t="s">
        <v>2215</v>
      </c>
      <c r="BE50" t="s">
        <v>1108</v>
      </c>
      <c r="BH50" t="str">
        <f>Independent_MO_OnlyGlobal[[#This Row],[Question]]&amp;"."&amp;Independent_MO_OnlyGlobal[[#This Row],[Action Type]]&amp;Independent_MO_OnlyGlobal[[#This Row],[Country]]</f>
        <v>GS5.GQ3.Resolved_Onsite</v>
      </c>
      <c r="BI50">
        <f ca="1">IFERROR(VLOOKUP(Independent_MO_OnlyGlobal[[#This Row],[Question]],Independent_MO_Only[#All],13,FALSE),VLOOKUP(Independent_MO_OnlyGlobal[[#This Row],[Question]],INDIRECT("Independent_MO_Only"&amp;'Gen Info'!$E$4&amp;"[#All]"),13,FALSE))</f>
        <v>0</v>
      </c>
      <c r="BJ50" cm="1">
        <f t="array" ref="BJ50">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50" t="s">
        <v>2363</v>
      </c>
      <c r="BO50" cm="1">
        <f t="array" ref="BO50">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50" t="s">
        <v>2922</v>
      </c>
      <c r="BW50" t="s">
        <v>2195</v>
      </c>
      <c r="BX50" t="s">
        <v>815</v>
      </c>
    </row>
    <row r="51" spans="2:76">
      <c r="B51" s="353" t="str">
        <f>Network_AgentGlobal[[#This Row],[Question]]&amp;"."&amp;Network_AgentGlobal[[#This Row],[Action Type]]&amp;Network_AgentGlobal[[#This Row],[Country]]</f>
        <v>GS4.GQ8.Response_Required</v>
      </c>
      <c r="C51" s="353" t="str">
        <f ca="1">IFERROR(VLOOKUP(Network_AgentGlobal[[#This Row],[Question]],INDIRECT('Gen Info'!$D$4&amp;"[#All]"),13,FALSE),VLOOKUP(Network_AgentGlobal[[#This Row],[Question]],INDIRECT('Gen Info'!$D$4&amp;"_"&amp;'Gen Info'!$E$4&amp;"[#All]"),13,FALSE))</f>
        <v>Conocimiento de Operador - Actividad Sospechosa y Fraude</v>
      </c>
      <c r="D51" s="353" t="str" cm="1">
        <f t="array" aca="1" ref="D51"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Los operadores no saben que no deben remitir a los consumidores a otros lugares cuando se les presenten transacciones que involucren un posible fraude al consumidor.</v>
      </c>
      <c r="E51" s="353" t="s">
        <v>2923</v>
      </c>
      <c r="F51" s="353"/>
      <c r="G51" s="353"/>
      <c r="H51" s="353"/>
      <c r="I51" s="353" t="str" cm="1">
        <f t="array" ref="I51">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Brinde a Western Union evidencia o confirmación que todos los operadores han sido entrenados en el tema. Asegúrese que la confirmación incluya el tema cubierto, el nombre de las personas que asistieron a la sesión y la fecha de la capacitación.</v>
      </c>
      <c r="J51" s="353" t="s">
        <v>2388</v>
      </c>
      <c r="K51" s="353" t="s">
        <v>2924</v>
      </c>
      <c r="L51" s="353" t="s">
        <v>2389</v>
      </c>
      <c r="M51" s="353" t="s">
        <v>2930</v>
      </c>
      <c r="N51" s="353" t="s">
        <v>2390</v>
      </c>
      <c r="O51" s="353" t="s">
        <v>2925</v>
      </c>
      <c r="P51" s="353" t="s">
        <v>2391</v>
      </c>
      <c r="Q51" s="353" t="s">
        <v>2215</v>
      </c>
      <c r="R51" s="353" t="s">
        <v>785</v>
      </c>
      <c r="S51" s="353"/>
      <c r="U51" t="str">
        <f>Master_Agent_HQsGlobal[[#This Row],[Question]]&amp;"."&amp;Master_Agent_HQsGlobal[[#This Row],[Action Type]]&amp;Master_Agent_HQsGlobal[[#This Row],[Country]]</f>
        <v>GS5.GQ1.Response_Required</v>
      </c>
      <c r="V51" t="str">
        <f ca="1">IFERROR(VLOOKUP(Master_Agent_HQsGlobal[[#This Row],[Question]],Master_Agent_HQs[#All],13,FALSE),VLOOKUP(Master_Agent_HQsGlobal[[#This Row],[Question]],INDIRECT("Master_Agent_HQs"&amp;'Gen Info'!$E$4&amp;"[#All]"),13,FALSE))</f>
        <v>Elaboración de Informes</v>
      </c>
      <c r="W51" t="str" cm="1">
        <f t="array" ref="W51">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tiene un proceso claramente comunicado para que sus operadores, Sub-agentes o la administración de Agentes informen inquietudes sobre actividades sospechosas al Oficial de Cumplimiento.</v>
      </c>
      <c r="X51" t="s">
        <v>2483</v>
      </c>
      <c r="AA51" s="143"/>
      <c r="AB51" t="str" cm="1">
        <f t="array" ref="AB51">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Brinde a Western Union confirmación que demuestre que existe un proceso claramente documentado y comunicado para que sus operadores, subagentes y administración de agentes informen inquietudes sobre actividades sospechosas al Oficial de cumplimiento.</v>
      </c>
      <c r="AC51" t="s">
        <v>2931</v>
      </c>
      <c r="AD51" t="s">
        <v>2484</v>
      </c>
      <c r="AE51" t="s">
        <v>2932</v>
      </c>
      <c r="AF51" t="s">
        <v>2485</v>
      </c>
      <c r="AG51" t="s">
        <v>2933</v>
      </c>
      <c r="AH51" t="s">
        <v>2486</v>
      </c>
      <c r="AI51" t="s">
        <v>2934</v>
      </c>
      <c r="AJ51" t="s">
        <v>2215</v>
      </c>
      <c r="AK51" t="s">
        <v>797</v>
      </c>
      <c r="AO51" t="str">
        <f>IndependentGlobal[[#This Row],[Question]]&amp;"."&amp;IndependentGlobal[[#This Row],[Action Type]]&amp;IndependentGlobal[[#This Row],[Country]]</f>
        <v>GS14.GQ6.Resolved_Onsite</v>
      </c>
      <c r="AP51" t="str">
        <f ca="1">IFERROR(VLOOKUP(IndependentGlobal[[#This Row],[Question]],Independent[#All],13,FALSE),VLOOKUP(IndependentGlobal[[#This Row],[Question]],INDIRECT("Independent_"&amp;'Gen Info'!$E$4&amp;"[#All]"),13,FALSE))</f>
        <v>Conservación de Registros</v>
      </c>
      <c r="AQ51" t="str" cm="1">
        <f t="array" ref="AQ51">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elimina los registros electrónicos después de alcanzar el período de retención.</v>
      </c>
      <c r="AR51" t="s">
        <v>2765</v>
      </c>
      <c r="AV51" t="str" cm="1">
        <f t="array" ref="AV51">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requiere acción. Se ha enviado al Agente material de capacitación específico sobre este tema. Todos los "FLAs" han recibido realimentación/capacitación sobre este tema en el transcurso de la revisión.</v>
      </c>
      <c r="AW51" t="s">
        <v>2362</v>
      </c>
      <c r="AX51" t="s">
        <v>2935</v>
      </c>
      <c r="AY51" t="s">
        <v>2824</v>
      </c>
      <c r="AZ51" t="s">
        <v>2936</v>
      </c>
      <c r="BA51" t="s">
        <v>2826</v>
      </c>
      <c r="BB51" t="s">
        <v>2937</v>
      </c>
      <c r="BC51" t="s">
        <v>2938</v>
      </c>
      <c r="BD51" t="s">
        <v>2195</v>
      </c>
      <c r="BE51" t="s">
        <v>1131</v>
      </c>
      <c r="BH51" t="str">
        <f>Independent_MO_OnlyGlobal[[#This Row],[Question]]&amp;"."&amp;Independent_MO_OnlyGlobal[[#This Row],[Action Type]]&amp;Independent_MO_OnlyGlobal[[#This Row],[Country]]</f>
        <v>GS6.RQ1.Resolved_Onsite</v>
      </c>
      <c r="BI51" t="e">
        <f ca="1">IFERROR(VLOOKUP(Independent_MO_OnlyGlobal[[#This Row],[Question]],Independent_MO_Only[#All],13,FALSE),VLOOKUP(Independent_MO_OnlyGlobal[[#This Row],[Question]],INDIRECT("Independent_MO_Only"&amp;'Gen Info'!$E$4&amp;"[#All]"),13,FALSE))</f>
        <v>#REF!</v>
      </c>
      <c r="BJ51" cm="1">
        <f t="array" ref="BJ51">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51" t="s">
        <v>2939</v>
      </c>
      <c r="BO51" cm="1">
        <f t="array" ref="BO51">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51" t="s">
        <v>2940</v>
      </c>
      <c r="BW51" t="s">
        <v>2195</v>
      </c>
      <c r="BX51" t="s">
        <v>579</v>
      </c>
    </row>
    <row r="52" spans="2:76">
      <c r="B52" s="353" t="str">
        <f>Network_AgentGlobal[[#This Row],[Question]]&amp;"."&amp;Network_AgentGlobal[[#This Row],[Action Type]]&amp;Network_AgentGlobal[[#This Row],[Country]]</f>
        <v>GS4.GQ2.Response_RequiredIndia_FTF</v>
      </c>
      <c r="C52" s="353" t="str">
        <f ca="1">IFERROR(VLOOKUP(Network_AgentGlobal[[#This Row],[Question]],INDIRECT('Gen Info'!$D$4&amp;"[#All]"),13,FALSE),VLOOKUP(Network_AgentGlobal[[#This Row],[Question]],INDIRECT('Gen Info'!$D$4&amp;"_"&amp;'Gen Info'!$E$4&amp;"[#All]"),13,FALSE))</f>
        <v>Conocimiento de Operador - Actividad Sospechosa y Fraude</v>
      </c>
      <c r="D52" s="353" cm="1">
        <f t="array" aca="1" ref="D52"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52" s="353" t="s">
        <v>2535</v>
      </c>
      <c r="F52" s="353"/>
      <c r="G52" s="353"/>
      <c r="H52" s="353"/>
      <c r="I52" s="353" cm="1">
        <f t="array" ref="I52">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52" s="353" t="s">
        <v>2482</v>
      </c>
      <c r="K52" s="353"/>
      <c r="L52" s="353"/>
      <c r="M52" s="353"/>
      <c r="N52" s="353"/>
      <c r="O52" s="353"/>
      <c r="P52" s="353"/>
      <c r="Q52" s="353" t="s">
        <v>2215</v>
      </c>
      <c r="R52" s="353" t="s">
        <v>723</v>
      </c>
      <c r="S52" s="353" t="s">
        <v>2196</v>
      </c>
      <c r="U52" t="str">
        <f>Master_Agent_HQsGlobal[[#This Row],[Question]]&amp;"."&amp;Master_Agent_HQsGlobal[[#This Row],[Action Type]]&amp;Master_Agent_HQsGlobal[[#This Row],[Country]]</f>
        <v>GS5.GQ2.Response_Required</v>
      </c>
      <c r="V52" t="str">
        <f ca="1">IFERROR(VLOOKUP(Master_Agent_HQsGlobal[[#This Row],[Question]],Master_Agent_HQs[#All],13,FALSE),VLOOKUP(Master_Agent_HQsGlobal[[#This Row],[Question]],INDIRECT("Master_Agent_HQs"&amp;'Gen Info'!$E$4&amp;"[#All]"),13,FALSE))</f>
        <v>Elaboración de Informes</v>
      </c>
      <c r="W52" t="e" cm="1">
        <f t="array" ref="W52">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#N/A</v>
      </c>
      <c r="X52" s="163" t="e" cm="1">
        <f t="array" ref="X52">_xlfn.IFS(INDEX(CallTb[#All],MATCH(Master_Agent_HQsGlobal[[#This Row],[Qnumber]],CallTb[[#All],[QNumber]],0),7)="No","The Agent is not aware of all applicable regulatory reporting requirements.",INDEX(CallTb[#All],MATCH(Master_Agent_HQsGlobal[[#This Row],[Qnumber]],CallTb[[#All],[QNumber]],0),7)="No_AML","The Agent is not complying with all applicable regulatory reporting requirements.")</f>
        <v>#N/A</v>
      </c>
      <c r="AA52" s="143"/>
      <c r="AB52" t="str" cm="1">
        <f t="array" ref="AB52">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Brinde a Western Union evidencia que muestre que están cumpliendo con los requerimientos regulatorios de reporte.</v>
      </c>
      <c r="AC52" t="s">
        <v>2941</v>
      </c>
      <c r="AD52" s="163" t="e" cm="1">
        <f t="array" ref="AD52">_xlfn.IFS(INDEX(CallTb[#All],MATCH(Master_Agent_HQsGlobal[[#This Row],[Qnumber]],CallTb[[#All],[QNumber]],0),7)="No","El agente no conoce todos los requerimientos aplicables regulatorios de reporte.",INDEX(CallTb[#All],MATCH(Master_Agent_HQsGlobal[[#This Row],[Qnumber]],CallTb[[#All],[QNumber]],0),7)="No_AML","El agente no está cumpliendo con todos los requerimientos aplicables regulatorios de reporte.")</f>
        <v>#N/A</v>
      </c>
      <c r="AE52" t="s">
        <v>2942</v>
      </c>
      <c r="AF52" s="163" t="e" cm="1">
        <f t="array" ref="AF52">_xlfn.IFS(INDEX(CallTb[#All],MATCH(Master_Agent_HQsGlobal[[#This Row],[Qnumber]],CallTb[[#All],[QNumber]],0),7)="No","L'agent n'est pas au courant de toutes les exigences réglementaires applicables en matière de rapports.",INDEX(CallTb[#All],MATCH(Master_Agent_HQsGlobal[[#This Row],[Qnumber]],CallTb[[#All],[QNumber]],0),7)="No_AML","L'Agent ne se conforme pas à toutes les exigences réglementaires applicables en matière de rapport.")</f>
        <v>#N/A</v>
      </c>
      <c r="AG52" t="s">
        <v>2943</v>
      </c>
      <c r="AH52" s="163" t="e" cm="1">
        <f t="array" ref="AH52">_xlfn.IFS(INDEX(CallTb[#All],MATCH(Master_Agent_HQsGlobal[[#This Row],[Qnumber]],CallTb[[#All],[QNumber]],0),7)="No","O Agente não está ciente de todos os requisitos de relatórios regulamentares aplicáveis.",INDEX(CallTb[#All],MATCH(Master_Agent_HQsGlobal[[#This Row],[Qnumber]],CallTb[[#All],[QNumber]],0),7)="No_AML","O Agente não está em conformidade com todos os requisitos de relatórios regulamentares aplicáveis.")</f>
        <v>#N/A</v>
      </c>
      <c r="AI52" t="s">
        <v>2944</v>
      </c>
      <c r="AJ52" t="s">
        <v>2215</v>
      </c>
      <c r="AK52" t="s">
        <v>807</v>
      </c>
      <c r="AO52" t="str">
        <f>IndependentGlobal[[#This Row],[Question]]&amp;"."&amp;IndependentGlobal[[#This Row],[Action Type]]&amp;IndependentGlobal[[#This Row],[Country]]</f>
        <v>GS14.GQ6.Response_Required</v>
      </c>
      <c r="AP52" t="str">
        <f ca="1">IFERROR(VLOOKUP(IndependentGlobal[[#This Row],[Question]],Independent[#All],13,FALSE),VLOOKUP(IndependentGlobal[[#This Row],[Question]],INDIRECT("Independent_"&amp;'Gen Info'!$E$4&amp;"[#All]"),13,FALSE))</f>
        <v>Conservación de Registros</v>
      </c>
      <c r="AQ52" t="str" cm="1">
        <f t="array" ref="AQ52">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elimina los registros electrónicos después de alcanzar el período de retención.</v>
      </c>
      <c r="AR52" t="s">
        <v>2765</v>
      </c>
      <c r="AV52" t="str" cm="1">
        <f t="array" ref="AV52">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evidencia o confirmación que todos los operadores han sido entrenados en el tema. Asegúrese que la confirmación incluya el tema cubierto, el nombre de las personas que asistieron a la sesión y la fecha de la capacitación.</v>
      </c>
      <c r="AW52" t="s">
        <v>2388</v>
      </c>
      <c r="AX52" t="s">
        <v>2935</v>
      </c>
      <c r="AY52" t="s">
        <v>2389</v>
      </c>
      <c r="AZ52" t="s">
        <v>2936</v>
      </c>
      <c r="BA52" t="s">
        <v>2390</v>
      </c>
      <c r="BB52" t="s">
        <v>2937</v>
      </c>
      <c r="BC52" t="s">
        <v>2945</v>
      </c>
      <c r="BD52" t="s">
        <v>2215</v>
      </c>
      <c r="BE52" t="s">
        <v>1131</v>
      </c>
      <c r="BH52" t="str">
        <f>Independent_MO_OnlyGlobal[[#This Row],[Question]]&amp;"."&amp;Independent_MO_OnlyGlobal[[#This Row],[Action Type]]&amp;Independent_MO_OnlyGlobal[[#This Row],[Country]]</f>
        <v>GS6.RQ2.Resolved_Onsite</v>
      </c>
      <c r="BI52" t="e">
        <f ca="1">IFERROR(VLOOKUP(Independent_MO_OnlyGlobal[[#This Row],[Question]],Independent_MO_Only[#All],13,FALSE),VLOOKUP(Independent_MO_OnlyGlobal[[#This Row],[Question]],INDIRECT("Independent_MO_Only"&amp;'Gen Info'!$E$4&amp;"[#All]"),13,FALSE))</f>
        <v>#REF!</v>
      </c>
      <c r="BJ52" cm="1">
        <f t="array" ref="BJ52">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52" t="s">
        <v>2832</v>
      </c>
      <c r="BO52" cm="1">
        <f t="array" ref="BO52">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52" t="s">
        <v>2570</v>
      </c>
      <c r="BW52" t="s">
        <v>2195</v>
      </c>
      <c r="BX52" t="s">
        <v>592</v>
      </c>
    </row>
    <row r="53" spans="2:76">
      <c r="B53" s="353" t="str">
        <f>Network_AgentGlobal[[#This Row],[Question]]&amp;"."&amp;Network_AgentGlobal[[#This Row],[Action Type]]&amp;Network_AgentGlobal[[#This Row],[Country]]</f>
        <v>GS4.GQ2.Resolved_Onsite</v>
      </c>
      <c r="C53" s="353" t="str">
        <f ca="1">IFERROR(VLOOKUP(Network_AgentGlobal[[#This Row],[Question]],INDIRECT('Gen Info'!$D$4&amp;"[#All]"),13,FALSE),VLOOKUP(Network_AgentGlobal[[#This Row],[Question]],INDIRECT('Gen Info'!$D$4&amp;"_"&amp;'Gen Info'!$E$4&amp;"[#All]"),13,FALSE))</f>
        <v>Conocimiento de Operador - Actividad Sospechosa y Fraude</v>
      </c>
      <c r="D53" s="353" t="str" cm="1">
        <f t="array" aca="1" ref="D53"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Los FLAs no saben cómo identificar transacciones o indicadores de actividades sospechosas.</v>
      </c>
      <c r="E53" s="353" t="s">
        <v>2946</v>
      </c>
      <c r="F53" s="353"/>
      <c r="G53" s="353"/>
      <c r="H53" s="353"/>
      <c r="I53" s="353" t="str" cm="1">
        <f t="array" ref="I53">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No se requiere acción. Se ha enviado al Agente material de capacitación específico sobre este tema. Todos los "FLAs" han recibido realimentación/capacitación sobre este tema en el transcurso de la revisión.</v>
      </c>
      <c r="J53" s="353" t="s">
        <v>2362</v>
      </c>
      <c r="K53" s="353" t="s">
        <v>2947</v>
      </c>
      <c r="L53" s="353" t="s">
        <v>2824</v>
      </c>
      <c r="M53" s="353" t="s">
        <v>2894</v>
      </c>
      <c r="N53" s="353" t="s">
        <v>2826</v>
      </c>
      <c r="O53" s="353" t="s">
        <v>2948</v>
      </c>
      <c r="P53" s="353" t="s">
        <v>2896</v>
      </c>
      <c r="Q53" s="353" t="s">
        <v>2195</v>
      </c>
      <c r="R53" s="353" t="s">
        <v>723</v>
      </c>
      <c r="S53" s="353"/>
      <c r="U53" t="str">
        <f>Master_Agent_HQsGlobal[[#This Row],[Question]]&amp;"."&amp;Master_Agent_HQsGlobal[[#This Row],[Action Type]]&amp;Master_Agent_HQsGlobal[[#This Row],[Country]]</f>
        <v>GS6.GQ1.Response_Required</v>
      </c>
      <c r="V53" t="str">
        <f ca="1">IFERROR(VLOOKUP(Master_Agent_HQsGlobal[[#This Row],[Question]],Master_Agent_HQs[#All],13,FALSE),VLOOKUP(Master_Agent_HQsGlobal[[#This Row],[Question]],INDIRECT("Master_Agent_HQs"&amp;'Gen Info'!$E$4&amp;"[#All]"),13,FALSE))</f>
        <v>Programa de Capacitación</v>
      </c>
      <c r="W53" t="str" cm="1">
        <f t="array" ref="W53">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tiene un programa de capacitación debidamente documentado.</v>
      </c>
      <c r="X53" t="s">
        <v>2505</v>
      </c>
      <c r="AA53" s="143"/>
      <c r="AB53" t="str" cm="1">
        <f t="array" ref="AB53">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Brinde a Western Union evidencia del programa de capacitación del agente.</v>
      </c>
      <c r="AC53" t="s">
        <v>2949</v>
      </c>
      <c r="AD53" t="s">
        <v>2507</v>
      </c>
      <c r="AE53" t="s">
        <v>2950</v>
      </c>
      <c r="AF53" t="s">
        <v>2509</v>
      </c>
      <c r="AG53" t="s">
        <v>2951</v>
      </c>
      <c r="AH53" t="s">
        <v>2511</v>
      </c>
      <c r="AI53" t="s">
        <v>2952</v>
      </c>
      <c r="AJ53" t="s">
        <v>2215</v>
      </c>
      <c r="AK53" t="s">
        <v>881</v>
      </c>
      <c r="AO53" t="str">
        <f>IndependentGlobal[[#This Row],[Question]]&amp;"."&amp;IndependentGlobal[[#This Row],[Action Type]]&amp;IndependentGlobal[[#This Row],[Country]]</f>
        <v>GS14.RQ1.Resolved_OnsiteUnited_States</v>
      </c>
      <c r="AP53" t="e">
        <f ca="1">IFERROR(VLOOKUP(IndependentGlobal[[#This Row],[Question]],Independent[#All],13,FALSE),VLOOKUP(IndependentGlobal[[#This Row],[Question]],INDIRECT("Independent_"&amp;'Gen Info'!$E$4&amp;"[#All]"),13,FALSE))</f>
        <v>#REF!</v>
      </c>
      <c r="AQ53" t="str" cm="1">
        <f t="array" ref="AQ53">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está documentando los registros de Money Order de forma adecuada.</v>
      </c>
      <c r="AR53" t="s">
        <v>2791</v>
      </c>
      <c r="AV53" t="str" cm="1">
        <f t="array" ref="AV53">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El agente ha sido debidamente entrenado en este tema durante la revisión.</v>
      </c>
      <c r="AW53" t="s">
        <v>2224</v>
      </c>
      <c r="AX53" t="s">
        <v>2953</v>
      </c>
      <c r="AY53" t="s">
        <v>2226</v>
      </c>
      <c r="AZ53" t="s">
        <v>2954</v>
      </c>
      <c r="BA53" t="s">
        <v>2749</v>
      </c>
      <c r="BB53" t="s">
        <v>2955</v>
      </c>
      <c r="BC53" t="s">
        <v>2230</v>
      </c>
      <c r="BD53" t="s">
        <v>2195</v>
      </c>
      <c r="BE53" t="s">
        <v>1191</v>
      </c>
      <c r="BF53" t="s">
        <v>2581</v>
      </c>
      <c r="BH53" t="str">
        <f>Independent_MO_OnlyGlobal[[#This Row],[Question]]&amp;"."&amp;Independent_MO_OnlyGlobal[[#This Row],[Action Type]]&amp;Independent_MO_OnlyGlobal[[#This Row],[Country]]</f>
        <v>GS6.RQ3.Resolved_Onsite</v>
      </c>
      <c r="BI53" t="e">
        <f ca="1">IFERROR(VLOOKUP(Independent_MO_OnlyGlobal[[#This Row],[Question]],Independent_MO_Only[#All],13,FALSE),VLOOKUP(Independent_MO_OnlyGlobal[[#This Row],[Question]],INDIRECT("Independent_MO_Only"&amp;'Gen Info'!$E$4&amp;"[#All]"),13,FALSE))</f>
        <v>#REF!</v>
      </c>
      <c r="BJ53" cm="1">
        <f t="array" ref="BJ53">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53" t="s">
        <v>2956</v>
      </c>
      <c r="BO53" cm="1">
        <f t="array" ref="BO53">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53" t="s">
        <v>2570</v>
      </c>
      <c r="BW53" t="s">
        <v>2195</v>
      </c>
      <c r="BX53" t="s">
        <v>601</v>
      </c>
    </row>
    <row r="54" spans="2:76">
      <c r="B54" s="353" t="str">
        <f>Network_AgentGlobal[[#This Row],[Question]]&amp;"."&amp;Network_AgentGlobal[[#This Row],[Action Type]]&amp;Network_AgentGlobal[[#This Row],[Country]]</f>
        <v>GS4.GQ2.Response_Required</v>
      </c>
      <c r="C54" s="353" t="str">
        <f ca="1">IFERROR(VLOOKUP(Network_AgentGlobal[[#This Row],[Question]],INDIRECT('Gen Info'!$D$4&amp;"[#All]"),13,FALSE),VLOOKUP(Network_AgentGlobal[[#This Row],[Question]],INDIRECT('Gen Info'!$D$4&amp;"_"&amp;'Gen Info'!$E$4&amp;"[#All]"),13,FALSE))</f>
        <v>Conocimiento de Operador - Actividad Sospechosa y Fraude</v>
      </c>
      <c r="D54" s="353" t="str" cm="1">
        <f t="array" aca="1" ref="D54"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Los FLAs no saben cómo identificar transacciones o indicadores de actividades sospechosas.</v>
      </c>
      <c r="E54" s="353" t="s">
        <v>2946</v>
      </c>
      <c r="F54" s="353"/>
      <c r="G54" s="353"/>
      <c r="H54" s="353"/>
      <c r="I54" s="353" t="str" cm="1">
        <f t="array" ref="I54">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Brinde a Western Union evidencia o confirmación que todos los operadores han sido entrenados en el tema. Asegúrese que la confirmación incluya el tema cubierto, el nombre de las personas que asistieron a la sesión y la fecha de la capacitación.</v>
      </c>
      <c r="J54" s="353" t="s">
        <v>2388</v>
      </c>
      <c r="K54" s="353" t="s">
        <v>2947</v>
      </c>
      <c r="L54" s="353" t="s">
        <v>2389</v>
      </c>
      <c r="M54" s="353" t="s">
        <v>2957</v>
      </c>
      <c r="N54" s="353" t="s">
        <v>2390</v>
      </c>
      <c r="O54" s="353" t="s">
        <v>2948</v>
      </c>
      <c r="P54" s="353" t="s">
        <v>2391</v>
      </c>
      <c r="Q54" s="353" t="s">
        <v>2215</v>
      </c>
      <c r="R54" s="353" t="s">
        <v>723</v>
      </c>
      <c r="S54" s="353"/>
      <c r="U54" t="str">
        <f>Master_Agent_HQsGlobal[[#This Row],[Question]]&amp;"."&amp;Master_Agent_HQsGlobal[[#This Row],[Action Type]]&amp;Master_Agent_HQsGlobal[[#This Row],[Country]]</f>
        <v>GS6.GQ2.Response_Required</v>
      </c>
      <c r="V54" t="str">
        <f ca="1">IFERROR(VLOOKUP(Master_Agent_HQsGlobal[[#This Row],[Question]],Master_Agent_HQs[#All],13,FALSE),VLOOKUP(Master_Agent_HQsGlobal[[#This Row],[Question]],INDIRECT("Master_Agent_HQs"&amp;'Gen Info'!$E$4&amp;"[#All]"),13,FALSE))</f>
        <v>Programa de Capacitación</v>
      </c>
      <c r="W54" t="e" cm="1">
        <f t="array" ref="W54">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#N/A</v>
      </c>
      <c r="X54" s="164" t="e" cm="1">
        <f t="array" ref="X54">_xlfn.IFS(INDEX(CallTb[#All],MATCH(Master_Agent_HQsGlobal[[#This Row],[Qnumber]],CallTb[[#All],[QNumber]],0),7)="No_AML/CFT","Agent training material does not include AML/CFT topics.",INDEX(CallTb[#All],MATCH(Master_Agent_HQsGlobal[[#This Row],[Qnumber]],CallTb[[#All],[QNumber]],0),7)="No_AntiFraud","Agent training material does not include guidance on detecting fraud and handling of fraud-induced money transfers.",INDEX(CallTb[#All],MATCH(Master_Agent_HQsGlobal[[#This Row],[Qnumber]],CallTb[[#All],[QNumber]],0),7)="No_AML/CFT/AntiFraud","Agent training material does not include AML/CFT topics and guidance on detecting fraud and handling of fraud-induced money transfers.")</f>
        <v>#N/A</v>
      </c>
      <c r="AA54" s="143"/>
      <c r="AB54" t="str" cm="1">
        <f t="array" ref="AB54">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No_AML/CFT: Brinde a Western Union material de entrenamiento de AML/CFT.
No_AntiFraud: Brinde a Western Union material de entrenamiento de Anti-Fraude que incluya guías para la detección de fraude y el manejo de transferencias fraudulentas.
No_AML/CFT/AntiFraud: Brinde a Western Union material de entrenamiento de AML/CFT y Anti-Fraude. El documento además debe incluir guías para la detección de fraude y el manejo de transferencias fraudulentas.</v>
      </c>
      <c r="AC54" t="s">
        <v>2958</v>
      </c>
      <c r="AD54" s="164" t="e" cm="1">
        <f t="array" ref="AD54">_xlfn.IFS(INDEX(CallTb[#All],MATCH(Master_Agent_HQsGlobal[[#This Row],[Qnumber]],CallTb[[#All],[QNumber]],0),7)="No_AML/CFT","El material de capacitación del agente no contiene los temas de AML/CFT.",INDEX(CallTb[#All],MATCH(Master_Agent_HQsGlobal[[#This Row],[Qnumber]],CallTb[[#All],[QNumber]],0),7)="No_AntiFraud","El material de capacitación del agente no incluye guías en cuanto en cuanto a la detección de fraude o transferencias fraudulentas.",INDEX(CallTb[#All],MATCH(Master_Agent_HQsGlobal[[#This Row],[Qnumber]],CallTb[[#All],[QNumber]],0),7)="No_AML/CFT/AntiFraud","El material de capacitación del agente no contiene los temas de AML/CFT ni incluye guías en cuanto a la detección de fraude o transferencias fraudulentas.")</f>
        <v>#N/A</v>
      </c>
      <c r="AE54" t="s">
        <v>2959</v>
      </c>
      <c r="AF54" s="164" t="e" cm="1">
        <f t="array" ref="AF54">_xlfn.IFS(INDEX(CallTb[#All],MATCH(Master_Agent_HQsGlobal[[#This Row],[Qnumber]],CallTb[[#All],[QNumber]],0),7)="No_AML/CFT","Le matériel de formation de l'Agent ne contient pas les sujets relatifs à la LAB/CFT.",INDEX(CallTb[#All],MATCH(Master_Agent_HQsGlobal[[#This Row],[Qnumber]],CallTb[[#All],[QNumber]],0),7)="No_AntiFraud","Le matériel de formation de l'Agent ne contient pas une guide pour la détection de la fraude et le traitement des transferts d'argent frauduleux.",INDEX(CallTb[#All],MATCH(Master_Agent_HQsGlobal[[#This Row],[Qnumber]],CallTb[[#All],[QNumber]],0),7)="No_AML/CFT/AntiFraud","Le matériel de formation de l'Agent ne contient pas les sujets relatifs à la LAB/CFT et une guide pour le traitement des transferts d'argent frauduleux.")</f>
        <v>#N/A</v>
      </c>
      <c r="AG54" t="s">
        <v>2960</v>
      </c>
      <c r="AH54" s="164" t="e" cm="1">
        <f t="array" ref="AH54">_xlfn.IFS(INDEX(CallTb[#All],MATCH(Master_Agent_HQsGlobal[[#This Row],[Qnumber]],CallTb[[#All],[QNumber]],0),7)="No_AML/CFT","O material de treinamento de agentes não inclui tópicos PLD (Prevenção à Lavagem de Dinheiro), CFT (Combate ao Financiamento do Terrorismo).",INDEX(CallTb[#All],MATCH(Master_Agent_HQsGlobal[[#This Row],[Qnumber]],CallTb[[#All],[QNumber]],0),7)="No_AntiFraud","O material de treinamento de agentes não inclui orientação sobre detecção de fraude e gestão de transferências de dinheiro induzidas por fraude.",INDEX(CallTb[#All],MATCH(Master_Agent_HQsGlobal[[#This Row],[Qnumber]],CallTb[[#All],[QNumber]],0),7)="No_AML/CFT/AntiFraud","O material de treinamento de agentes não inclui tópicos PLD (Prevenção à Lavagem de Dinheiro), CFT (Combate ao Financiamento do Terrorismo) e orientação sobre detecção de fraude e gestão de transferências de dinheiro induzidas por fraude.")</f>
        <v>#N/A</v>
      </c>
      <c r="AI54" t="s">
        <v>2961</v>
      </c>
      <c r="AJ54" t="s">
        <v>2215</v>
      </c>
      <c r="AK54" t="s">
        <v>893</v>
      </c>
      <c r="AO54" t="str">
        <f>IndependentGlobal[[#This Row],[Question]]&amp;"."&amp;IndependentGlobal[[#This Row],[Action Type]]&amp;IndependentGlobal[[#This Row],[Country]]</f>
        <v>GS14.RQ1.Resolved_OnsiteCanada</v>
      </c>
      <c r="AP54" t="e">
        <f ca="1">IFERROR(VLOOKUP(IndependentGlobal[[#This Row],[Question]],Independent[#All],13,FALSE),VLOOKUP(IndependentGlobal[[#This Row],[Question]],INDIRECT("Independent_"&amp;'Gen Info'!$E$4&amp;"[#All]"),13,FALSE))</f>
        <v>#REF!</v>
      </c>
      <c r="AQ54" t="str" cm="1">
        <f t="array" ref="AQ54">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está completando y conservando los registros de Money Order para identificar ventas de $3.000 o más.</v>
      </c>
      <c r="AR54" t="s">
        <v>2962</v>
      </c>
      <c r="AV54" t="str" cm="1">
        <f t="array" ref="AV54">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El agente ha sido debidamente entrenado en este tema durante la revisión.</v>
      </c>
      <c r="AW54" t="s">
        <v>2224</v>
      </c>
      <c r="AX54" t="s">
        <v>2963</v>
      </c>
      <c r="AY54" t="s">
        <v>2226</v>
      </c>
      <c r="AZ54" t="s">
        <v>2964</v>
      </c>
      <c r="BA54" t="s">
        <v>2749</v>
      </c>
      <c r="BB54" t="s">
        <v>2965</v>
      </c>
      <c r="BC54" t="s">
        <v>2230</v>
      </c>
      <c r="BD54" t="s">
        <v>2195</v>
      </c>
      <c r="BE54" t="s">
        <v>1191</v>
      </c>
      <c r="BF54" t="s">
        <v>2281</v>
      </c>
      <c r="BH54" t="str">
        <f>Independent_MO_OnlyGlobal[[#This Row],[Question]]&amp;"."&amp;Independent_MO_OnlyGlobal[[#This Row],[Action Type]]&amp;Independent_MO_OnlyGlobal[[#This Row],[Country]]</f>
        <v>GS6.GQ1.Resolved_Onsite</v>
      </c>
      <c r="BI54">
        <f ca="1">IFERROR(VLOOKUP(Independent_MO_OnlyGlobal[[#This Row],[Question]],Independent_MO_Only[#All],13,FALSE),VLOOKUP(Independent_MO_OnlyGlobal[[#This Row],[Question]],INDIRECT("Independent_MO_Only"&amp;'Gen Info'!$E$4&amp;"[#All]"),13,FALSE))</f>
        <v>0</v>
      </c>
      <c r="BJ54" cm="1">
        <f t="array" ref="BJ54">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54" t="s">
        <v>2499</v>
      </c>
      <c r="BO54" cm="1">
        <f t="array" ref="BO54">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54" t="s">
        <v>2570</v>
      </c>
      <c r="BW54" t="s">
        <v>2195</v>
      </c>
      <c r="BX54" t="s">
        <v>881</v>
      </c>
    </row>
    <row r="55" spans="2:76">
      <c r="B55" s="353" t="str">
        <f>Network_AgentGlobal[[#This Row],[Question]]&amp;"."&amp;Network_AgentGlobal[[#This Row],[Action Type]]&amp;Network_AgentGlobal[[#This Row],[Country]]</f>
        <v>GS4.GQ3.Response_RequiredIndia_FTF</v>
      </c>
      <c r="C55" s="353" t="str">
        <f ca="1">IFERROR(VLOOKUP(Network_AgentGlobal[[#This Row],[Question]],INDIRECT('Gen Info'!$D$4&amp;"[#All]"),13,FALSE),VLOOKUP(Network_AgentGlobal[[#This Row],[Question]],INDIRECT('Gen Info'!$D$4&amp;"_"&amp;'Gen Info'!$E$4&amp;"[#All]"),13,FALSE))</f>
        <v>Conocimiento de Operador - Actividad Sospechosa y Fraude</v>
      </c>
      <c r="D55" s="353" cm="1">
        <f t="array" aca="1" ref="D55"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55" s="353" t="s">
        <v>2966</v>
      </c>
      <c r="F55" s="353"/>
      <c r="G55" s="353"/>
      <c r="H55" s="353"/>
      <c r="I55" s="353" cm="1">
        <f t="array" ref="I55">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55" s="353" t="s">
        <v>2482</v>
      </c>
      <c r="K55" s="353"/>
      <c r="L55" s="353"/>
      <c r="M55" s="353"/>
      <c r="N55" s="353"/>
      <c r="O55" s="353"/>
      <c r="P55" s="353"/>
      <c r="Q55" s="353" t="s">
        <v>2215</v>
      </c>
      <c r="R55" s="353" t="s">
        <v>738</v>
      </c>
      <c r="S55" s="353" t="s">
        <v>2196</v>
      </c>
      <c r="U55" t="str">
        <f>Master_Agent_HQsGlobal[[#This Row],[Question]]&amp;"."&amp;Master_Agent_HQsGlobal[[#This Row],[Action Type]]&amp;Master_Agent_HQsGlobal[[#This Row],[Country]]</f>
        <v>GS6.GQ3.Response_Required</v>
      </c>
      <c r="V55" t="str">
        <f ca="1">IFERROR(VLOOKUP(Master_Agent_HQsGlobal[[#This Row],[Question]],Master_Agent_HQs[#All],13,FALSE),VLOOKUP(Master_Agent_HQsGlobal[[#This Row],[Question]],INDIRECT("Master_Agent_HQs"&amp;'Gen Info'!$E$4&amp;"[#All]"),13,FALSE))</f>
        <v>Programa de Capacitación</v>
      </c>
      <c r="W55" t="str" cm="1">
        <f t="array" ref="W55">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Oficial o Delegado de Cumplimiento no puede demostrar que se ha implementado un proceso funcional para garantizar que todos los agentes y operadores de subagentes reciban capacitación inicial y continua acerca de AML/CFT y concienciación sobre fraude.</v>
      </c>
      <c r="X55" t="s">
        <v>2541</v>
      </c>
      <c r="AA55" s="143"/>
      <c r="AB55" t="str" cm="1">
        <f t="array" ref="AB55">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Brinde a Western Union evidencia que demuestre que se ha implementado un proceso funcional para la capacitación inicial y continua de AML/CFT y Concientización sobre fraude para todos sus agentes y operadores de subagentes.</v>
      </c>
      <c r="AC55" t="s">
        <v>2967</v>
      </c>
      <c r="AD55" t="s">
        <v>2542</v>
      </c>
      <c r="AE55" t="s">
        <v>2968</v>
      </c>
      <c r="AF55" t="s">
        <v>2544</v>
      </c>
      <c r="AG55" t="s">
        <v>2969</v>
      </c>
      <c r="AH55" t="s">
        <v>2545</v>
      </c>
      <c r="AI55" t="s">
        <v>2970</v>
      </c>
      <c r="AJ55" t="s">
        <v>2215</v>
      </c>
      <c r="AK55" t="s">
        <v>1696</v>
      </c>
      <c r="AO55" t="str">
        <f>IndependentGlobal[[#This Row],[Question]]&amp;"."&amp;IndependentGlobal[[#This Row],[Action Type]]&amp;IndependentGlobal[[#This Row],[Country]]</f>
        <v>GS14.RQ2.Response_RequiredUnited_States</v>
      </c>
      <c r="AP55" t="e">
        <f ca="1">IFERROR(VLOOKUP(IndependentGlobal[[#This Row],[Question]],Independent[#All],13,FALSE),VLOOKUP(IndependentGlobal[[#This Row],[Question]],INDIRECT("Independent_"&amp;'Gen Info'!$E$4&amp;"[#All]"),13,FALSE))</f>
        <v>#REF!</v>
      </c>
      <c r="AQ55" t="str" cm="1">
        <f t="array" ref="AQ55">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está cumpliendo con los requerimientos de conservación/retención de OFAC.</v>
      </c>
      <c r="AR55" t="s">
        <v>2971</v>
      </c>
      <c r="AV55" t="str" cm="1">
        <f t="array" ref="AV55">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evidencia de capacitación y una descripción de las medidas tomadas para asegurar el cumplimiento de este tema. Ambas medidas pueden ser brindadas en una misma comunicación (carta o correo electrónico) o en documentos separados.</v>
      </c>
      <c r="AW55" t="s">
        <v>2972</v>
      </c>
      <c r="AX55" t="s">
        <v>2973</v>
      </c>
      <c r="AY55" t="s">
        <v>2974</v>
      </c>
      <c r="AZ55" t="s">
        <v>2975</v>
      </c>
      <c r="BA55" t="s">
        <v>2976</v>
      </c>
      <c r="BB55" t="s">
        <v>2977</v>
      </c>
      <c r="BC55" t="s">
        <v>2978</v>
      </c>
      <c r="BD55" t="s">
        <v>2215</v>
      </c>
      <c r="BE55" t="s">
        <v>1207</v>
      </c>
      <c r="BF55" t="s">
        <v>2581</v>
      </c>
      <c r="BH55" t="str">
        <f>Independent_MO_OnlyGlobal[[#This Row],[Question]]&amp;"."&amp;Independent_MO_OnlyGlobal[[#This Row],[Action Type]]&amp;Independent_MO_OnlyGlobal[[#This Row],[Country]]</f>
        <v>GS6.GQ2.Resolved_Onsite</v>
      </c>
      <c r="BI55">
        <f ca="1">IFERROR(VLOOKUP(Independent_MO_OnlyGlobal[[#This Row],[Question]],Independent_MO_Only[#All],13,FALSE),VLOOKUP(Independent_MO_OnlyGlobal[[#This Row],[Question]],INDIRECT("Independent_MO_Only"&amp;'Gen Info'!$E$4&amp;"[#All]"),13,FALSE))</f>
        <v>0</v>
      </c>
      <c r="BJ55" cm="1">
        <f t="array" ref="BJ55">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55" t="s">
        <v>2521</v>
      </c>
      <c r="BO55" cm="1">
        <f t="array" ref="BO55">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55" t="s">
        <v>2570</v>
      </c>
      <c r="BW55" t="s">
        <v>2195</v>
      </c>
      <c r="BX55" t="s">
        <v>893</v>
      </c>
    </row>
    <row r="56" spans="2:76">
      <c r="B56" s="353" t="str">
        <f>Network_AgentGlobal[[#This Row],[Question]]&amp;"."&amp;Network_AgentGlobal[[#This Row],[Action Type]]&amp;Network_AgentGlobal[[#This Row],[Country]]</f>
        <v>GS4.GQ3.Resolved_Onsite</v>
      </c>
      <c r="C56" s="353" t="str">
        <f ca="1">IFERROR(VLOOKUP(Network_AgentGlobal[[#This Row],[Question]],INDIRECT('Gen Info'!$D$4&amp;"[#All]"),13,FALSE),VLOOKUP(Network_AgentGlobal[[#This Row],[Question]],INDIRECT('Gen Info'!$D$4&amp;"_"&amp;'Gen Info'!$E$4&amp;"[#All]"),13,FALSE))</f>
        <v>Conocimiento de Operador - Actividad Sospechosa y Fraude</v>
      </c>
      <c r="D56" s="353" t="str" cm="1">
        <f t="array" aca="1" ref="D56"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Los operadores no saben qué acciones tomar (incluyendo la acción de reportar) ante una transferencia o actividad sospechosa.</v>
      </c>
      <c r="E56" s="353" t="s">
        <v>2979</v>
      </c>
      <c r="F56" s="353"/>
      <c r="G56" s="353"/>
      <c r="H56" s="353"/>
      <c r="I56" s="353" t="str" cm="1">
        <f t="array" ref="I56">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No se requiere acción. Se ha enviado al Agente material de capacitación específico sobre este tema. Todos los "FLAs" han recibido realimentación/capacitación sobre este tema en el transcurso de la revisión.</v>
      </c>
      <c r="J56" s="353" t="s">
        <v>2362</v>
      </c>
      <c r="K56" s="353" t="s">
        <v>2980</v>
      </c>
      <c r="L56" s="353" t="s">
        <v>2824</v>
      </c>
      <c r="M56" s="353" t="s">
        <v>2894</v>
      </c>
      <c r="N56" s="353" t="s">
        <v>2826</v>
      </c>
      <c r="O56" s="353" t="s">
        <v>2981</v>
      </c>
      <c r="P56" s="353" t="s">
        <v>2896</v>
      </c>
      <c r="Q56" s="353" t="s">
        <v>2195</v>
      </c>
      <c r="R56" s="353" t="s">
        <v>738</v>
      </c>
      <c r="S56" s="353"/>
      <c r="U56" t="str">
        <f>Master_Agent_HQsGlobal[[#This Row],[Question]]&amp;"."&amp;Master_Agent_HQsGlobal[[#This Row],[Action Type]]&amp;Master_Agent_HQsGlobal[[#This Row],[Country]]</f>
        <v>GS6.GQ4.Response_Required</v>
      </c>
      <c r="V56" t="str">
        <f ca="1">IFERROR(VLOOKUP(Master_Agent_HQsGlobal[[#This Row],[Question]],Master_Agent_HQs[#All],13,FALSE),VLOOKUP(Master_Agent_HQsGlobal[[#This Row],[Question]],INDIRECT("Master_Agent_HQs"&amp;'Gen Info'!$E$4&amp;"[#All]"),13,FALSE))</f>
        <v>Programa de Capacitación</v>
      </c>
      <c r="W56" t="str" cm="1">
        <f t="array" ref="W56">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mantiene una lista completa y actualizada con la información de capacitación de los operadores.</v>
      </c>
      <c r="X56" t="s">
        <v>2554</v>
      </c>
      <c r="AA56" s="143"/>
      <c r="AB56" t="str" cm="1">
        <f t="array" ref="AB56">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Brinde a Western Union evidencia de capacitación o un plan de acción para registrar/administrar adecuadamente los registros de capacitación de los operadores.</v>
      </c>
      <c r="AC56" t="s">
        <v>2982</v>
      </c>
      <c r="AD56" t="s">
        <v>2557</v>
      </c>
      <c r="AE56" t="s">
        <v>2983</v>
      </c>
      <c r="AF56" t="s">
        <v>2558</v>
      </c>
      <c r="AG56" t="s">
        <v>2984</v>
      </c>
      <c r="AH56" t="s">
        <v>2559</v>
      </c>
      <c r="AI56" t="s">
        <v>2985</v>
      </c>
      <c r="AJ56" t="s">
        <v>2215</v>
      </c>
      <c r="AK56" t="s">
        <v>1702</v>
      </c>
      <c r="AO56" t="str">
        <f>IndependentGlobal[[#This Row],[Question]]&amp;"."&amp;IndependentGlobal[[#This Row],[Action Type]]&amp;IndependentGlobal[[#This Row],[Country]]</f>
        <v>GS14.RQ3.Resolved_OnsiteUnited_States</v>
      </c>
      <c r="AP56" t="e">
        <f ca="1">IFERROR(VLOOKUP(IndependentGlobal[[#This Row],[Question]],Independent[#All],13,FALSE),VLOOKUP(IndependentGlobal[[#This Row],[Question]],INDIRECT("Independent_"&amp;'Gen Info'!$E$4&amp;"[#All]"),13,FALSE))</f>
        <v>#REF!</v>
      </c>
      <c r="AQ56" t="str" cm="1">
        <f t="array" ref="AQ56">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sabe a quien contactar en caso de pérdida o robo de documentación, accesos no autorizados o en caso de alguna violación al sistema.</v>
      </c>
      <c r="AR56" t="s">
        <v>2820</v>
      </c>
      <c r="AV56" t="str" cm="1">
        <f t="array" ref="AV56">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El agente ha sido debidamente entrenado en este tema durante la revisión.</v>
      </c>
      <c r="AW56" t="s">
        <v>2224</v>
      </c>
      <c r="AX56" t="s">
        <v>2986</v>
      </c>
      <c r="AY56" t="s">
        <v>2226</v>
      </c>
      <c r="AZ56" t="s">
        <v>2987</v>
      </c>
      <c r="BA56" t="s">
        <v>2749</v>
      </c>
      <c r="BB56" t="s">
        <v>2988</v>
      </c>
      <c r="BC56" t="s">
        <v>2230</v>
      </c>
      <c r="BD56" t="s">
        <v>2195</v>
      </c>
      <c r="BE56" t="s">
        <v>1087</v>
      </c>
      <c r="BF56" t="s">
        <v>2581</v>
      </c>
      <c r="BH56" t="str">
        <f>Independent_MO_OnlyGlobal[[#This Row],[Question]]&amp;"."&amp;Independent_MO_OnlyGlobal[[#This Row],[Action Type]]&amp;Independent_MO_OnlyGlobal[[#This Row],[Country]]</f>
        <v>GS6.GQ3.Resolved_Onsite</v>
      </c>
      <c r="BI56">
        <f ca="1">IFERROR(VLOOKUP(Independent_MO_OnlyGlobal[[#This Row],[Question]],Independent_MO_Only[#All],13,FALSE),VLOOKUP(Independent_MO_OnlyGlobal[[#This Row],[Question]],INDIRECT("Independent_MO_Only"&amp;'Gen Info'!$E$4&amp;"[#All]"),13,FALSE))</f>
        <v>0</v>
      </c>
      <c r="BJ56" cm="1">
        <f t="array" ref="BJ56">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56" t="s">
        <v>2535</v>
      </c>
      <c r="BO56" cm="1">
        <f t="array" ref="BO56">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56" t="s">
        <v>2570</v>
      </c>
      <c r="BW56" t="s">
        <v>2195</v>
      </c>
      <c r="BX56" t="s">
        <v>1696</v>
      </c>
    </row>
    <row r="57" spans="2:76">
      <c r="B57" s="353" t="str">
        <f>Network_AgentGlobal[[#This Row],[Question]]&amp;"."&amp;Network_AgentGlobal[[#This Row],[Action Type]]&amp;Network_AgentGlobal[[#This Row],[Country]]</f>
        <v>GS4.GQ3.Response_Required</v>
      </c>
      <c r="C57" s="353" t="str">
        <f ca="1">IFERROR(VLOOKUP(Network_AgentGlobal[[#This Row],[Question]],INDIRECT('Gen Info'!$D$4&amp;"[#All]"),13,FALSE),VLOOKUP(Network_AgentGlobal[[#This Row],[Question]],INDIRECT('Gen Info'!$D$4&amp;"_"&amp;'Gen Info'!$E$4&amp;"[#All]"),13,FALSE))</f>
        <v>Conocimiento de Operador - Actividad Sospechosa y Fraude</v>
      </c>
      <c r="D57" s="353" t="str" cm="1">
        <f t="array" aca="1" ref="D57"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Los operadores no saben qué acciones tomar (incluyendo la acción de reportar) ante una transferencia o actividad sospechosa.</v>
      </c>
      <c r="E57" s="353" t="s">
        <v>2979</v>
      </c>
      <c r="F57" s="353"/>
      <c r="G57" s="353"/>
      <c r="H57" s="353"/>
      <c r="I57" s="353" t="str" cm="1">
        <f t="array" ref="I57">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Brinde a Western Union evidencia o confirmación que todos los operadores han sido entrenados en el tema. Asegúrese que la confirmación incluya el tema cubierto, el nombre de las personas que asistieron a la sesión y la fecha de la capacitación.</v>
      </c>
      <c r="J57" s="353" t="s">
        <v>2388</v>
      </c>
      <c r="K57" s="353" t="s">
        <v>2980</v>
      </c>
      <c r="L57" s="353" t="s">
        <v>2389</v>
      </c>
      <c r="M57" s="353" t="s">
        <v>2989</v>
      </c>
      <c r="N57" s="353" t="s">
        <v>2390</v>
      </c>
      <c r="O57" s="353" t="s">
        <v>2981</v>
      </c>
      <c r="P57" s="353" t="s">
        <v>2391</v>
      </c>
      <c r="Q57" s="353" t="s">
        <v>2215</v>
      </c>
      <c r="R57" s="353" t="s">
        <v>738</v>
      </c>
      <c r="S57" s="353"/>
      <c r="U57" t="str">
        <f>Master_Agent_HQsGlobal[[#This Row],[Question]]&amp;"."&amp;Master_Agent_HQsGlobal[[#This Row],[Action Type]]&amp;Master_Agent_HQsGlobal[[#This Row],[Country]]</f>
        <v>GS6.GQ5.Response_Required</v>
      </c>
      <c r="V57" t="str">
        <f ca="1">IFERROR(VLOOKUP(Master_Agent_HQsGlobal[[#This Row],[Question]],Master_Agent_HQs[#All],13,FALSE),VLOOKUP(Master_Agent_HQsGlobal[[#This Row],[Question]],INDIRECT("Master_Agent_HQs"&amp;'Gen Info'!$E$4&amp;"[#All]"),13,FALSE))</f>
        <v>Programa de Capacitación</v>
      </c>
      <c r="W57" t="str" cm="1">
        <f t="array" ref="W57">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ha impartido entrenamiento inicial de AML/CFT y Anti-Fraude a los empleados previo a permitirles interactuar con el sistema de transferencias.</v>
      </c>
      <c r="X57" t="s">
        <v>2582</v>
      </c>
      <c r="AA57" s="143"/>
      <c r="AB57" t="str" cm="1">
        <f t="array" ref="AB57">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Brinde a Western Union evidencia donde se indique que todos los empleados han recibido la capacitación adecuada de AML/CFT y Anti-Fraude. Asegúrese que la confirmación contenga el tema impartido, el nombre de las personas entrenadas y la fecha correspondiente.</v>
      </c>
      <c r="AC57" t="s">
        <v>2990</v>
      </c>
      <c r="AD57" t="s">
        <v>2584</v>
      </c>
      <c r="AE57" t="s">
        <v>2991</v>
      </c>
      <c r="AF57" t="s">
        <v>2586</v>
      </c>
      <c r="AG57" t="s">
        <v>2992</v>
      </c>
      <c r="AH57" t="s">
        <v>2588</v>
      </c>
      <c r="AI57" t="s">
        <v>2993</v>
      </c>
      <c r="AJ57" t="s">
        <v>2215</v>
      </c>
      <c r="AK57" t="s">
        <v>1709</v>
      </c>
      <c r="AO57" t="str">
        <f>IndependentGlobal[[#This Row],[Question]]&amp;"."&amp;IndependentGlobal[[#This Row],[Action Type]]&amp;IndependentGlobal[[#This Row],[Country]]</f>
        <v>GS14.RQ4.Resolved_OnsiteUnited_States</v>
      </c>
      <c r="AP57" t="e">
        <f ca="1">IFERROR(VLOOKUP(IndependentGlobal[[#This Row],[Question]],Independent[#All],13,FALSE),VLOOKUP(IndependentGlobal[[#This Row],[Question]],INDIRECT("Independent_"&amp;'Gen Info'!$E$4&amp;"[#All]"),13,FALSE))</f>
        <v>#REF!</v>
      </c>
      <c r="AQ57" t="str" cm="1">
        <f t="array" ref="AQ57">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sabe dónde dirigir a un cliente que tenga preguntas relacionadas a las Políticas de Privacidad de Western Union.</v>
      </c>
      <c r="AR57" t="s">
        <v>2832</v>
      </c>
      <c r="AV57" t="str" cm="1">
        <f t="array" ref="AV57">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El agente ha sido debidamente entrenado en este tema durante la revisión.</v>
      </c>
      <c r="AW57" t="s">
        <v>2224</v>
      </c>
      <c r="AX57" t="s">
        <v>2994</v>
      </c>
      <c r="AY57" t="s">
        <v>2226</v>
      </c>
      <c r="AZ57" t="s">
        <v>2995</v>
      </c>
      <c r="BA57" t="s">
        <v>2749</v>
      </c>
      <c r="BB57" t="s">
        <v>2996</v>
      </c>
      <c r="BC57" t="s">
        <v>2230</v>
      </c>
      <c r="BD57" t="s">
        <v>2195</v>
      </c>
      <c r="BE57" t="s">
        <v>1101</v>
      </c>
      <c r="BF57" t="s">
        <v>2581</v>
      </c>
      <c r="BH57" t="str">
        <f>Independent_MO_OnlyGlobal[[#This Row],[Question]]&amp;"."&amp;Independent_MO_OnlyGlobal[[#This Row],[Action Type]]&amp;Independent_MO_OnlyGlobal[[#This Row],[Country]]</f>
        <v>GS6.GQ4.Resolved_Onsite</v>
      </c>
      <c r="BI57">
        <f ca="1">IFERROR(VLOOKUP(Independent_MO_OnlyGlobal[[#This Row],[Question]],Independent_MO_Only[#All],13,FALSE),VLOOKUP(Independent_MO_OnlyGlobal[[#This Row],[Question]],INDIRECT("Independent_MO_Only"&amp;'Gen Info'!$E$4&amp;"[#All]"),13,FALSE))</f>
        <v>0</v>
      </c>
      <c r="BJ57" cm="1">
        <f t="array" ref="BJ57">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57" t="s">
        <v>2552</v>
      </c>
      <c r="BO57" cm="1">
        <f t="array" ref="BO57">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57" t="s">
        <v>2570</v>
      </c>
      <c r="BW57" t="s">
        <v>2195</v>
      </c>
      <c r="BX57" t="s">
        <v>1702</v>
      </c>
    </row>
    <row r="58" spans="2:76">
      <c r="B58" s="353" t="str">
        <f>Network_AgentGlobal[[#This Row],[Question]]&amp;"."&amp;Network_AgentGlobal[[#This Row],[Action Type]]&amp;Network_AgentGlobal[[#This Row],[Country]]</f>
        <v>GS4.GQ4.Response_RequiredIndia_FTF</v>
      </c>
      <c r="C58" s="353" t="str">
        <f ca="1">IFERROR(VLOOKUP(Network_AgentGlobal[[#This Row],[Question]],INDIRECT('Gen Info'!$D$4&amp;"[#All]"),13,FALSE),VLOOKUP(Network_AgentGlobal[[#This Row],[Question]],INDIRECT('Gen Info'!$D$4&amp;"_"&amp;'Gen Info'!$E$4&amp;"[#All]"),13,FALSE))</f>
        <v>Conocimiento de Operador - Actividad Sospechosa y Fraude</v>
      </c>
      <c r="D58" s="353" cm="1">
        <f t="array" aca="1" ref="D58"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58" s="353" t="s">
        <v>2997</v>
      </c>
      <c r="F58" s="353"/>
      <c r="G58" s="353"/>
      <c r="H58" s="353"/>
      <c r="I58" s="353" cm="1">
        <f t="array" ref="I58">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58" s="353" t="s">
        <v>2482</v>
      </c>
      <c r="K58" s="353"/>
      <c r="L58" s="353"/>
      <c r="M58" s="353"/>
      <c r="N58" s="353"/>
      <c r="O58" s="353"/>
      <c r="P58" s="353"/>
      <c r="Q58" s="353" t="s">
        <v>2215</v>
      </c>
      <c r="R58" s="353" t="s">
        <v>753</v>
      </c>
      <c r="S58" s="353" t="s">
        <v>2196</v>
      </c>
      <c r="U58" t="str">
        <f>Master_Agent_HQsGlobal[[#This Row],[Question]]&amp;"."&amp;Master_Agent_HQsGlobal[[#This Row],[Action Type]]&amp;Master_Agent_HQsGlobal[[#This Row],[Country]]</f>
        <v>GS6.GQ6.Response_Required</v>
      </c>
      <c r="V58" t="str">
        <f ca="1">IFERROR(VLOOKUP(Master_Agent_HQsGlobal[[#This Row],[Question]],Master_Agent_HQs[#All],13,FALSE),VLOOKUP(Master_Agent_HQsGlobal[[#This Row],[Question]],INDIRECT("Master_Agent_HQs"&amp;'Gen Info'!$E$4&amp;"[#All]"),13,FALSE))</f>
        <v>Programa de Capacitación</v>
      </c>
      <c r="W58" t="str" cm="1">
        <f t="array" ref="W58">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ha impartido entrenamiento anual de AML/CFT y Anti-Fraude a los empleados.</v>
      </c>
      <c r="X58" t="s">
        <v>2599</v>
      </c>
      <c r="AA58" s="143"/>
      <c r="AB58" t="str" cm="1">
        <f t="array" ref="AB58">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Brinde a Western Union evidencia donde se indique que todos los empleados han recibido la capacitación adecuada de AML/CFT y Anti-Fraude. Asegúrese que la confirmación contenga el tema impartido, el nombre de las personas entrenadas y la fecha correspondiente.</v>
      </c>
      <c r="AC58" t="s">
        <v>2990</v>
      </c>
      <c r="AD58" t="s">
        <v>2600</v>
      </c>
      <c r="AE58" t="s">
        <v>2991</v>
      </c>
      <c r="AF58" t="s">
        <v>2601</v>
      </c>
      <c r="AG58" t="s">
        <v>2992</v>
      </c>
      <c r="AH58" t="s">
        <v>2602</v>
      </c>
      <c r="AI58" t="s">
        <v>2993</v>
      </c>
      <c r="AJ58" t="s">
        <v>2215</v>
      </c>
      <c r="AK58" t="s">
        <v>1712</v>
      </c>
      <c r="AO58" t="str">
        <f>IndependentGlobal[[#This Row],[Question]]&amp;"."&amp;IndependentGlobal[[#This Row],[Action Type]]&amp;IndependentGlobal[[#This Row],[Country]]</f>
        <v>GS14.RQ6.Resolved_OnsiteUnited_States</v>
      </c>
      <c r="AP58" t="e">
        <f ca="1">IFERROR(VLOOKUP(IndependentGlobal[[#This Row],[Question]],Independent[#All],13,FALSE),VLOOKUP(IndependentGlobal[[#This Row],[Question]],INDIRECT("Independent_"&amp;'Gen Info'!$E$4&amp;"[#All]"),13,FALSE))</f>
        <v>#REF!</v>
      </c>
      <c r="AQ58" t="str" cm="1">
        <f t="array" ref="AQ58">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puede confirmar que las verificaciones de listado de la OFAC y la recopilación y revisión de Certificados de antecedentes penales se realicen en el momento de la contratación y cada 3 años a partir de entonces.</v>
      </c>
      <c r="AR58" t="s">
        <v>2998</v>
      </c>
      <c r="AV58" t="str" cm="1">
        <f t="array" ref="AV58">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El agente ha sido debidamente entrenado en este tema durante la revisión.</v>
      </c>
      <c r="AW58" t="s">
        <v>2224</v>
      </c>
      <c r="AX58" t="s">
        <v>2999</v>
      </c>
      <c r="AY58" t="s">
        <v>2226</v>
      </c>
      <c r="AZ58" t="s">
        <v>3000</v>
      </c>
      <c r="BA58" t="s">
        <v>2749</v>
      </c>
      <c r="BB58" t="s">
        <v>3001</v>
      </c>
      <c r="BC58" t="s">
        <v>2230</v>
      </c>
      <c r="BD58" t="s">
        <v>2195</v>
      </c>
      <c r="BE58" t="s">
        <v>1233</v>
      </c>
      <c r="BF58" t="s">
        <v>2581</v>
      </c>
      <c r="BH58" t="str">
        <f>Independent_MO_OnlyGlobal[[#This Row],[Question]]&amp;"."&amp;Independent_MO_OnlyGlobal[[#This Row],[Action Type]]&amp;Independent_MO_OnlyGlobal[[#This Row],[Country]]</f>
        <v>GS6.GQ6.Resolved_Onsite</v>
      </c>
      <c r="BI58">
        <f ca="1">IFERROR(VLOOKUP(Independent_MO_OnlyGlobal[[#This Row],[Question]],Independent_MO_Only[#All],13,FALSE),VLOOKUP(Independent_MO_OnlyGlobal[[#This Row],[Question]],INDIRECT("Independent_MO_Only"&amp;'Gen Info'!$E$4&amp;"[#All]"),13,FALSE))</f>
        <v>0</v>
      </c>
      <c r="BJ58" cm="1">
        <f t="array" ref="BJ58">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58" t="s">
        <v>2568</v>
      </c>
      <c r="BO58" cm="1">
        <f t="array" ref="BO58">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58" t="s">
        <v>2570</v>
      </c>
      <c r="BW58" t="s">
        <v>2195</v>
      </c>
      <c r="BX58" t="s">
        <v>1712</v>
      </c>
    </row>
    <row r="59" spans="2:76">
      <c r="B59" s="353" t="str">
        <f>Network_AgentGlobal[[#This Row],[Question]]&amp;"."&amp;Network_AgentGlobal[[#This Row],[Action Type]]&amp;Network_AgentGlobal[[#This Row],[Country]]</f>
        <v>GS4.GQ5.Resolved_OnsiteIndia_FTF</v>
      </c>
      <c r="C59" s="353" t="str">
        <f ca="1">IFERROR(VLOOKUP(Network_AgentGlobal[[#This Row],[Question]],INDIRECT('Gen Info'!$D$4&amp;"[#All]"),13,FALSE),VLOOKUP(Network_AgentGlobal[[#This Row],[Question]],INDIRECT('Gen Info'!$D$4&amp;"_"&amp;'Gen Info'!$E$4&amp;"[#All]"),13,FALSE))</f>
        <v>Conocimiento de Operador - Actividad Sospechosa y Fraude</v>
      </c>
      <c r="D59" s="353" cm="1">
        <f t="array" aca="1" ref="D59"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59" s="353" t="s">
        <v>3002</v>
      </c>
      <c r="F59" s="353"/>
      <c r="G59" s="353"/>
      <c r="H59" s="353"/>
      <c r="I59" s="353" cm="1">
        <f t="array" ref="I59">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59" s="353" t="s">
        <v>3003</v>
      </c>
      <c r="K59" s="353"/>
      <c r="L59" s="353"/>
      <c r="M59" s="353"/>
      <c r="N59" s="353"/>
      <c r="O59" s="353"/>
      <c r="P59" s="353"/>
      <c r="Q59" s="353" t="s">
        <v>2195</v>
      </c>
      <c r="R59" s="353" t="s">
        <v>761</v>
      </c>
      <c r="S59" s="353" t="s">
        <v>2196</v>
      </c>
      <c r="U59" t="str">
        <f>Master_Agent_HQsGlobal[[#This Row],[Question]]&amp;"."&amp;Master_Agent_HQsGlobal[[#This Row],[Action Type]]&amp;Master_Agent_HQsGlobal[[#This Row],[Country]]</f>
        <v>GS7.GQ4.Response_Required</v>
      </c>
      <c r="V59" t="str">
        <f ca="1">IFERROR(VLOOKUP(Master_Agent_HQsGlobal[[#This Row],[Question]],Master_Agent_HQs[#All],13,FALSE),VLOOKUP(Master_Agent_HQsGlobal[[#This Row],[Question]],INDIRECT("Master_Agent_HQs"&amp;'Gen Info'!$E$4&amp;"[#All]"),13,FALSE))</f>
        <v>Supervisión</v>
      </c>
      <c r="W59" t="str" cm="1">
        <f t="array" ref="W59">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está monitoreando las transacciones para todos los productos de Western Union de manera regular.</v>
      </c>
      <c r="X59" t="s">
        <v>2609</v>
      </c>
      <c r="AA59" s="143"/>
      <c r="AB59" t="str" cm="1">
        <f t="array" ref="AB59">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Brinde a Western Union evidencia de monitoreo y la  comunicación de sus resultados al Oficial de Cumplimiento para su revisión.</v>
      </c>
      <c r="AC59" t="s">
        <v>3004</v>
      </c>
      <c r="AD59" t="s">
        <v>2610</v>
      </c>
      <c r="AE59" t="s">
        <v>3005</v>
      </c>
      <c r="AF59" t="s">
        <v>2611</v>
      </c>
      <c r="AG59" t="s">
        <v>3006</v>
      </c>
      <c r="AH59" t="s">
        <v>2612</v>
      </c>
      <c r="AI59" t="s">
        <v>3007</v>
      </c>
      <c r="AJ59" t="s">
        <v>2215</v>
      </c>
      <c r="AK59" t="s">
        <v>920</v>
      </c>
      <c r="AO59" t="str">
        <f>IndependentGlobal[[#This Row],[Question]]&amp;"."&amp;IndependentGlobal[[#This Row],[Action Type]]&amp;IndependentGlobal[[#This Row],[Country]]</f>
        <v>GS14.RQ6.Response_RequiredUnited_States</v>
      </c>
      <c r="AP59" t="e">
        <f ca="1">IFERROR(VLOOKUP(IndependentGlobal[[#This Row],[Question]],Independent[#All],13,FALSE),VLOOKUP(IndependentGlobal[[#This Row],[Question]],INDIRECT("Independent_"&amp;'Gen Info'!$E$4&amp;"[#All]"),13,FALSE))</f>
        <v>#REF!</v>
      </c>
      <c r="AQ59" t="str" cm="1">
        <f t="array" ref="AQ59">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puede confirmar que las verificaciones de listado de la OFAC y la recopilación y revisión de Certificados de antecedentes penales se realicen en el momento de la contratación y cada 3 años a partir de entonces.</v>
      </c>
      <c r="AR59" t="s">
        <v>2998</v>
      </c>
      <c r="AV59" t="str" cm="1">
        <f t="array" ref="AV59">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Proporcionar a Western Union documentación que demuestre que se han realizado verificaciones de listado de la OFAC y la recopilación y revisión de certificados de antecedentes penales para todos los empleados y que están documentados en los respectivos Registros de Empleados.</v>
      </c>
      <c r="AW59" t="s">
        <v>3008</v>
      </c>
      <c r="AX59" t="s">
        <v>2999</v>
      </c>
      <c r="AY59" t="s">
        <v>3009</v>
      </c>
      <c r="AZ59" t="s">
        <v>3000</v>
      </c>
      <c r="BA59" t="s">
        <v>3010</v>
      </c>
      <c r="BB59" t="s">
        <v>3001</v>
      </c>
      <c r="BC59" t="s">
        <v>3011</v>
      </c>
      <c r="BD59" t="s">
        <v>2215</v>
      </c>
      <c r="BE59" t="s">
        <v>1233</v>
      </c>
      <c r="BF59" t="s">
        <v>2581</v>
      </c>
      <c r="BH59" t="str">
        <f>Independent_MO_OnlyGlobal[[#This Row],[Question]]&amp;"."&amp;Independent_MO_OnlyGlobal[[#This Row],[Action Type]]&amp;Independent_MO_OnlyGlobal[[#This Row],[Country]]</f>
        <v>GS8.RQ1.Resolved_Onsite</v>
      </c>
      <c r="BI59" t="e">
        <f ca="1">IFERROR(VLOOKUP(Independent_MO_OnlyGlobal[[#This Row],[Question]],Independent_MO_Only[#All],13,FALSE),VLOOKUP(Independent_MO_OnlyGlobal[[#This Row],[Question]],INDIRECT("Independent_MO_Only"&amp;'Gen Info'!$E$4&amp;"[#All]"),13,FALSE))</f>
        <v>#REF!</v>
      </c>
      <c r="BJ59" cm="1">
        <f t="array" ref="BJ59">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59" t="s">
        <v>2603</v>
      </c>
      <c r="BO59" cm="1">
        <f t="array" ref="BO59">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59" t="s">
        <v>3012</v>
      </c>
      <c r="BW59" t="s">
        <v>2195</v>
      </c>
      <c r="BX59" t="s">
        <v>731</v>
      </c>
    </row>
    <row r="60" spans="2:76">
      <c r="B60" s="353" t="str">
        <f>Network_AgentGlobal[[#This Row],[Question]]&amp;"."&amp;Network_AgentGlobal[[#This Row],[Action Type]]&amp;Network_AgentGlobal[[#This Row],[Country]]</f>
        <v>GS4.GQ5.Response_RequiredIndia_FTF</v>
      </c>
      <c r="C60" s="353" t="str">
        <f ca="1">IFERROR(VLOOKUP(Network_AgentGlobal[[#This Row],[Question]],INDIRECT('Gen Info'!$D$4&amp;"[#All]"),13,FALSE),VLOOKUP(Network_AgentGlobal[[#This Row],[Question]],INDIRECT('Gen Info'!$D$4&amp;"_"&amp;'Gen Info'!$E$4&amp;"[#All]"),13,FALSE))</f>
        <v>Conocimiento de Operador - Actividad Sospechosa y Fraude</v>
      </c>
      <c r="D60" s="353" cm="1">
        <f t="array" aca="1" ref="D60"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60" s="353" t="s">
        <v>3002</v>
      </c>
      <c r="F60" s="353"/>
      <c r="G60" s="353"/>
      <c r="H60" s="353"/>
      <c r="I60" s="353" cm="1">
        <f t="array" ref="I60">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60" s="353" t="s">
        <v>2482</v>
      </c>
      <c r="K60" s="353"/>
      <c r="L60" s="353"/>
      <c r="M60" s="353"/>
      <c r="N60" s="353"/>
      <c r="O60" s="353"/>
      <c r="P60" s="353"/>
      <c r="Q60" s="353" t="s">
        <v>2215</v>
      </c>
      <c r="R60" s="353" t="s">
        <v>761</v>
      </c>
      <c r="S60" s="353" t="s">
        <v>2196</v>
      </c>
      <c r="U60" t="str">
        <f>Master_Agent_HQsGlobal[[#This Row],[Question]]&amp;"."&amp;Master_Agent_HQsGlobal[[#This Row],[Action Type]]&amp;Master_Agent_HQsGlobal[[#This Row],[Country]]</f>
        <v>GS7.GQ5.Response_Required</v>
      </c>
      <c r="V60" t="str">
        <f ca="1">IFERROR(VLOOKUP(Master_Agent_HQsGlobal[[#This Row],[Question]],Master_Agent_HQs[#All],13,FALSE),VLOOKUP(Master_Agent_HQsGlobal[[#This Row],[Question]],INDIRECT("Master_Agent_HQs"&amp;'Gen Info'!$E$4&amp;"[#All]"),13,FALSE))</f>
        <v>Supervisión</v>
      </c>
      <c r="W60" t="str" cm="1">
        <f t="array" ref="W60">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No se están monitoreando las transferencias de forma efectiva.</v>
      </c>
      <c r="X60" t="s">
        <v>2625</v>
      </c>
      <c r="AA60" s="143"/>
      <c r="AB60" t="str" cm="1">
        <f t="array" ref="AB60">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Brinde a Western Union evidencia que indique que las pautas de monitoreo de transacciones (incluída una lista de criterios/alertas para el proceso de monitoreo) están incluidas en su programa AML/CFT (P&amp;Ps). Si ya nos ha proporcionado evidencia de P&amp;Ps completos, brinde pruebas de monitoreo.</v>
      </c>
      <c r="AC60" t="s">
        <v>3013</v>
      </c>
      <c r="AD60" t="s">
        <v>2626</v>
      </c>
      <c r="AE60" t="s">
        <v>3014</v>
      </c>
      <c r="AF60" t="s">
        <v>2627</v>
      </c>
      <c r="AG60" t="s">
        <v>3015</v>
      </c>
      <c r="AH60" t="s">
        <v>2628</v>
      </c>
      <c r="AI60" t="s">
        <v>3016</v>
      </c>
      <c r="AJ60" t="s">
        <v>2215</v>
      </c>
      <c r="AK60" t="s">
        <v>924</v>
      </c>
      <c r="AO60" t="str">
        <f>IndependentGlobal[[#This Row],[Question]]&amp;"."&amp;IndependentGlobal[[#This Row],[Action Type]]&amp;IndependentGlobal[[#This Row],[Country]]</f>
        <v>GS14.RQ8.Resolved_OnsiteUnited_States</v>
      </c>
      <c r="AP60" t="e">
        <f ca="1">IFERROR(VLOOKUP(IndependentGlobal[[#This Row],[Question]],Independent[#All],13,FALSE),VLOOKUP(IndependentGlobal[[#This Row],[Question]],INDIRECT("Independent_"&amp;'Gen Info'!$E$4&amp;"[#All]"),13,FALSE))</f>
        <v>#REF!</v>
      </c>
      <c r="AQ60" t="str" cm="1">
        <f t="array" ref="AQ60">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 no pudo confirmar que la camara y/o el sistema de alarma se verifiquen cada 48 horas.</v>
      </c>
      <c r="AR60" t="s">
        <v>3017</v>
      </c>
      <c r="AV60" t="str" cm="1">
        <f t="array" ref="AV60">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El agente ha sido debidamente entrenado en este tema durante la revisión.</v>
      </c>
      <c r="AW60" t="s">
        <v>2224</v>
      </c>
      <c r="AX60" t="s">
        <v>3018</v>
      </c>
      <c r="AY60" t="s">
        <v>2226</v>
      </c>
      <c r="AZ60" t="s">
        <v>3019</v>
      </c>
      <c r="BA60" t="s">
        <v>2749</v>
      </c>
      <c r="BB60" t="s">
        <v>3020</v>
      </c>
      <c r="BC60" t="s">
        <v>2230</v>
      </c>
      <c r="BD60" t="s">
        <v>2195</v>
      </c>
      <c r="BE60" t="s">
        <v>1253</v>
      </c>
      <c r="BF60" t="s">
        <v>2581</v>
      </c>
      <c r="BH60" t="str">
        <f>Independent_MO_OnlyGlobal[[#This Row],[Question]]&amp;"."&amp;Independent_MO_OnlyGlobal[[#This Row],[Action Type]]&amp;Independent_MO_OnlyGlobal[[#This Row],[Country]]</f>
        <v>GS9.GQ2.Resolved_Onsite</v>
      </c>
      <c r="BI60">
        <f ca="1">IFERROR(VLOOKUP(Independent_MO_OnlyGlobal[[#This Row],[Question]],Independent_MO_Only[#All],13,FALSE),VLOOKUP(Independent_MO_OnlyGlobal[[#This Row],[Question]],INDIRECT("Independent_MO_Only"&amp;'Gen Info'!$E$4&amp;"[#All]"),13,FALSE))</f>
        <v>0</v>
      </c>
      <c r="BJ60" cm="1">
        <f t="array" ref="BJ60">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60" t="s">
        <v>3021</v>
      </c>
      <c r="BO60" cm="1">
        <f t="array" ref="BO60">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60" t="s">
        <v>2570</v>
      </c>
      <c r="BW60" t="s">
        <v>2195</v>
      </c>
      <c r="BX60" t="s">
        <v>1576</v>
      </c>
    </row>
    <row r="61" spans="2:76">
      <c r="B61" s="353" t="str">
        <f>Network_AgentGlobal[[#This Row],[Question]]&amp;"."&amp;Network_AgentGlobal[[#This Row],[Action Type]]&amp;Network_AgentGlobal[[#This Row],[Country]]</f>
        <v>GS4.GQ4.Resolved_Onsite</v>
      </c>
      <c r="C61" s="353" t="str">
        <f ca="1">IFERROR(VLOOKUP(Network_AgentGlobal[[#This Row],[Question]],INDIRECT('Gen Info'!$D$4&amp;"[#All]"),13,FALSE),VLOOKUP(Network_AgentGlobal[[#This Row],[Question]],INDIRECT('Gen Info'!$D$4&amp;"_"&amp;'Gen Info'!$E$4&amp;"[#All]"),13,FALSE))</f>
        <v>Conocimiento de Operador - Actividad Sospechosa y Fraude</v>
      </c>
      <c r="D61" s="353" t="str" cm="1">
        <f t="array" aca="1" ref="D61"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Los operadores no saben identificar actividad relacionada a fraude al agente.</v>
      </c>
      <c r="E61" s="353" t="s">
        <v>3022</v>
      </c>
      <c r="F61" s="353"/>
      <c r="G61" s="353"/>
      <c r="H61" s="353"/>
      <c r="I61" s="353" t="str" cm="1">
        <f t="array" ref="I61">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No se requiere acción. Se ha enviado al Agente material de capacitación específico sobre este tema. Todos los "FLAs" han recibido realimentación/capacitación sobre este tema en el transcurso de la revisión.</v>
      </c>
      <c r="J61" s="353" t="s">
        <v>2362</v>
      </c>
      <c r="K61" s="353" t="s">
        <v>3023</v>
      </c>
      <c r="L61" s="353" t="s">
        <v>2824</v>
      </c>
      <c r="M61" s="353" t="s">
        <v>3024</v>
      </c>
      <c r="N61" s="353" t="s">
        <v>2826</v>
      </c>
      <c r="O61" s="353" t="s">
        <v>3025</v>
      </c>
      <c r="P61" s="353" t="s">
        <v>2896</v>
      </c>
      <c r="Q61" s="353" t="s">
        <v>2195</v>
      </c>
      <c r="R61" s="353" t="s">
        <v>753</v>
      </c>
      <c r="S61" s="353"/>
      <c r="U61" t="str">
        <f>Master_Agent_HQsGlobal[[#This Row],[Question]]&amp;"."&amp;Master_Agent_HQsGlobal[[#This Row],[Action Type]]&amp;Master_Agent_HQsGlobal[[#This Row],[Country]]</f>
        <v>GS7.GQ6.Response_Required</v>
      </c>
      <c r="V61" t="str">
        <f ca="1">IFERROR(VLOOKUP(Master_Agent_HQsGlobal[[#This Row],[Question]],Master_Agent_HQs[#All],13,FALSE),VLOOKUP(Master_Agent_HQsGlobal[[#This Row],[Question]],INDIRECT("Master_Agent_HQs"&amp;'Gen Info'!$E$4&amp;"[#All]"),13,FALSE))</f>
        <v>Supervisión</v>
      </c>
      <c r="W61" t="str" cm="1">
        <f t="array" ref="W61">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proceso de monitoreo no está debidamente documentado.</v>
      </c>
      <c r="X61" t="s">
        <v>2619</v>
      </c>
      <c r="AA61" s="143"/>
      <c r="AB61" t="str" cm="1">
        <f t="array" ref="AB61">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Brinde a Western Union con la documentación respectiva donde se evidencie un proceso adecuado de monitoreo.</v>
      </c>
      <c r="AC61" t="s">
        <v>3026</v>
      </c>
      <c r="AD61" t="s">
        <v>2643</v>
      </c>
      <c r="AE61" t="s">
        <v>3027</v>
      </c>
      <c r="AF61" t="s">
        <v>2644</v>
      </c>
      <c r="AG61" t="s">
        <v>3028</v>
      </c>
      <c r="AH61" t="s">
        <v>2645</v>
      </c>
      <c r="AI61" t="s">
        <v>3029</v>
      </c>
      <c r="AJ61" t="s">
        <v>2215</v>
      </c>
      <c r="AK61" t="s">
        <v>926</v>
      </c>
      <c r="AO61" t="str">
        <f>IndependentGlobal[[#This Row],[Question]]&amp;"."&amp;IndependentGlobal[[#This Row],[Action Type]]&amp;IndependentGlobal[[#This Row],[Country]]</f>
        <v>GS14.RQ8.Response_RequiredUnited_States</v>
      </c>
      <c r="AP61" t="e">
        <f ca="1">IFERROR(VLOOKUP(IndependentGlobal[[#This Row],[Question]],Independent[#All],13,FALSE),VLOOKUP(IndependentGlobal[[#This Row],[Question]],INDIRECT("Independent_"&amp;'Gen Info'!$E$4&amp;"[#All]"),13,FALSE))</f>
        <v>#REF!</v>
      </c>
      <c r="AQ61" t="str" cm="1">
        <f t="array" ref="AQ61">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pudo confirmar que la cámara y/o el sistema de alarma se verifiquen cada 48 horas.</v>
      </c>
      <c r="AR61" t="s">
        <v>3017</v>
      </c>
      <c r="AV61" t="str" cm="1">
        <f t="array" ref="AV61">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Proporcionar a Western Union documentación que demuestre que la cámara y/o el sistema de alarma se verifican cada 48 horas.</v>
      </c>
      <c r="AW61" t="s">
        <v>3030</v>
      </c>
      <c r="AX61" t="s">
        <v>3031</v>
      </c>
      <c r="AY61" t="s">
        <v>3032</v>
      </c>
      <c r="AZ61" t="s">
        <v>3033</v>
      </c>
      <c r="BA61" t="s">
        <v>3034</v>
      </c>
      <c r="BB61" t="s">
        <v>3035</v>
      </c>
      <c r="BC61" t="s">
        <v>3036</v>
      </c>
      <c r="BD61" t="s">
        <v>2215</v>
      </c>
      <c r="BE61" t="s">
        <v>1253</v>
      </c>
      <c r="BF61" t="s">
        <v>2581</v>
      </c>
      <c r="BH61" t="str">
        <f>Independent_MO_OnlyGlobal[[#This Row],[Question]]&amp;"."&amp;Independent_MO_OnlyGlobal[[#This Row],[Action Type]]&amp;Independent_MO_OnlyGlobal[[#This Row],[Country]]</f>
        <v>GS9.GQ3.Resolved_Onsite</v>
      </c>
      <c r="BI61">
        <f ca="1">IFERROR(VLOOKUP(Independent_MO_OnlyGlobal[[#This Row],[Question]],Independent_MO_Only[#All],13,FALSE),VLOOKUP(Independent_MO_OnlyGlobal[[#This Row],[Question]],INDIRECT("Independent_MO_Only"&amp;'Gen Info'!$E$4&amp;"[#All]"),13,FALSE))</f>
        <v>0</v>
      </c>
      <c r="BJ61" cm="1">
        <f t="array" ref="BJ61">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61" t="s">
        <v>2730</v>
      </c>
      <c r="BO61" cm="1">
        <f t="array" ref="BO61">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61" t="s">
        <v>2570</v>
      </c>
      <c r="BW61" t="s">
        <v>2195</v>
      </c>
      <c r="BX61" t="s">
        <v>1583</v>
      </c>
    </row>
    <row r="62" spans="2:76">
      <c r="B62" s="353" t="str">
        <f>Network_AgentGlobal[[#This Row],[Question]]&amp;"."&amp;Network_AgentGlobal[[#This Row],[Action Type]]&amp;Network_AgentGlobal[[#This Row],[Country]]</f>
        <v>GS4.GQ4.Response_Required</v>
      </c>
      <c r="C62" s="353" t="str">
        <f ca="1">IFERROR(VLOOKUP(Network_AgentGlobal[[#This Row],[Question]],INDIRECT('Gen Info'!$D$4&amp;"[#All]"),13,FALSE),VLOOKUP(Network_AgentGlobal[[#This Row],[Question]],INDIRECT('Gen Info'!$D$4&amp;"_"&amp;'Gen Info'!$E$4&amp;"[#All]"),13,FALSE))</f>
        <v>Conocimiento de Operador - Actividad Sospechosa y Fraude</v>
      </c>
      <c r="D62" s="353" t="str" cm="1">
        <f t="array" aca="1" ref="D62"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Los operadores no saben identificar actividad relacionada a fraude al agente.</v>
      </c>
      <c r="E62" s="353" t="s">
        <v>3022</v>
      </c>
      <c r="F62" s="353"/>
      <c r="G62" s="353"/>
      <c r="H62" s="353"/>
      <c r="I62" s="353" t="str" cm="1">
        <f t="array" ref="I62">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Brinde a Western Union evidencia o confirmación que todos los operadores han sido entrenados en el tema. Asegúrese que la confirmación incluya el tema cubierto, el nombre de las personas que asistieron a la sesión y la fecha de la capacitación.</v>
      </c>
      <c r="J62" s="353" t="s">
        <v>2388</v>
      </c>
      <c r="K62" s="353" t="s">
        <v>3023</v>
      </c>
      <c r="L62" s="353" t="s">
        <v>2389</v>
      </c>
      <c r="M62" s="353" t="s">
        <v>3024</v>
      </c>
      <c r="N62" s="353" t="s">
        <v>2390</v>
      </c>
      <c r="O62" s="353" t="s">
        <v>3025</v>
      </c>
      <c r="P62" s="353" t="s">
        <v>2391</v>
      </c>
      <c r="Q62" s="353" t="s">
        <v>2215</v>
      </c>
      <c r="R62" s="353" t="s">
        <v>753</v>
      </c>
      <c r="S62" s="353"/>
      <c r="U62" t="str">
        <f>Master_Agent_HQsGlobal[[#This Row],[Question]]&amp;"."&amp;Master_Agent_HQsGlobal[[#This Row],[Action Type]]&amp;Master_Agent_HQsGlobal[[#This Row],[Country]]</f>
        <v>GS8.GQ1.Response_Required</v>
      </c>
      <c r="V62" t="str">
        <f ca="1">IFERROR(VLOOKUP(Master_Agent_HQsGlobal[[#This Row],[Question]],Master_Agent_HQs[#All],13,FALSE),VLOOKUP(Master_Agent_HQsGlobal[[#This Row],[Question]],INDIRECT("Master_Agent_HQs"&amp;'Gen Info'!$E$4&amp;"[#All]"),13,FALSE))</f>
        <v>Revisión Independiente</v>
      </c>
      <c r="W62" t="str" cm="1">
        <f t="array" ref="W62">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tiene un programa de control de calidad que realice revisiones regulares e independientes para la evaluación y control del programa de AML/CFT y Anti-Fraude.</v>
      </c>
      <c r="X62" t="s">
        <v>2205</v>
      </c>
      <c r="AA62" s="143"/>
      <c r="AB62" t="str" cm="1">
        <f t="array" ref="AB62">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Brinde a Western Union pruebas de que las Políticas y Procedimientos de cumplimiento AML/CFT y Anti-fraude tienen un programa de control de calidad que realiza pruebas periódicas e independientes de los controles AML/CFT y de anti-fraude. Además, proporcione a Western Union evidencia de una revisión independiente válida, completa y actual.</v>
      </c>
      <c r="AC62" t="s">
        <v>3037</v>
      </c>
      <c r="AD62" t="s">
        <v>2207</v>
      </c>
      <c r="AE62" t="s">
        <v>3038</v>
      </c>
      <c r="AF62" t="s">
        <v>2209</v>
      </c>
      <c r="AG62" t="s">
        <v>3039</v>
      </c>
      <c r="AH62" t="s">
        <v>2211</v>
      </c>
      <c r="AI62" t="s">
        <v>3040</v>
      </c>
      <c r="AJ62" t="s">
        <v>2215</v>
      </c>
      <c r="AK62" t="s">
        <v>932</v>
      </c>
      <c r="AO62" t="str">
        <f>IndependentGlobal[[#This Row],[Question]]&amp;"."&amp;IndependentGlobal[[#This Row],[Action Type]]&amp;IndependentGlobal[[#This Row],[Country]]</f>
        <v>GS2.GQ1.Resolved_Onsite</v>
      </c>
      <c r="AP62" t="str">
        <f ca="1">IFERROR(VLOOKUP(IndependentGlobal[[#This Row],[Question]],Independent[#All],13,FALSE),VLOOKUP(IndependentGlobal[[#This Row],[Question]],INDIRECT("Independent_"&amp;'Gen Info'!$E$4&amp;"[#All]"),13,FALSE))</f>
        <v>Historial de Cumplimiento</v>
      </c>
      <c r="AQ62" t="str" cm="1">
        <f t="array" ref="AQ62">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ha remediado todos los hallazgos relacionados con la última revisión del programa, que vencían en la fecha de la presente revisión o antes.</v>
      </c>
      <c r="AR62" t="s">
        <v>3041</v>
      </c>
      <c r="AV62" t="str" cm="1">
        <f t="array" ref="AV62">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El agente ha corregido todos los hallazgos pendientes de la última revisión del programa.</v>
      </c>
      <c r="AW62" t="s">
        <v>3042</v>
      </c>
      <c r="AX62" t="s">
        <v>3043</v>
      </c>
      <c r="AY62" t="s">
        <v>3044</v>
      </c>
      <c r="AZ62" t="s">
        <v>3045</v>
      </c>
      <c r="BA62" t="s">
        <v>3046</v>
      </c>
      <c r="BB62" t="s">
        <v>3047</v>
      </c>
      <c r="BC62" t="s">
        <v>3048</v>
      </c>
      <c r="BD62" t="s">
        <v>2195</v>
      </c>
      <c r="BE62" t="s">
        <v>638</v>
      </c>
      <c r="BH62" t="str">
        <f>Independent_MO_OnlyGlobal[[#This Row],[Question]]&amp;"."&amp;Independent_MO_OnlyGlobal[[#This Row],[Action Type]]&amp;Independent_MO_OnlyGlobal[[#This Row],[Country]]</f>
        <v>GS9.GQ4.Resolved_Onsite</v>
      </c>
      <c r="BI62">
        <f ca="1">IFERROR(VLOOKUP(Independent_MO_OnlyGlobal[[#This Row],[Question]],Independent_MO_Only[#All],13,FALSE),VLOOKUP(Independent_MO_OnlyGlobal[[#This Row],[Question]],INDIRECT("Independent_MO_Only"&amp;'Gen Info'!$E$4&amp;"[#All]"),13,FALSE))</f>
        <v>0</v>
      </c>
      <c r="BJ62" cm="1">
        <f t="array" ref="BJ62">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62" t="s">
        <v>2732</v>
      </c>
      <c r="BO62" cm="1">
        <f t="array" ref="BO62">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62" t="s">
        <v>2570</v>
      </c>
      <c r="BW62" t="s">
        <v>2195</v>
      </c>
      <c r="BX62" t="s">
        <v>1216</v>
      </c>
    </row>
    <row r="63" spans="2:76">
      <c r="B63" s="353" t="str">
        <f>Network_AgentGlobal[[#This Row],[Question]]&amp;"."&amp;Network_AgentGlobal[[#This Row],[Action Type]]&amp;Network_AgentGlobal[[#This Row],[Country]]</f>
        <v>GS4.GQ6.Response_RequiredIndia_FTF</v>
      </c>
      <c r="C63" s="353" t="str">
        <f ca="1">IFERROR(VLOOKUP(Network_AgentGlobal[[#This Row],[Question]],INDIRECT('Gen Info'!$D$4&amp;"[#All]"),13,FALSE),VLOOKUP(Network_AgentGlobal[[#This Row],[Question]],INDIRECT('Gen Info'!$D$4&amp;"_"&amp;'Gen Info'!$E$4&amp;"[#All]"),13,FALSE))</f>
        <v>Conocimiento de Operador - Actividad Sospechosa y Fraude</v>
      </c>
      <c r="D63" s="353" cm="1">
        <f t="array" aca="1" ref="D63"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63" s="353" t="s">
        <v>3049</v>
      </c>
      <c r="F63" s="353"/>
      <c r="G63" s="353"/>
      <c r="H63" s="353"/>
      <c r="I63" s="353" cm="1">
        <f t="array" ref="I63">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63" s="353" t="s">
        <v>2482</v>
      </c>
      <c r="K63" s="353"/>
      <c r="L63" s="353"/>
      <c r="M63" s="353"/>
      <c r="N63" s="353"/>
      <c r="O63" s="353"/>
      <c r="P63" s="353"/>
      <c r="Q63" s="353" t="s">
        <v>2215</v>
      </c>
      <c r="R63" s="353" t="s">
        <v>769</v>
      </c>
      <c r="S63" s="353" t="s">
        <v>2196</v>
      </c>
      <c r="U63" t="str">
        <f>Master_Agent_HQsGlobal[[#This Row],[Question]]&amp;"."&amp;Master_Agent_HQsGlobal[[#This Row],[Action Type]]&amp;Master_Agent_HQsGlobal[[#This Row],[Country]]</f>
        <v>GS8.GQ2.Response_Required</v>
      </c>
      <c r="V63" t="str">
        <f ca="1">IFERROR(VLOOKUP(Master_Agent_HQsGlobal[[#This Row],[Question]],Master_Agent_HQs[#All],13,FALSE),VLOOKUP(Master_Agent_HQsGlobal[[#This Row],[Question]],INDIRECT("Master_Agent_HQs"&amp;'Gen Info'!$E$4&amp;"[#All]"),13,FALSE))</f>
        <v>Revisión Independiente</v>
      </c>
      <c r="W63" t="str" cm="1">
        <f t="array" ref="W63">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Las deficiencias encontradas en la Revisión Independiente, no han sido corregidas.</v>
      </c>
      <c r="X63" t="s">
        <v>2290</v>
      </c>
      <c r="AA63" s="143"/>
      <c r="AB63" t="str" cm="1">
        <f t="array" ref="AB63">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Brinde a Western Union un plan de acción para corregir las deficiencias encontradas durante la Revisión Independiente.</v>
      </c>
      <c r="AC63" t="s">
        <v>2314</v>
      </c>
      <c r="AD63" t="s">
        <v>2292</v>
      </c>
      <c r="AE63" t="s">
        <v>2315</v>
      </c>
      <c r="AF63" t="s">
        <v>2294</v>
      </c>
      <c r="AG63" t="s">
        <v>2316</v>
      </c>
      <c r="AH63" t="s">
        <v>2296</v>
      </c>
      <c r="AI63" t="s">
        <v>2317</v>
      </c>
      <c r="AJ63" t="s">
        <v>2215</v>
      </c>
      <c r="AK63" t="s">
        <v>941</v>
      </c>
      <c r="AO63" t="str">
        <f>IndependentGlobal[[#This Row],[Question]]&amp;"."&amp;IndependentGlobal[[#This Row],[Action Type]]&amp;IndependentGlobal[[#This Row],[Country]]</f>
        <v>GS2.GQ1.Response_Required</v>
      </c>
      <c r="AP63" t="str">
        <f ca="1">IFERROR(VLOOKUP(IndependentGlobal[[#This Row],[Question]],Independent[#All],13,FALSE),VLOOKUP(IndependentGlobal[[#This Row],[Question]],INDIRECT("Independent_"&amp;'Gen Info'!$E$4&amp;"[#All]"),13,FALSE))</f>
        <v>Historial de Cumplimiento</v>
      </c>
      <c r="AQ63" t="str" cm="1">
        <f t="array" ref="AQ63">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ha remediado todos los hallazgos relacionados con la última revisión del programa, que vencían en la fecha de la presente revisión o antes.</v>
      </c>
      <c r="AR63" t="s">
        <v>3041</v>
      </c>
      <c r="AV63" t="str" cm="1">
        <f t="array" ref="AV63">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documentación que demuestre que se corrigieron los hallazgos de la última revisión del programa.</v>
      </c>
      <c r="AW63" t="s">
        <v>3050</v>
      </c>
      <c r="AX63" t="s">
        <v>3043</v>
      </c>
      <c r="AY63" t="s">
        <v>3051</v>
      </c>
      <c r="AZ63" t="s">
        <v>3045</v>
      </c>
      <c r="BA63" t="s">
        <v>3052</v>
      </c>
      <c r="BB63" t="s">
        <v>3047</v>
      </c>
      <c r="BC63" t="s">
        <v>3053</v>
      </c>
      <c r="BD63" t="s">
        <v>2215</v>
      </c>
      <c r="BE63" t="s">
        <v>638</v>
      </c>
      <c r="BH63" t="str">
        <f>Independent_MO_OnlyGlobal[[#This Row],[Question]]&amp;"."&amp;Independent_MO_OnlyGlobal[[#This Row],[Action Type]]&amp;Independent_MO_OnlyGlobal[[#This Row],[Country]]</f>
        <v>GS10.RQ1.Resolved_Onsite</v>
      </c>
      <c r="BI63" t="e">
        <f ca="1">IFERROR(VLOOKUP(Independent_MO_OnlyGlobal[[#This Row],[Question]],Independent_MO_Only[#All],13,FALSE),VLOOKUP(Independent_MO_OnlyGlobal[[#This Row],[Question]],INDIRECT("Independent_MO_Only"&amp;'Gen Info'!$E$4&amp;"[#All]"),13,FALSE))</f>
        <v>#REF!</v>
      </c>
      <c r="BJ63" cm="1">
        <f t="array" ref="BJ63">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63" t="s">
        <v>3054</v>
      </c>
      <c r="BO63" cm="1">
        <f t="array" ref="BO63">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63" t="s">
        <v>2570</v>
      </c>
      <c r="BW63" t="s">
        <v>2195</v>
      </c>
      <c r="BX63" t="s">
        <v>1444</v>
      </c>
    </row>
    <row r="64" spans="2:76">
      <c r="B64" s="353" t="str">
        <f>Network_AgentGlobal[[#This Row],[Question]]&amp;"."&amp;Network_AgentGlobal[[#This Row],[Action Type]]&amp;Network_AgentGlobal[[#This Row],[Country]]</f>
        <v>GS4.GQ5.Resolved_Onsite</v>
      </c>
      <c r="C64" s="353" t="str">
        <f ca="1">IFERROR(VLOOKUP(Network_AgentGlobal[[#This Row],[Question]],INDIRECT('Gen Info'!$D$4&amp;"[#All]"),13,FALSE),VLOOKUP(Network_AgentGlobal[[#This Row],[Question]],INDIRECT('Gen Info'!$D$4&amp;"_"&amp;'Gen Info'!$E$4&amp;"[#All]"),13,FALSE))</f>
        <v>Conocimiento de Operador - Actividad Sospechosa y Fraude</v>
      </c>
      <c r="D64" s="353" t="str" cm="1">
        <f t="array" aca="1" ref="D64"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Los operadores no sabe explicar las acciones que deben tomarse ante una situación de fraude contra el agente.</v>
      </c>
      <c r="E64" s="353" t="s">
        <v>3055</v>
      </c>
      <c r="F64" s="353"/>
      <c r="G64" s="353"/>
      <c r="H64" s="353"/>
      <c r="I64" s="353" t="str" cm="1">
        <f t="array" ref="I64">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No se requiere acción. Se ha enviado al Agente material de capacitación específico sobre este tema. Todos los "FLAs" han recibido realimentación/capacitación sobre este tema en el transcurso de la revisión.</v>
      </c>
      <c r="J64" s="353" t="s">
        <v>2362</v>
      </c>
      <c r="K64" s="353" t="s">
        <v>3056</v>
      </c>
      <c r="L64" s="353" t="s">
        <v>2824</v>
      </c>
      <c r="M64" s="353" t="s">
        <v>3057</v>
      </c>
      <c r="N64" s="353" t="s">
        <v>2826</v>
      </c>
      <c r="O64" s="353" t="s">
        <v>3058</v>
      </c>
      <c r="P64" s="353" t="s">
        <v>2896</v>
      </c>
      <c r="Q64" s="353" t="s">
        <v>2195</v>
      </c>
      <c r="R64" s="353" t="s">
        <v>761</v>
      </c>
      <c r="S64" s="353"/>
      <c r="U64" t="str">
        <f>Master_Agent_HQsGlobal[[#This Row],[Question]]&amp;"."&amp;Master_Agent_HQsGlobal[[#This Row],[Action Type]]&amp;Master_Agent_HQsGlobal[[#This Row],[Country]]</f>
        <v>GS9.GQ3.Response_Required</v>
      </c>
      <c r="V64" t="str">
        <f ca="1">IFERROR(VLOOKUP(Master_Agent_HQsGlobal[[#This Row],[Question]],Master_Agent_HQs[#All],13,FALSE),VLOOKUP(Master_Agent_HQsGlobal[[#This Row],[Question]],INDIRECT("Master_Agent_HQs"&amp;'Gen Info'!$E$4&amp;"[#All]"),13,FALSE))</f>
        <v>Requisitos de KYC</v>
      </c>
      <c r="W64" t="str" cm="1">
        <f t="array" ref="W64">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Los operadores no conocen los tipos de identificación aceptables para una transacción de Western Union.</v>
      </c>
      <c r="X64" t="s">
        <v>2377</v>
      </c>
      <c r="AA64" s="143"/>
      <c r="AB64" t="str" cm="1">
        <f t="array" ref="AB64">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Brinde a Western Union confirmación que las Políticas y Procedimientos de AML/CFT han sido actualizados y aprobados. Deben incluir información actualizada de KYC/CIP. La confirmación debe estar documentada y fechada y puede obtenerse a través de un documento escrito o por correo electrónico. También se aceptan las Políticas y Procedimientos actualizadas.</v>
      </c>
      <c r="AC64" t="s">
        <v>3059</v>
      </c>
      <c r="AD64" t="s">
        <v>2690</v>
      </c>
      <c r="AE64" t="s">
        <v>3060</v>
      </c>
      <c r="AF64" t="s">
        <v>2691</v>
      </c>
      <c r="AG64" t="s">
        <v>3061</v>
      </c>
      <c r="AH64" t="s">
        <v>2692</v>
      </c>
      <c r="AI64" t="s">
        <v>3062</v>
      </c>
      <c r="AJ64" t="s">
        <v>2215</v>
      </c>
      <c r="AK64" t="s">
        <v>1583</v>
      </c>
      <c r="AO64" t="str">
        <f>IndependentGlobal[[#This Row],[Question]]&amp;"."&amp;IndependentGlobal[[#This Row],[Action Type]]&amp;IndependentGlobal[[#This Row],[Country]]</f>
        <v>GS3.GQ1.Resolved_Onsite</v>
      </c>
      <c r="AP64" t="str">
        <f ca="1">IFERROR(VLOOKUP(IndependentGlobal[[#This Row],[Question]],Independent[#All],13,FALSE),VLOOKUP(IndependentGlobal[[#This Row],[Question]],INDIRECT("Independent_"&amp;'Gen Info'!$E$4&amp;"[#All]"),13,FALSE))</f>
        <v>Disponibilidad de la Localidad</v>
      </c>
      <c r="AQ64" t="str" cm="1">
        <f t="array" ref="AQ64">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nombre, dirección y número telefónico de la localidad no coinciden con los sistemas de Western Union.</v>
      </c>
      <c r="AR64" t="s">
        <v>2254</v>
      </c>
      <c r="AV64" t="str" cm="1">
        <f t="array" ref="AV64">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requiere acción. Se ha solicitado al equipo correspondiente la actualización de la información.</v>
      </c>
      <c r="AW64" t="s">
        <v>3063</v>
      </c>
      <c r="AX64" t="s">
        <v>2622</v>
      </c>
      <c r="AY64" t="s">
        <v>2309</v>
      </c>
      <c r="AZ64" t="s">
        <v>3064</v>
      </c>
      <c r="BA64" t="s">
        <v>2311</v>
      </c>
      <c r="BB64" t="s">
        <v>2624</v>
      </c>
      <c r="BC64" t="s">
        <v>2313</v>
      </c>
      <c r="BD64" t="s">
        <v>2195</v>
      </c>
      <c r="BE64" t="s">
        <v>661</v>
      </c>
      <c r="BH64" t="str">
        <f>Independent_MO_OnlyGlobal[[#This Row],[Question]]&amp;"."&amp;Independent_MO_OnlyGlobal[[#This Row],[Action Type]]&amp;Independent_MO_OnlyGlobal[[#This Row],[Country]]</f>
        <v>GS10.RQ2.Resolved_Onsite</v>
      </c>
      <c r="BI64" t="e">
        <f ca="1">IFERROR(VLOOKUP(Independent_MO_OnlyGlobal[[#This Row],[Question]],Independent_MO_Only[#All],13,FALSE),VLOOKUP(Independent_MO_OnlyGlobal[[#This Row],[Question]],INDIRECT("Independent_MO_Only"&amp;'Gen Info'!$E$4&amp;"[#All]"),13,FALSE))</f>
        <v>#REF!</v>
      </c>
      <c r="BJ64" cm="1">
        <f t="array" ref="BJ64">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64" t="s">
        <v>3065</v>
      </c>
      <c r="BO64" cm="1">
        <f t="array" ref="BO64">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64" t="s">
        <v>2570</v>
      </c>
      <c r="BW64" t="s">
        <v>2195</v>
      </c>
      <c r="BX64" t="s">
        <v>1454</v>
      </c>
    </row>
    <row r="65" spans="2:77">
      <c r="B65" s="353" t="str">
        <f>Network_AgentGlobal[[#This Row],[Question]]&amp;"."&amp;Network_AgentGlobal[[#This Row],[Action Type]]&amp;Network_AgentGlobal[[#This Row],[Country]]</f>
        <v>GS4.GQ5.Response_Required</v>
      </c>
      <c r="C65" s="353" t="str">
        <f ca="1">IFERROR(VLOOKUP(Network_AgentGlobal[[#This Row],[Question]],INDIRECT('Gen Info'!$D$4&amp;"[#All]"),13,FALSE),VLOOKUP(Network_AgentGlobal[[#This Row],[Question]],INDIRECT('Gen Info'!$D$4&amp;"_"&amp;'Gen Info'!$E$4&amp;"[#All]"),13,FALSE))</f>
        <v>Conocimiento de Operador - Actividad Sospechosa y Fraude</v>
      </c>
      <c r="D65" s="353" t="str" cm="1">
        <f t="array" aca="1" ref="D65"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Los operadores no sabe explicar las acciones que deben tomarse ante una situación de fraude contra el agente.</v>
      </c>
      <c r="E65" s="353" t="s">
        <v>3055</v>
      </c>
      <c r="F65" s="353"/>
      <c r="G65" s="353"/>
      <c r="H65" s="353"/>
      <c r="I65" s="353" t="str" cm="1">
        <f t="array" ref="I65">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Brinde a Western Union evidencia o confirmación que todos los operadores han sido entrenados en el tema. Asegúrese que la confirmación incluya el tema cubierto, el nombre de las personas que asistieron a la sesión y la fecha de la capacitación.</v>
      </c>
      <c r="J65" s="353" t="s">
        <v>2388</v>
      </c>
      <c r="K65" s="353" t="s">
        <v>3056</v>
      </c>
      <c r="L65" s="353" t="s">
        <v>2389</v>
      </c>
      <c r="M65" s="353" t="s">
        <v>3057</v>
      </c>
      <c r="N65" s="353" t="s">
        <v>2390</v>
      </c>
      <c r="O65" s="353" t="s">
        <v>3058</v>
      </c>
      <c r="P65" s="353" t="s">
        <v>2391</v>
      </c>
      <c r="Q65" s="353" t="s">
        <v>2215</v>
      </c>
      <c r="R65" s="353" t="s">
        <v>761</v>
      </c>
      <c r="S65" s="353"/>
      <c r="U65" t="str">
        <f>Master_Agent_HQsGlobal[[#This Row],[Question]]&amp;"."&amp;Master_Agent_HQsGlobal[[#This Row],[Action Type]]&amp;Master_Agent_HQsGlobal[[#This Row],[Country]]</f>
        <v>GS10.GQ2.Response_Required</v>
      </c>
      <c r="V65" t="str">
        <f ca="1">IFERROR(VLOOKUP(Master_Agent_HQsGlobal[[#This Row],[Question]],Master_Agent_HQs[#All],13,FALSE),VLOOKUP(Master_Agent_HQsGlobal[[#This Row],[Question]],INDIRECT("Master_Agent_HQs"&amp;'Gen Info'!$E$4&amp;"[#All]"),13,FALSE))</f>
        <v>Administración y Supervisión de Subagentes</v>
      </c>
      <c r="W65" t="str" cm="1">
        <f t="array" ref="W65">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ha distribuido el Manual Global de Cumplimiento más reciente a sus Subagentes .</v>
      </c>
      <c r="X65" t="s">
        <v>2700</v>
      </c>
      <c r="AA65" s="143"/>
      <c r="AB65" t="str" cm="1">
        <f t="array" ref="AB65">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Brinde a Western Union evidencia de que el Agente ha distribuido el Manual de Cumplimiento a sus Subagentes.</v>
      </c>
      <c r="AC65" t="s">
        <v>3066</v>
      </c>
      <c r="AD65" t="s">
        <v>2702</v>
      </c>
      <c r="AE65" t="s">
        <v>3067</v>
      </c>
      <c r="AF65" t="s">
        <v>2704</v>
      </c>
      <c r="AG65" t="s">
        <v>3068</v>
      </c>
      <c r="AH65" t="s">
        <v>2706</v>
      </c>
      <c r="AI65" t="s">
        <v>3069</v>
      </c>
      <c r="AJ65" t="s">
        <v>2215</v>
      </c>
      <c r="AK65" t="s">
        <v>1326</v>
      </c>
      <c r="AO65" t="str">
        <f>IndependentGlobal[[#This Row],[Question]]&amp;"."&amp;IndependentGlobal[[#This Row],[Action Type]]&amp;IndependentGlobal[[#This Row],[Country]]</f>
        <v>GS3.GQ2.Resolved_Onsite</v>
      </c>
      <c r="AP65" t="str">
        <f ca="1">IFERROR(VLOOKUP(IndependentGlobal[[#This Row],[Question]],Independent[#All],13,FALSE),VLOOKUP(IndependentGlobal[[#This Row],[Question]],INDIRECT("Independent_"&amp;'Gen Info'!$E$4&amp;"[#All]"),13,FALSE))</f>
        <v>Disponibilidad de la Localidad</v>
      </c>
      <c r="AQ65" t="str" cm="1">
        <f t="array" ref="AQ65">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COT no coincide con nuestros registros internos.</v>
      </c>
      <c r="AR65" t="s">
        <v>3070</v>
      </c>
      <c r="AV65" t="str" cm="1">
        <f t="array" ref="AV65">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requiere acción. Se ha solicitado al equipo correspondiente la actualización de la información.</v>
      </c>
      <c r="AW65" t="s">
        <v>2307</v>
      </c>
      <c r="AX65" t="s">
        <v>3071</v>
      </c>
      <c r="AY65" t="s">
        <v>2309</v>
      </c>
      <c r="AZ65" t="s">
        <v>3072</v>
      </c>
      <c r="BA65" t="s">
        <v>2311</v>
      </c>
      <c r="BB65" t="s">
        <v>3073</v>
      </c>
      <c r="BC65" t="s">
        <v>2313</v>
      </c>
      <c r="BD65" t="s">
        <v>2195</v>
      </c>
      <c r="BE65" t="s">
        <v>677</v>
      </c>
      <c r="BH65" t="str">
        <f>Independent_MO_OnlyGlobal[[#This Row],[Question]]&amp;"."&amp;Independent_MO_OnlyGlobal[[#This Row],[Action Type]]&amp;Independent_MO_OnlyGlobal[[#This Row],[Country]]</f>
        <v>GS10.GQ1.Resolved_Onsite</v>
      </c>
      <c r="BI65">
        <f ca="1">IFERROR(VLOOKUP(Independent_MO_OnlyGlobal[[#This Row],[Question]],Independent_MO_Only[#All],13,FALSE),VLOOKUP(Independent_MO_OnlyGlobal[[#This Row],[Question]],INDIRECT("Independent_MO_Only"&amp;'Gen Info'!$E$4&amp;"[#All]"),13,FALSE))</f>
        <v>0</v>
      </c>
      <c r="BJ65" cm="1">
        <f t="array" ref="BJ65">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65" t="s">
        <v>2699</v>
      </c>
      <c r="BO65" cm="1">
        <f t="array" ref="BO65">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65" t="s">
        <v>2570</v>
      </c>
      <c r="BW65" t="s">
        <v>2195</v>
      </c>
      <c r="BX65" t="s">
        <v>1312</v>
      </c>
    </row>
    <row r="66" spans="2:77">
      <c r="B66" s="353" t="str">
        <f>Network_AgentGlobal[[#This Row],[Question]]&amp;"."&amp;Network_AgentGlobal[[#This Row],[Action Type]]&amp;Network_AgentGlobal[[#This Row],[Country]]</f>
        <v>GS4.GQ7.Response_RequiredIndia_FTF</v>
      </c>
      <c r="C66" s="353" t="str">
        <f ca="1">IFERROR(VLOOKUP(Network_AgentGlobal[[#This Row],[Question]],INDIRECT('Gen Info'!$D$4&amp;"[#All]"),13,FALSE),VLOOKUP(Network_AgentGlobal[[#This Row],[Question]],INDIRECT('Gen Info'!$D$4&amp;"_"&amp;'Gen Info'!$E$4&amp;"[#All]"),13,FALSE))</f>
        <v>Conocimiento de Operador - Actividad Sospechosa y Fraude</v>
      </c>
      <c r="D66" s="353" cm="1">
        <f t="array" aca="1" ref="D66"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66" s="353" t="s">
        <v>3074</v>
      </c>
      <c r="F66" s="353"/>
      <c r="G66" s="353"/>
      <c r="H66" s="353"/>
      <c r="I66" s="353" cm="1">
        <f t="array" ref="I66">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66" s="353" t="s">
        <v>3075</v>
      </c>
      <c r="K66" s="353"/>
      <c r="L66" s="353"/>
      <c r="M66" s="353"/>
      <c r="N66" s="353"/>
      <c r="O66" s="353"/>
      <c r="P66" s="353"/>
      <c r="Q66" s="353" t="s">
        <v>2215</v>
      </c>
      <c r="R66" s="353" t="s">
        <v>777</v>
      </c>
      <c r="S66" s="353" t="s">
        <v>2196</v>
      </c>
      <c r="U66" t="str">
        <f>Master_Agent_HQsGlobal[[#This Row],[Question]]&amp;"."&amp;Master_Agent_HQsGlobal[[#This Row],[Action Type]]&amp;Master_Agent_HQsGlobal[[#This Row],[Country]]</f>
        <v>GS10.GQ3.Response_Required</v>
      </c>
      <c r="V66" t="str">
        <f ca="1">IFERROR(VLOOKUP(Master_Agent_HQsGlobal[[#This Row],[Question]],Master_Agent_HQs[#All],13,FALSE),VLOOKUP(Master_Agent_HQsGlobal[[#This Row],[Question]],INDIRECT("Master_Agent_HQs"&amp;'Gen Info'!$E$4&amp;"[#All]"),13,FALSE))</f>
        <v>Administración y Supervisión de Subagentes</v>
      </c>
      <c r="W66" t="str" cm="1">
        <f t="array" ref="W66">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pudo demostrar que sus Sub-agentes han adoptado e implementado en sus Políticas y Procedimientos el Manual más reciente de Cumplimiento Global.</v>
      </c>
      <c r="X66" t="s">
        <v>2722</v>
      </c>
      <c r="AA66" s="143"/>
      <c r="AB66" t="str" cm="1">
        <f t="array" ref="AB66">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Brinde a Western Union evidencia que demuestre que los Sub-agentes han adoptado o incorporado el Manual de Cumplimiento Global en sus Políticas y Procedimientos.</v>
      </c>
      <c r="AC66" t="s">
        <v>3076</v>
      </c>
      <c r="AD66" t="s">
        <v>2723</v>
      </c>
      <c r="AE66" t="s">
        <v>3077</v>
      </c>
      <c r="AF66" t="s">
        <v>2724</v>
      </c>
      <c r="AG66" t="s">
        <v>3078</v>
      </c>
      <c r="AH66" t="s">
        <v>2725</v>
      </c>
      <c r="AI66" t="s">
        <v>3079</v>
      </c>
      <c r="AJ66" t="s">
        <v>2215</v>
      </c>
      <c r="AK66" t="s">
        <v>1343</v>
      </c>
      <c r="AO66" t="str">
        <f>IndependentGlobal[[#This Row],[Question]]&amp;"."&amp;IndependentGlobal[[#This Row],[Action Type]]&amp;IndependentGlobal[[#This Row],[Country]]</f>
        <v>GS3.GQ2.Suspension</v>
      </c>
      <c r="AP66" t="str">
        <f ca="1">IFERROR(VLOOKUP(IndependentGlobal[[#This Row],[Question]],Independent[#All],13,FALSE),VLOOKUP(IndependentGlobal[[#This Row],[Question]],INDIRECT("Independent_"&amp;'Gen Info'!$E$4&amp;"[#All]"),13,FALSE))</f>
        <v>Disponibilidad de la Localidad</v>
      </c>
      <c r="AQ66" t="str" cm="1">
        <f t="array" ref="AQ66">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COT no coincide con nuestros registros internos y es prohibido.</v>
      </c>
      <c r="AR66" t="s">
        <v>3080</v>
      </c>
      <c r="AV66" t="str" cm="1">
        <f t="array" ref="AV66">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El verdadero tipo de comercio (COT) del agente está prohibido por WU o la política regional. Se escala el agente a suspensión.</v>
      </c>
      <c r="AW66" t="s">
        <v>3081</v>
      </c>
      <c r="AX66" t="s">
        <v>3082</v>
      </c>
      <c r="AY66" t="s">
        <v>3083</v>
      </c>
      <c r="AZ66" t="s">
        <v>3084</v>
      </c>
      <c r="BA66" t="s">
        <v>3085</v>
      </c>
      <c r="BB66" t="s">
        <v>3086</v>
      </c>
      <c r="BC66" t="s">
        <v>3087</v>
      </c>
      <c r="BD66" t="s">
        <v>2222</v>
      </c>
      <c r="BE66" t="s">
        <v>677</v>
      </c>
      <c r="BH66" t="str">
        <f>Independent_MO_OnlyGlobal[[#This Row],[Question]]&amp;"."&amp;Independent_MO_OnlyGlobal[[#This Row],[Action Type]]&amp;Independent_MO_OnlyGlobal[[#This Row],[Country]]</f>
        <v>GS10.GQ2.Resolved_Onsite</v>
      </c>
      <c r="BI66">
        <f ca="1">IFERROR(VLOOKUP(Independent_MO_OnlyGlobal[[#This Row],[Question]],Independent_MO_Only[#All],13,FALSE),VLOOKUP(Independent_MO_OnlyGlobal[[#This Row],[Question]],INDIRECT("Independent_MO_Only"&amp;'Gen Info'!$E$4&amp;"[#All]"),13,FALSE))</f>
        <v>0</v>
      </c>
      <c r="BJ66" cm="1">
        <f t="array" ref="BJ66">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66" t="s">
        <v>2641</v>
      </c>
      <c r="BO66" cm="1">
        <f t="array" ref="BO66">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66" t="s">
        <v>2570</v>
      </c>
      <c r="BW66" t="s">
        <v>2195</v>
      </c>
      <c r="BX66" t="s">
        <v>1326</v>
      </c>
    </row>
    <row r="67" spans="2:77">
      <c r="B67" s="353" t="str">
        <f>Network_AgentGlobal[[#This Row],[Question]]&amp;"."&amp;Network_AgentGlobal[[#This Row],[Action Type]]&amp;Network_AgentGlobal[[#This Row],[Country]]</f>
        <v>GS4.GQ6.Resolved_Onsite</v>
      </c>
      <c r="C67" s="353" t="str">
        <f ca="1">IFERROR(VLOOKUP(Network_AgentGlobal[[#This Row],[Question]],INDIRECT('Gen Info'!$D$4&amp;"[#All]"),13,FALSE),VLOOKUP(Network_AgentGlobal[[#This Row],[Question]],INDIRECT('Gen Info'!$D$4&amp;"_"&amp;'Gen Info'!$E$4&amp;"[#All]"),13,FALSE))</f>
        <v>Conocimiento de Operador - Actividad Sospechosa y Fraude</v>
      </c>
      <c r="D67" s="353" t="str" cm="1">
        <f t="array" aca="1" ref="D67"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Los operadores no saben identificar actividades relacionadas con fraude al consumidor.</v>
      </c>
      <c r="E67" s="353" t="s">
        <v>3088</v>
      </c>
      <c r="F67" s="353"/>
      <c r="G67" s="353"/>
      <c r="H67" s="353"/>
      <c r="I67" s="353" t="str" cm="1">
        <f t="array" ref="I67">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No se requiere acción. Se ha enviado al Agente material de capacitación específico sobre este tema. Todos los "FLAs" han recibido realimentación/capacitación sobre este tema en el transcurso de la revisión.</v>
      </c>
      <c r="J67" s="353" t="s">
        <v>2362</v>
      </c>
      <c r="K67" s="353" t="s">
        <v>3089</v>
      </c>
      <c r="L67" s="353" t="s">
        <v>2824</v>
      </c>
      <c r="M67" s="353" t="s">
        <v>3090</v>
      </c>
      <c r="N67" s="353" t="s">
        <v>2826</v>
      </c>
      <c r="O67" s="353" t="s">
        <v>3091</v>
      </c>
      <c r="P67" s="353" t="s">
        <v>2896</v>
      </c>
      <c r="Q67" s="353" t="s">
        <v>2195</v>
      </c>
      <c r="R67" s="353" t="s">
        <v>769</v>
      </c>
      <c r="S67" s="353"/>
      <c r="U67" t="str">
        <f>Master_Agent_HQsGlobal[[#This Row],[Question]]&amp;"."&amp;Master_Agent_HQsGlobal[[#This Row],[Action Type]]&amp;Master_Agent_HQsGlobal[[#This Row],[Country]]</f>
        <v>GS10.GQ6.Response_Required</v>
      </c>
      <c r="V67" t="str">
        <f ca="1">IFERROR(VLOOKUP(Master_Agent_HQsGlobal[[#This Row],[Question]],Master_Agent_HQs[#All],13,FALSE),VLOOKUP(Master_Agent_HQsGlobal[[#This Row],[Question]],INDIRECT("Master_Agent_HQs"&amp;'Gen Info'!$E$4&amp;"[#All]"),13,FALSE))</f>
        <v>Administración y Supervisión de Subagentes</v>
      </c>
      <c r="W67" t="str" cm="1">
        <f t="array" ref="W67">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Las políticas y procedimientos AML/CFT y anti-fraude utilizados por los sub-agentes no cumplen con los estándares mínimos.</v>
      </c>
      <c r="X67" t="s">
        <v>2742</v>
      </c>
      <c r="AA67" s="143"/>
      <c r="AB67" t="str" cm="1">
        <f t="array" ref="AB67">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Brinde a Western Union evidencia que demuestre que las políticas y procedimientos de AML/CFT y antifraude utilizados por los sub-agentes cumplen con los estándares mínimos.</v>
      </c>
      <c r="AC67" t="s">
        <v>3092</v>
      </c>
      <c r="AD67" t="s">
        <v>2743</v>
      </c>
      <c r="AE67" t="s">
        <v>3093</v>
      </c>
      <c r="AF67" t="s">
        <v>2744</v>
      </c>
      <c r="AG67" t="s">
        <v>3094</v>
      </c>
      <c r="AH67" t="s">
        <v>2745</v>
      </c>
      <c r="AI67" t="s">
        <v>3095</v>
      </c>
      <c r="AJ67" t="s">
        <v>2215</v>
      </c>
      <c r="AK67" t="s">
        <v>1774</v>
      </c>
      <c r="AO67" t="str">
        <f>IndependentGlobal[[#This Row],[Question]]&amp;"."&amp;IndependentGlobal[[#This Row],[Action Type]]&amp;IndependentGlobal[[#This Row],[Country]]</f>
        <v>GS3.GQ3.Resolved_Onsite</v>
      </c>
      <c r="AP67" t="str">
        <f ca="1">IFERROR(VLOOKUP(IndependentGlobal[[#This Row],[Question]],Independent[#All],13,FALSE),VLOOKUP(IndependentGlobal[[#This Row],[Question]],INDIRECT("Independent_"&amp;'Gen Info'!$E$4&amp;"[#All]"),13,FALSE))</f>
        <v>Disponibilidad de la Localidad</v>
      </c>
      <c r="AQ67" t="str" cm="1">
        <f t="array" ref="AQ67">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La información acerca de los propietarios de la localidad no coinciden con los registros de Western Union.</v>
      </c>
      <c r="AR67" t="s">
        <v>3096</v>
      </c>
      <c r="AV67" t="str" cm="1">
        <f t="array" ref="AV67">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requiere acción. Se ha solicitado al equipo correspondiente la actualización de la información.</v>
      </c>
      <c r="AW67" t="s">
        <v>3063</v>
      </c>
      <c r="AX67" t="s">
        <v>3097</v>
      </c>
      <c r="AY67" t="s">
        <v>2309</v>
      </c>
      <c r="AZ67" t="s">
        <v>3098</v>
      </c>
      <c r="BA67" t="s">
        <v>2311</v>
      </c>
      <c r="BB67" t="s">
        <v>3099</v>
      </c>
      <c r="BC67" t="s">
        <v>2313</v>
      </c>
      <c r="BD67" t="s">
        <v>2195</v>
      </c>
      <c r="BE67" t="s">
        <v>693</v>
      </c>
      <c r="BH67" t="str">
        <f>Independent_MO_OnlyGlobal[[#This Row],[Question]]&amp;"."&amp;Independent_MO_OnlyGlobal[[#This Row],[Action Type]]&amp;Independent_MO_OnlyGlobal[[#This Row],[Country]]</f>
        <v>GS10.GQ3.Resolved_Onsite</v>
      </c>
      <c r="BI67">
        <f ca="1">IFERROR(VLOOKUP(Independent_MO_OnlyGlobal[[#This Row],[Question]],Independent_MO_Only[#All],13,FALSE),VLOOKUP(Independent_MO_OnlyGlobal[[#This Row],[Question]],INDIRECT("Independent_MO_Only"&amp;'Gen Info'!$E$4&amp;"[#All]"),13,FALSE))</f>
        <v>0</v>
      </c>
      <c r="BJ67" cm="1">
        <f t="array" ref="BJ67">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67" t="s">
        <v>2790</v>
      </c>
      <c r="BO67" cm="1">
        <f t="array" ref="BO67">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67" t="s">
        <v>2570</v>
      </c>
      <c r="BW67" t="s">
        <v>2195</v>
      </c>
      <c r="BX67" t="s">
        <v>1343</v>
      </c>
    </row>
    <row r="68" spans="2:77">
      <c r="B68" s="353" t="str">
        <f>Network_AgentGlobal[[#This Row],[Question]]&amp;"."&amp;Network_AgentGlobal[[#This Row],[Action Type]]&amp;Network_AgentGlobal[[#This Row],[Country]]</f>
        <v>GS4.GQ6.Response_Required</v>
      </c>
      <c r="C68" s="353" t="str">
        <f ca="1">IFERROR(VLOOKUP(Network_AgentGlobal[[#This Row],[Question]],INDIRECT('Gen Info'!$D$4&amp;"[#All]"),13,FALSE),VLOOKUP(Network_AgentGlobal[[#This Row],[Question]],INDIRECT('Gen Info'!$D$4&amp;"_"&amp;'Gen Info'!$E$4&amp;"[#All]"),13,FALSE))</f>
        <v>Conocimiento de Operador - Actividad Sospechosa y Fraude</v>
      </c>
      <c r="D68" s="353" t="str" cm="1">
        <f t="array" aca="1" ref="D68"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Los operadores no saben identificar actividades relacionadas con fraude al consumidor.</v>
      </c>
      <c r="E68" s="353" t="s">
        <v>3088</v>
      </c>
      <c r="F68" s="353"/>
      <c r="G68" s="353"/>
      <c r="H68" s="353"/>
      <c r="I68" s="353" t="str" cm="1">
        <f t="array" ref="I68">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Brinde a Western Union evidencia o confirmación que todos los operadores han sido entrenados en el tema. Asegúrese que la confirmación incluya el tema cubierto, el nombre de las personas que asistieron a la sesión y la fecha de la capacitación.</v>
      </c>
      <c r="J68" s="353" t="s">
        <v>2388</v>
      </c>
      <c r="K68" s="353" t="s">
        <v>3089</v>
      </c>
      <c r="L68" s="353" t="s">
        <v>2389</v>
      </c>
      <c r="M68" s="353" t="s">
        <v>3090</v>
      </c>
      <c r="N68" s="353" t="s">
        <v>2390</v>
      </c>
      <c r="O68" s="353" t="s">
        <v>3091</v>
      </c>
      <c r="P68" s="353" t="s">
        <v>2391</v>
      </c>
      <c r="Q68" s="353" t="s">
        <v>2215</v>
      </c>
      <c r="R68" s="353" t="s">
        <v>769</v>
      </c>
      <c r="S68" s="353"/>
      <c r="U68" t="str">
        <f>Master_Agent_HQsGlobal[[#This Row],[Question]]&amp;"."&amp;Master_Agent_HQsGlobal[[#This Row],[Action Type]]&amp;Master_Agent_HQsGlobal[[#This Row],[Country]]</f>
        <v>GS10.GQ8.Response_Required</v>
      </c>
      <c r="V68" t="str">
        <f ca="1">IFERROR(VLOOKUP(Master_Agent_HQsGlobal[[#This Row],[Question]],Master_Agent_HQs[#All],13,FALSE),VLOOKUP(Master_Agent_HQsGlobal[[#This Row],[Question]],INDIRECT("Master_Agent_HQs"&amp;'Gen Info'!$E$4&amp;"[#All]"),13,FALSE))</f>
        <v>Administración y Supervisión de Subagentes</v>
      </c>
      <c r="W68" t="str" cm="1">
        <f t="array" ref="W68">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puede demostrar que las Políticas y Procedimientos de AML/CFT y Anti-fraude del Sub-Agente incluyen los estándares mínimos aceptados por Western Union y las secciones que abordan todos los temas requeridos en su jurisdicción.</v>
      </c>
      <c r="X68" t="s">
        <v>2755</v>
      </c>
      <c r="AA68" s="143"/>
      <c r="AB68" t="str" cm="1">
        <f t="array" ref="AB68">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Brinde a Western Union las Políticas y Procedimientos de AML/CFT y antifraude o una confirmación escrita que indique la política para los sub-agentes incluye todos los requerimientos.</v>
      </c>
      <c r="AC68" t="s">
        <v>3100</v>
      </c>
      <c r="AD68" t="s">
        <v>2756</v>
      </c>
      <c r="AE68" t="s">
        <v>3101</v>
      </c>
      <c r="AF68" t="s">
        <v>2757</v>
      </c>
      <c r="AG68" t="s">
        <v>3102</v>
      </c>
      <c r="AH68" t="s">
        <v>2758</v>
      </c>
      <c r="AI68" t="s">
        <v>3103</v>
      </c>
      <c r="AJ68" t="s">
        <v>2215</v>
      </c>
      <c r="AK68" t="s">
        <v>1783</v>
      </c>
      <c r="AO68" t="str">
        <f>IndependentGlobal[[#This Row],[Question]]&amp;"."&amp;IndependentGlobal[[#This Row],[Action Type]]&amp;IndependentGlobal[[#This Row],[Country]]</f>
        <v>GS3.GQ3.Response_Required</v>
      </c>
      <c r="AP68" t="str">
        <f ca="1">IFERROR(VLOOKUP(IndependentGlobal[[#This Row],[Question]],Independent[#All],13,FALSE),VLOOKUP(IndependentGlobal[[#This Row],[Question]],INDIRECT("Independent_"&amp;'Gen Info'!$E$4&amp;"[#All]"),13,FALSE))</f>
        <v>Disponibilidad de la Localidad</v>
      </c>
      <c r="AQ68" t="str" cm="1">
        <f t="array" ref="AQ68">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La información acerca de los propietarios de la localidad no coinciden con los registros de Western Union.</v>
      </c>
      <c r="AR68" t="s">
        <v>3096</v>
      </c>
      <c r="AV68" t="str" cm="1">
        <f t="array" ref="AV68">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Asegúrese de mantener la información debidamente actualizada en los sistemas de Western Union y  reportar cualquier cambio en la información de los propietarios de la localidad. Brindar la respectiva evidencia.</v>
      </c>
      <c r="AW68" t="s">
        <v>3104</v>
      </c>
      <c r="AX68" t="s">
        <v>3097</v>
      </c>
      <c r="AY68" t="s">
        <v>3105</v>
      </c>
      <c r="AZ68" t="s">
        <v>3098</v>
      </c>
      <c r="BA68" t="s">
        <v>3106</v>
      </c>
      <c r="BB68" t="s">
        <v>3099</v>
      </c>
      <c r="BC68" t="s">
        <v>3107</v>
      </c>
      <c r="BD68" t="s">
        <v>2215</v>
      </c>
      <c r="BE68" t="s">
        <v>693</v>
      </c>
      <c r="BH68" t="str">
        <f>Independent_MO_OnlyGlobal[[#This Row],[Question]]&amp;"."&amp;Independent_MO_OnlyGlobal[[#This Row],[Action Type]]&amp;Independent_MO_OnlyGlobal[[#This Row],[Country]]</f>
        <v>GS8.RQ2.Resolved_Onsite</v>
      </c>
      <c r="BI68" t="e">
        <f ca="1">IFERROR(VLOOKUP(Independent_MO_OnlyGlobal[[#This Row],[Question]],Independent_MO_Only[#All],13,FALSE),VLOOKUP(Independent_MO_OnlyGlobal[[#This Row],[Question]],INDIRECT("Independent_MO_Only"&amp;'Gen Info'!$E$4&amp;"[#All]"),13,FALSE))</f>
        <v>#REF!</v>
      </c>
      <c r="BJ68" cm="1">
        <f t="array" ref="BJ68">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68" t="s">
        <v>3108</v>
      </c>
      <c r="BO68" cm="1">
        <f t="array" ref="BO68">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68" t="s">
        <v>2570</v>
      </c>
      <c r="BW68" t="s">
        <v>2195</v>
      </c>
      <c r="BX68" t="s">
        <v>746</v>
      </c>
    </row>
    <row r="69" spans="2:77">
      <c r="B69" s="353" t="str">
        <f>Network_AgentGlobal[[#This Row],[Question]]&amp;"."&amp;Network_AgentGlobal[[#This Row],[Action Type]]&amp;Network_AgentGlobal[[#This Row],[Country]]</f>
        <v>GS4.GQ7.Resolved_Onsite</v>
      </c>
      <c r="C69" s="353" t="str">
        <f ca="1">IFERROR(VLOOKUP(Network_AgentGlobal[[#This Row],[Question]],INDIRECT('Gen Info'!$D$4&amp;"[#All]"),13,FALSE),VLOOKUP(Network_AgentGlobal[[#This Row],[Question]],INDIRECT('Gen Info'!$D$4&amp;"_"&amp;'Gen Info'!$E$4&amp;"[#All]"),13,FALSE))</f>
        <v>Conocimiento de Operador - Actividad Sospechosa y Fraude</v>
      </c>
      <c r="D69" s="353" t="str" cm="1">
        <f t="array" aca="1" ref="D69"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Los operadores no saben qué acciones tomar ante una situación que involucre fraude al consumidor.</v>
      </c>
      <c r="E69" s="353" t="s">
        <v>3109</v>
      </c>
      <c r="F69" s="353"/>
      <c r="G69" s="353"/>
      <c r="H69" s="353"/>
      <c r="I69" s="353" t="str" cm="1">
        <f t="array" ref="I69">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No se requiere acción. Se ha enviado al Agente material de capacitación específico sobre este tema. Todos los "FLAs" han recibido realimentación/capacitación sobre este tema en el transcurso de la revisión.</v>
      </c>
      <c r="J69" s="353" t="s">
        <v>2362</v>
      </c>
      <c r="K69" s="353" t="s">
        <v>3110</v>
      </c>
      <c r="L69" s="353" t="s">
        <v>2824</v>
      </c>
      <c r="M69" s="353" t="s">
        <v>3111</v>
      </c>
      <c r="N69" s="353" t="s">
        <v>2826</v>
      </c>
      <c r="O69" s="353" t="s">
        <v>3112</v>
      </c>
      <c r="P69" s="353" t="s">
        <v>2896</v>
      </c>
      <c r="Q69" s="353" t="s">
        <v>2195</v>
      </c>
      <c r="R69" s="353" t="s">
        <v>777</v>
      </c>
      <c r="S69" s="353"/>
      <c r="U69" t="str">
        <f>Master_Agent_HQsGlobal[[#This Row],[Question]]&amp;"."&amp;Master_Agent_HQsGlobal[[#This Row],[Action Type]]&amp;Master_Agent_HQsGlobal[[#This Row],[Country]]</f>
        <v>GS10.GQ9.Response_Required</v>
      </c>
      <c r="V69" t="str">
        <f ca="1">IFERROR(VLOOKUP(Master_Agent_HQsGlobal[[#This Row],[Question]],Master_Agent_HQs[#All],13,FALSE),VLOOKUP(Master_Agent_HQsGlobal[[#This Row],[Question]],INDIRECT("Master_Agent_HQs"&amp;'Gen Info'!$E$4&amp;"[#All]"),13,FALSE))</f>
        <v>Administración y Supervisión de Subagentes</v>
      </c>
      <c r="W69" t="str" cm="1">
        <f t="array" ref="W69">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puede demostrar que está realizando revisiones a sus Sub-agentes para validar el cumplimiento de los requerimientos del programa.</v>
      </c>
      <c r="X69" t="s">
        <v>2770</v>
      </c>
      <c r="AA69" s="143"/>
      <c r="AB69" t="str" cm="1">
        <f t="array" ref="AB69">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Brinde a Western Union una confirmación que indique que se cumple el plan de revisión del Sub-agente y evidencia del plan de acción completado.</v>
      </c>
      <c r="AC69" t="s">
        <v>3113</v>
      </c>
      <c r="AD69" t="s">
        <v>2771</v>
      </c>
      <c r="AE69" t="s">
        <v>3114</v>
      </c>
      <c r="AF69" t="s">
        <v>2772</v>
      </c>
      <c r="AG69" t="s">
        <v>3115</v>
      </c>
      <c r="AH69" t="s">
        <v>2773</v>
      </c>
      <c r="AI69" t="s">
        <v>3116</v>
      </c>
      <c r="AJ69" t="s">
        <v>2215</v>
      </c>
      <c r="AK69" t="s">
        <v>1789</v>
      </c>
      <c r="AO69" t="str">
        <f>IndependentGlobal[[#This Row],[Question]]&amp;"."&amp;IndependentGlobal[[#This Row],[Action Type]]&amp;IndependentGlobal[[#This Row],[Country]]</f>
        <v>GS3.GQ3.Suspension</v>
      </c>
      <c r="AP69" t="str">
        <f ca="1">IFERROR(VLOOKUP(IndependentGlobal[[#This Row],[Question]],Independent[#All],13,FALSE),VLOOKUP(IndependentGlobal[[#This Row],[Question]],INDIRECT("Independent_"&amp;'Gen Info'!$E$4&amp;"[#All]"),13,FALSE))</f>
        <v>Disponibilidad de la Localidad</v>
      </c>
      <c r="AQ69" t="str" cm="1">
        <f t="array" ref="AQ69">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La información acerca de los propietarios de la localidad no coinciden con los registros de Western Union.</v>
      </c>
      <c r="AR69" t="s">
        <v>3117</v>
      </c>
      <c r="AV69" t="str" cm="1">
        <f t="array" ref="AV69">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Asegúrese de mantener la información debidamente actualizada en los sistemas de Western Union y  reportar cualquier cambio en la información de los propietarios de la localidad. Brindar la respectiva evidencia (Suspensión).</v>
      </c>
      <c r="AW69" t="s">
        <v>3118</v>
      </c>
      <c r="AX69" t="s">
        <v>3097</v>
      </c>
      <c r="AY69" t="s">
        <v>3119</v>
      </c>
      <c r="AZ69" t="s">
        <v>3120</v>
      </c>
      <c r="BA69" t="s">
        <v>3121</v>
      </c>
      <c r="BB69" t="s">
        <v>3099</v>
      </c>
      <c r="BC69" t="s">
        <v>3122</v>
      </c>
      <c r="BD69" t="s">
        <v>2222</v>
      </c>
      <c r="BE69" t="s">
        <v>693</v>
      </c>
      <c r="BH69" t="str">
        <f>Independent_MO_OnlyGlobal[[#This Row],[Question]]&amp;"."&amp;Independent_MO_OnlyGlobal[[#This Row],[Action Type]]&amp;Independent_MO_OnlyGlobal[[#This Row],[Country]]</f>
        <v>GS5.RQ1.Resolved_Onsite</v>
      </c>
      <c r="BI69" t="e">
        <f ca="1">IFERROR(VLOOKUP(Independent_MO_OnlyGlobal[[#This Row],[Question]],Independent_MO_Only[#All],13,FALSE),VLOOKUP(Independent_MO_OnlyGlobal[[#This Row],[Question]],INDIRECT("Independent_MO_Only"&amp;'Gen Info'!$E$4&amp;"[#All]"),13,FALSE))</f>
        <v>#REF!</v>
      </c>
      <c r="BJ69" cm="1">
        <f t="array" ref="BJ69">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69" t="s">
        <v>2820</v>
      </c>
      <c r="BO69" cm="1">
        <f t="array" ref="BO69">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69" t="s">
        <v>2570</v>
      </c>
      <c r="BW69" t="s">
        <v>2195</v>
      </c>
      <c r="BX69" t="s">
        <v>823</v>
      </c>
    </row>
    <row r="70" spans="2:77">
      <c r="B70" s="353" t="str">
        <f>Network_AgentGlobal[[#This Row],[Question]]&amp;"."&amp;Network_AgentGlobal[[#This Row],[Action Type]]&amp;Network_AgentGlobal[[#This Row],[Country]]</f>
        <v>GS4.GQ7.Response_Required</v>
      </c>
      <c r="C70" s="353" t="str">
        <f ca="1">IFERROR(VLOOKUP(Network_AgentGlobal[[#This Row],[Question]],INDIRECT('Gen Info'!$D$4&amp;"[#All]"),13,FALSE),VLOOKUP(Network_AgentGlobal[[#This Row],[Question]],INDIRECT('Gen Info'!$D$4&amp;"_"&amp;'Gen Info'!$E$4&amp;"[#All]"),13,FALSE))</f>
        <v>Conocimiento de Operador - Actividad Sospechosa y Fraude</v>
      </c>
      <c r="D70" s="353" t="str" cm="1">
        <f t="array" aca="1" ref="D70"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Los operadores no saben qué acciones tomar ante una situación que involucre fraude al consumidor.</v>
      </c>
      <c r="E70" s="353" t="s">
        <v>3109</v>
      </c>
      <c r="F70" s="353"/>
      <c r="G70" s="353"/>
      <c r="H70" s="353"/>
      <c r="I70" s="353" t="str" cm="1">
        <f t="array" ref="I70">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Brinde a Western Union evidencia o confirmación que todos los operadores han sido entrenados en el tema. Asegúrese que la confirmación incluya el tema cubierto, el nombre de las personas que asistieron a la sesión y la fecha de la capacitación.</v>
      </c>
      <c r="J70" s="353" t="s">
        <v>2388</v>
      </c>
      <c r="K70" s="353" t="s">
        <v>3110</v>
      </c>
      <c r="L70" s="353" t="s">
        <v>2389</v>
      </c>
      <c r="M70" s="353" t="s">
        <v>3111</v>
      </c>
      <c r="N70" s="353" t="s">
        <v>2390</v>
      </c>
      <c r="O70" s="353" t="s">
        <v>3112</v>
      </c>
      <c r="P70" s="353" t="s">
        <v>2391</v>
      </c>
      <c r="Q70" s="353" t="s">
        <v>2215</v>
      </c>
      <c r="R70" s="353" t="s">
        <v>777</v>
      </c>
      <c r="S70" s="353"/>
      <c r="U70" t="str">
        <f>Master_Agent_HQsGlobal[[#This Row],[Question]]&amp;"."&amp;Master_Agent_HQsGlobal[[#This Row],[Action Type]]&amp;Master_Agent_HQsGlobal[[#This Row],[Country]]</f>
        <v>GS10.GQ12.Response_Required</v>
      </c>
      <c r="V70" t="str">
        <f ca="1">IFERROR(VLOOKUP(Master_Agent_HQsGlobal[[#This Row],[Question]],Master_Agent_HQs[#All],13,FALSE),VLOOKUP(Master_Agent_HQsGlobal[[#This Row],[Question]],INDIRECT("Master_Agent_HQs"&amp;'Gen Info'!$E$4&amp;"[#All]"),13,FALSE))</f>
        <v>Administración y Supervisión de Subagentes</v>
      </c>
      <c r="W70" t="str" cm="1">
        <f t="array" ref="W70">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suspende ni termina a los Sub-agentes por incumplimientos identificados a través de actividades de supervisión.</v>
      </c>
      <c r="X70" t="s">
        <v>2782</v>
      </c>
      <c r="AA70" s="143"/>
      <c r="AB70" t="str" cm="1">
        <f t="array" ref="AB70">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Brinde a Western Union evidencia que demuestre que las políticas y los procedimientos de AML/CFT incluyen pautas de suspensión y terminación para los sub-agentes que no cumplen con los requerimientos.</v>
      </c>
      <c r="AC70" t="s">
        <v>3123</v>
      </c>
      <c r="AD70" t="s">
        <v>2783</v>
      </c>
      <c r="AE70" t="s">
        <v>3124</v>
      </c>
      <c r="AF70" t="s">
        <v>2784</v>
      </c>
      <c r="AG70" t="s">
        <v>3125</v>
      </c>
      <c r="AH70" t="s">
        <v>2785</v>
      </c>
      <c r="AI70" t="s">
        <v>3126</v>
      </c>
      <c r="AJ70" t="s">
        <v>2215</v>
      </c>
      <c r="AK70" t="s">
        <v>1802</v>
      </c>
      <c r="AO70" t="str">
        <f>IndependentGlobal[[#This Row],[Question]]&amp;"."&amp;IndependentGlobal[[#This Row],[Action Type]]&amp;IndependentGlobal[[#This Row],[Country]]</f>
        <v>GS3.GQ4.Response_Required</v>
      </c>
      <c r="AP70" t="str">
        <f ca="1">IFERROR(VLOOKUP(IndependentGlobal[[#This Row],[Question]],Independent[#All],13,FALSE),VLOOKUP(IndependentGlobal[[#This Row],[Question]],INDIRECT("Independent_"&amp;'Gen Info'!$E$4&amp;"[#All]"),13,FALSE))</f>
        <v>Disponibilidad de la Localidad</v>
      </c>
      <c r="AQ70" t="str" cm="1">
        <f t="array" ref="AQ70">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Los operadores comparten sus credenciales para apresurar el proceso.</v>
      </c>
      <c r="AR70" t="s">
        <v>2298</v>
      </c>
      <c r="AV70" t="str" cm="1">
        <f t="array" ref="AV70">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Asegúrese que para ingresar al sistema de Western Union cada operador utilice su usuario y contraseña propio. Western Union dará seguimiento a este ítem para garantizar que cada operador utilice accesos propios.</v>
      </c>
      <c r="AW70" t="s">
        <v>2299</v>
      </c>
      <c r="AX70" t="s">
        <v>3127</v>
      </c>
      <c r="AY70" t="s">
        <v>3128</v>
      </c>
      <c r="AZ70" t="s">
        <v>3129</v>
      </c>
      <c r="BA70" t="s">
        <v>3130</v>
      </c>
      <c r="BB70" t="s">
        <v>3131</v>
      </c>
      <c r="BC70" t="s">
        <v>3132</v>
      </c>
      <c r="BD70" t="s">
        <v>2215</v>
      </c>
      <c r="BE70" t="s">
        <v>1517</v>
      </c>
      <c r="BH70" t="str">
        <f>Independent_MO_OnlyGlobal[[#This Row],[Question]]&amp;"."&amp;Independent_MO_OnlyGlobal[[#This Row],[Action Type]]&amp;Independent_MO_OnlyGlobal[[#This Row],[Country]]</f>
        <v>GS5.RQ2.Resolved_Onsite</v>
      </c>
      <c r="BI70" t="e">
        <f ca="1">IFERROR(VLOOKUP(Independent_MO_OnlyGlobal[[#This Row],[Question]],Independent_MO_Only[#All],13,FALSE),VLOOKUP(Independent_MO_OnlyGlobal[[#This Row],[Question]],INDIRECT("Independent_MO_Only"&amp;'Gen Info'!$E$4&amp;"[#All]"),13,FALSE))</f>
        <v>#REF!</v>
      </c>
      <c r="BJ70" cm="1">
        <f t="array" ref="BJ70">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70" t="s">
        <v>2832</v>
      </c>
      <c r="BO70" cm="1">
        <f t="array" ref="BO70">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70" t="s">
        <v>2570</v>
      </c>
      <c r="BW70" t="s">
        <v>2195</v>
      </c>
      <c r="BX70" t="s">
        <v>1591</v>
      </c>
    </row>
    <row r="71" spans="2:77">
      <c r="B71" s="353" t="str">
        <f>Network_AgentGlobal[[#This Row],[Question]]&amp;"."&amp;Network_AgentGlobal[[#This Row],[Action Type]]&amp;Network_AgentGlobal[[#This Row],[Country]]</f>
        <v>GS4.RQ1.Resolved_OnsiteIndia_FTF</v>
      </c>
      <c r="C71" s="353" t="e">
        <f ca="1">IFERROR(VLOOKUP(Network_AgentGlobal[[#This Row],[Question]],INDIRECT('Gen Info'!$D$4&amp;"[#All]"),13,FALSE),VLOOKUP(Network_AgentGlobal[[#This Row],[Question]],INDIRECT('Gen Info'!$D$4&amp;"_"&amp;'Gen Info'!$E$4&amp;"[#All]"),13,FALSE))</f>
        <v>#REF!</v>
      </c>
      <c r="D71" s="353" cm="1">
        <f t="array" aca="1" ref="D71"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71" s="353" t="s">
        <v>3133</v>
      </c>
      <c r="F71" s="353"/>
      <c r="G71" s="353"/>
      <c r="H71" s="353"/>
      <c r="I71" s="353" cm="1">
        <f t="array" ref="I71">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71" s="353" t="s">
        <v>3134</v>
      </c>
      <c r="K71" s="353"/>
      <c r="L71" s="353"/>
      <c r="M71" s="353"/>
      <c r="N71" s="353"/>
      <c r="O71" s="353"/>
      <c r="P71" s="353"/>
      <c r="Q71" s="353" t="s">
        <v>2195</v>
      </c>
      <c r="R71" s="353" t="s">
        <v>669</v>
      </c>
      <c r="S71" s="353" t="s">
        <v>2196</v>
      </c>
      <c r="U71" t="str">
        <f>Master_Agent_HQsGlobal[[#This Row],[Question]]&amp;"."&amp;Master_Agent_HQsGlobal[[#This Row],[Action Type]]&amp;Master_Agent_HQsGlobal[[#This Row],[Country]]</f>
        <v>GS10.GQ13.Response_Required</v>
      </c>
      <c r="V71" t="str">
        <f ca="1">IFERROR(VLOOKUP(Master_Agent_HQsGlobal[[#This Row],[Question]],Master_Agent_HQs[#All],13,FALSE),VLOOKUP(Master_Agent_HQsGlobal[[#This Row],[Question]],INDIRECT("Master_Agent_HQs"&amp;'Gen Info'!$E$4&amp;"[#All]"),13,FALSE))</f>
        <v>Administración y Supervisión de Subagentes</v>
      </c>
      <c r="W71" t="str" cm="1">
        <f t="array" ref="W71">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puede demostrar que sus Sub-agentes tienen licencia o están registrados como se requiere antes de concretar un acuerdo de Sub-agente.</v>
      </c>
      <c r="X71" t="s">
        <v>2796</v>
      </c>
      <c r="AA71" s="143"/>
      <c r="AB71" t="str" cm="1">
        <f t="array" ref="AB71">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Brinde a Western Union evidencia que demuestre que las políticas y procedimientos de AML/CFT incluyen requisitos de licencia y registro para sub-agentes o bien una confirmación que indique que este proceso lo realiza Western Union cuando así corresponda.</v>
      </c>
      <c r="AC71" t="s">
        <v>3135</v>
      </c>
      <c r="AD71" t="s">
        <v>2797</v>
      </c>
      <c r="AE71" t="s">
        <v>3136</v>
      </c>
      <c r="AF71" t="s">
        <v>2798</v>
      </c>
      <c r="AG71" t="s">
        <v>3137</v>
      </c>
      <c r="AH71" t="s">
        <v>2799</v>
      </c>
      <c r="AI71" t="s">
        <v>3138</v>
      </c>
      <c r="AJ71" t="s">
        <v>2215</v>
      </c>
      <c r="AK71" t="s">
        <v>1808</v>
      </c>
      <c r="AO71" t="str">
        <f>IndependentGlobal[[#This Row],[Question]]&amp;"."&amp;IndependentGlobal[[#This Row],[Action Type]]&amp;IndependentGlobal[[#This Row],[Country]]</f>
        <v>GS3.GQ4.Suspension</v>
      </c>
      <c r="AP71" t="str">
        <f ca="1">IFERROR(VLOOKUP(IndependentGlobal[[#This Row],[Question]],Independent[#All],13,FALSE),VLOOKUP(IndependentGlobal[[#This Row],[Question]],INDIRECT("Independent_"&amp;'Gen Info'!$E$4&amp;"[#All]"),13,FALSE))</f>
        <v>Disponibilidad de la Localidad</v>
      </c>
      <c r="AQ71" t="str" cm="1">
        <f t="array" ref="AQ71">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Los operadores comparten sus credenciales para para evitar los controles de Cumplimiento.</v>
      </c>
      <c r="AR71" t="s">
        <v>2682</v>
      </c>
      <c r="AV71" t="str" cm="1">
        <f t="array" ref="AV71">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Asegúrese que para ingresar al sistema de Western Union cada operador utilice su usuario y contraseña propio. Western Union dará seguimiento a este ítem para garantizar que cada operador utilice accesos propios (Suspensión).</v>
      </c>
      <c r="AW71" t="s">
        <v>3139</v>
      </c>
      <c r="AX71" t="s">
        <v>3140</v>
      </c>
      <c r="AY71" t="s">
        <v>3141</v>
      </c>
      <c r="AZ71" t="s">
        <v>3142</v>
      </c>
      <c r="BA71" t="s">
        <v>3143</v>
      </c>
      <c r="BB71" t="s">
        <v>3144</v>
      </c>
      <c r="BC71" t="s">
        <v>3145</v>
      </c>
      <c r="BD71" t="s">
        <v>2222</v>
      </c>
      <c r="BE71" t="s">
        <v>1517</v>
      </c>
      <c r="BH71" t="str">
        <f>Independent_MO_OnlyGlobal[[#This Row],[Question]]&amp;"."&amp;Independent_MO_OnlyGlobal[[#This Row],[Action Type]]&amp;Independent_MO_OnlyGlobal[[#This Row],[Country]]</f>
        <v>GS5.RQ3.Resolved_Onsite</v>
      </c>
      <c r="BI71" t="e">
        <f ca="1">IFERROR(VLOOKUP(Independent_MO_OnlyGlobal[[#This Row],[Question]],Independent_MO_Only[#All],13,FALSE),VLOOKUP(Independent_MO_OnlyGlobal[[#This Row],[Question]],INDIRECT("Independent_MO_Only"&amp;'Gen Info'!$E$4&amp;"[#All]"),13,FALSE))</f>
        <v>#REF!</v>
      </c>
      <c r="BJ71" cm="1">
        <f t="array" ref="BJ71">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71" t="s">
        <v>2956</v>
      </c>
      <c r="BO71" cm="1">
        <f t="array" ref="BO71">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71" t="s">
        <v>2922</v>
      </c>
      <c r="BW71" t="s">
        <v>2195</v>
      </c>
      <c r="BX71" t="s">
        <v>1859</v>
      </c>
    </row>
    <row r="72" spans="2:77">
      <c r="B72" s="353" t="str">
        <f>Network_AgentGlobal[[#This Row],[Question]]&amp;"."&amp;Network_AgentGlobal[[#This Row],[Action Type]]&amp;Network_AgentGlobal[[#This Row],[Country]]</f>
        <v>GS4.RQ1.Resolved_OnsiteUnited_States</v>
      </c>
      <c r="C72" s="353" t="e">
        <f ca="1">IFERROR(VLOOKUP(Network_AgentGlobal[[#This Row],[Question]],INDIRECT('Gen Info'!$D$4&amp;"[#All]"),13,FALSE),VLOOKUP(Network_AgentGlobal[[#This Row],[Question]],INDIRECT('Gen Info'!$D$4&amp;"_"&amp;'Gen Info'!$E$4&amp;"[#All]"),13,FALSE))</f>
        <v>#REF!</v>
      </c>
      <c r="D72" s="353" t="str" cm="1">
        <f t="array" aca="1" ref="D72"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 xml:space="preserve"> </v>
      </c>
      <c r="E72" s="353" t="s">
        <v>3146</v>
      </c>
      <c r="F72" s="353"/>
      <c r="G72" s="353"/>
      <c r="H72" s="353"/>
      <c r="I72" s="353" cm="1">
        <f t="array" ref="I72">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72" s="353" t="s">
        <v>3147</v>
      </c>
      <c r="K72" s="353" t="s">
        <v>42</v>
      </c>
      <c r="L72" s="353"/>
      <c r="M72" s="353"/>
      <c r="N72" s="353"/>
      <c r="O72" s="353"/>
      <c r="P72" s="353"/>
      <c r="Q72" s="353" t="s">
        <v>2195</v>
      </c>
      <c r="R72" s="353" t="s">
        <v>669</v>
      </c>
      <c r="S72" s="353" t="s">
        <v>2581</v>
      </c>
      <c r="U72" t="str">
        <f>Master_Agent_HQsGlobal[[#This Row],[Question]]&amp;"."&amp;Master_Agent_HQsGlobal[[#This Row],[Action Type]]&amp;Master_Agent_HQsGlobal[[#This Row],[Country]]</f>
        <v>GS10.GQ14.Response_Required</v>
      </c>
      <c r="V72" t="str">
        <f ca="1">IFERROR(VLOOKUP(Master_Agent_HQsGlobal[[#This Row],[Question]],Master_Agent_HQs[#All],13,FALSE),VLOOKUP(Master_Agent_HQsGlobal[[#This Row],[Question]],INDIRECT("Master_Agent_HQs"&amp;'Gen Info'!$E$4&amp;"[#All]"),13,FALSE))</f>
        <v>Administración y Supervisión de Subagentes</v>
      </c>
      <c r="W72" t="str" cm="1">
        <f t="array" ref="W72">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puede demostrar que ejerce la debida diligencia con sus Sub-agentes.</v>
      </c>
      <c r="X72" t="s">
        <v>2807</v>
      </c>
      <c r="AA72" s="143"/>
      <c r="AB72" t="str" cm="1">
        <f t="array" ref="AB72">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Brinde a Western Union documentación que demuestre que existe un proceso para realizar la debida diligencia con los sub-agentes.</v>
      </c>
      <c r="AC72" t="s">
        <v>3148</v>
      </c>
      <c r="AD72" t="s">
        <v>2808</v>
      </c>
      <c r="AE72" t="s">
        <v>3149</v>
      </c>
      <c r="AF72" t="s">
        <v>2809</v>
      </c>
      <c r="AG72" t="s">
        <v>3150</v>
      </c>
      <c r="AH72" t="s">
        <v>2810</v>
      </c>
      <c r="AI72" t="s">
        <v>3151</v>
      </c>
      <c r="AJ72" t="s">
        <v>2215</v>
      </c>
      <c r="AK72" t="s">
        <v>1815</v>
      </c>
      <c r="AO72" t="str">
        <f>IndependentGlobal[[#This Row],[Question]]&amp;"."&amp;IndependentGlobal[[#This Row],[Action Type]]&amp;IndependentGlobal[[#This Row],[Country]]</f>
        <v>GS3.RQ1.Resolved_OnsiteUnited_States</v>
      </c>
      <c r="AP72" t="e">
        <f ca="1">IFERROR(VLOOKUP(IndependentGlobal[[#This Row],[Question]],Independent[#All],13,FALSE),VLOOKUP(IndependentGlobal[[#This Row],[Question]],INDIRECT("Independent_"&amp;'Gen Info'!$E$4&amp;"[#All]"),13,FALSE))</f>
        <v>#REF!</v>
      </c>
      <c r="AQ72" t="str" cm="1">
        <f t="array" ref="AQ72">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está siguiendo los requerimientos específicos del Estado.</v>
      </c>
      <c r="AR72" t="s">
        <v>3152</v>
      </c>
      <c r="AV72" t="str" cm="1">
        <f t="array" ref="AV72">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El agente ha sido debidamente entrenado en este tema durante la revisión. Los requerimientos especificos del estado han sido solicitados.</v>
      </c>
      <c r="AW72" t="s">
        <v>3153</v>
      </c>
      <c r="AX72" t="s">
        <v>3154</v>
      </c>
      <c r="AY72" t="s">
        <v>3155</v>
      </c>
      <c r="AZ72" t="s">
        <v>3156</v>
      </c>
      <c r="BA72" t="s">
        <v>2749</v>
      </c>
      <c r="BB72" t="s">
        <v>3157</v>
      </c>
      <c r="BC72" t="s">
        <v>3158</v>
      </c>
      <c r="BD72" t="s">
        <v>2195</v>
      </c>
      <c r="BE72" t="s">
        <v>630</v>
      </c>
      <c r="BF72" t="s">
        <v>2581</v>
      </c>
      <c r="BH72" t="str">
        <f>Independent_MO_OnlyGlobal[[#This Row],[Question]]&amp;"."&amp;Independent_MO_OnlyGlobal[[#This Row],[Action Type]]&amp;Independent_MO_OnlyGlobal[[#This Row],[Country]]</f>
        <v>GS7.RQ1.Resolved_Onsite</v>
      </c>
      <c r="BI72" t="e">
        <f ca="1">IFERROR(VLOOKUP(Independent_MO_OnlyGlobal[[#This Row],[Question]],Independent_MO_Only[#All],13,FALSE),VLOOKUP(Independent_MO_OnlyGlobal[[#This Row],[Question]],INDIRECT("Independent_MO_Only"&amp;'Gen Info'!$E$4&amp;"[#All]"),13,FALSE))</f>
        <v>#REF!</v>
      </c>
      <c r="BJ72" cm="1">
        <f t="array" ref="BJ72">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72" t="s">
        <v>2603</v>
      </c>
      <c r="BO72" cm="1">
        <f t="array" ref="BO72">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72" t="s">
        <v>3159</v>
      </c>
      <c r="BW72" t="s">
        <v>2195</v>
      </c>
      <c r="BX72" t="s">
        <v>1869</v>
      </c>
    </row>
    <row r="73" spans="2:77">
      <c r="B73" s="353" t="str">
        <f>Network_AgentGlobal[[#This Row],[Question]]&amp;"."&amp;Network_AgentGlobal[[#This Row],[Action Type]]&amp;Network_AgentGlobal[[#This Row],[Country]]</f>
        <v>GS4.RQ1.Response_RequiredIndia</v>
      </c>
      <c r="C73" s="353" t="e">
        <f ca="1">IFERROR(VLOOKUP(Network_AgentGlobal[[#This Row],[Question]],INDIRECT('Gen Info'!$D$4&amp;"[#All]"),13,FALSE),VLOOKUP(Network_AgentGlobal[[#This Row],[Question]],INDIRECT('Gen Info'!$D$4&amp;"_"&amp;'Gen Info'!$E$4&amp;"[#All]"),13,FALSE))</f>
        <v>#REF!</v>
      </c>
      <c r="D73" s="353" cm="1">
        <f t="array" aca="1" ref="D73"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73" s="353" t="s">
        <v>3160</v>
      </c>
      <c r="F73" s="353"/>
      <c r="G73" s="353"/>
      <c r="H73" s="353"/>
      <c r="I73" s="353" cm="1">
        <f t="array" ref="I73">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73" s="353" t="s">
        <v>3161</v>
      </c>
      <c r="K73" s="353"/>
      <c r="L73" s="353"/>
      <c r="M73" s="353"/>
      <c r="N73" s="353"/>
      <c r="O73" s="353"/>
      <c r="P73" s="353"/>
      <c r="Q73" s="353" t="s">
        <v>2215</v>
      </c>
      <c r="R73" s="353" t="s">
        <v>669</v>
      </c>
      <c r="S73" s="353" t="s">
        <v>3162</v>
      </c>
      <c r="U73" t="str">
        <f>Master_Agent_HQsGlobal[[#This Row],[Question]]&amp;"."&amp;Master_Agent_HQsGlobal[[#This Row],[Action Type]]&amp;Master_Agent_HQsGlobal[[#This Row],[Country]]</f>
        <v>GS12.GQ2.Response_Required</v>
      </c>
      <c r="V73" t="str">
        <f ca="1">IFERROR(VLOOKUP(Master_Agent_HQsGlobal[[#This Row],[Question]],Master_Agent_HQs[#All],13,FALSE),VLOOKUP(Master_Agent_HQsGlobal[[#This Row],[Question]],INDIRECT("Master_Agent_HQs"&amp;'Gen Info'!$E$4&amp;"[#All]"),13,FALSE))</f>
        <v>Conservación de Registros</v>
      </c>
      <c r="W73" t="str" cm="1">
        <f t="array" ref="W73">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cumple con los requisitos del período de retención para los registros en papel (ej: recibos) bajo la regulación local o de acuerdo con los estándares de WU, lo que sea más estricto.</v>
      </c>
      <c r="X73" t="s">
        <v>2822</v>
      </c>
      <c r="AA73" s="143"/>
      <c r="AB73" t="str" cm="1">
        <f t="array" ref="AB73">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Brinde a Western Union evidencia o confirmación que todos los operadores han sido entrenados en el tema. Asegúrese que la confirmación incluya el tema cubierto, el nombre de las personas que asistieron a la sesión y la fecha de la capacitación.</v>
      </c>
      <c r="AC73" t="s">
        <v>2388</v>
      </c>
      <c r="AD73" t="s">
        <v>2823</v>
      </c>
      <c r="AE73" t="s">
        <v>2389</v>
      </c>
      <c r="AF73" t="s">
        <v>2825</v>
      </c>
      <c r="AG73" t="s">
        <v>2390</v>
      </c>
      <c r="AH73" s="97" t="s">
        <v>2264</v>
      </c>
      <c r="AI73" s="97" t="s">
        <v>2264</v>
      </c>
      <c r="AJ73" t="s">
        <v>2215</v>
      </c>
      <c r="AK73" t="s">
        <v>1436</v>
      </c>
      <c r="AO73" t="str">
        <f>IndependentGlobal[[#This Row],[Question]]&amp;"."&amp;IndependentGlobal[[#This Row],[Action Type]]&amp;IndependentGlobal[[#This Row],[Country]]</f>
        <v>GS3.RQ1.Resolved_OnsiteCanada</v>
      </c>
      <c r="AP73" t="e">
        <f ca="1">IFERROR(VLOOKUP(IndependentGlobal[[#This Row],[Question]],Independent[#All],13,FALSE),VLOOKUP(IndependentGlobal[[#This Row],[Question]],INDIRECT("Independent_"&amp;'Gen Info'!$E$4&amp;"[#All]"),13,FALSE))</f>
        <v>#REF!</v>
      </c>
      <c r="AQ73" t="str" cm="1">
        <f t="array" ref="AQ73">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está informando a WU sobre cambios en la empresa o información relacionada a los propietarios, el registro y/o la administración del Agente.</v>
      </c>
      <c r="AR73" t="s">
        <v>3163</v>
      </c>
      <c r="AV73" t="str" cm="1">
        <f t="array" ref="AV73">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requiere acción. La documentación requerida para la actualización respectiva se recopiló durante la revisión.</v>
      </c>
      <c r="AW73" t="s">
        <v>3164</v>
      </c>
      <c r="AX73" t="s">
        <v>3165</v>
      </c>
      <c r="AY73" t="s">
        <v>3166</v>
      </c>
      <c r="AZ73" t="s">
        <v>3167</v>
      </c>
      <c r="BA73" t="s">
        <v>3168</v>
      </c>
      <c r="BB73" t="s">
        <v>3169</v>
      </c>
      <c r="BC73" t="s">
        <v>3170</v>
      </c>
      <c r="BD73" t="s">
        <v>2195</v>
      </c>
      <c r="BE73" t="s">
        <v>630</v>
      </c>
      <c r="BF73" t="s">
        <v>2281</v>
      </c>
      <c r="BH73" t="str">
        <f>Independent_MO_OnlyGlobal[[#This Row],[Question]]&amp;"."&amp;Independent_MO_OnlyGlobal[[#This Row],[Action Type]]&amp;Independent_MO_OnlyGlobal[[#This Row],[Country]]</f>
        <v>GS9.RQ1.Resolved_Onsite</v>
      </c>
      <c r="BI73" t="e">
        <f ca="1">IFERROR(VLOOKUP(Independent_MO_OnlyGlobal[[#This Row],[Question]],Independent_MO_Only[#All],13,FALSE),VLOOKUP(Independent_MO_OnlyGlobal[[#This Row],[Question]],INDIRECT("Independent_MO_Only"&amp;'Gen Info'!$E$4&amp;"[#All]"),13,FALSE))</f>
        <v>#REF!</v>
      </c>
      <c r="BJ73" cm="1">
        <f t="array" ref="BJ73">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73" t="s">
        <v>3054</v>
      </c>
      <c r="BO73" cm="1">
        <f t="array" ref="BO73">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73" t="s">
        <v>3171</v>
      </c>
      <c r="BW73" t="s">
        <v>2195</v>
      </c>
      <c r="BX73" t="s">
        <v>1178</v>
      </c>
    </row>
    <row r="74" spans="2:77">
      <c r="B74" s="353" t="str">
        <f>Network_AgentGlobal[[#This Row],[Question]]&amp;"."&amp;Network_AgentGlobal[[#This Row],[Action Type]]&amp;Network_AgentGlobal[[#This Row],[Country]]</f>
        <v>GS4.RQ1.Response_RequiredIndia_FTF</v>
      </c>
      <c r="C74" s="353" t="e">
        <f ca="1">IFERROR(VLOOKUP(Network_AgentGlobal[[#This Row],[Question]],INDIRECT('Gen Info'!$D$4&amp;"[#All]"),13,FALSE),VLOOKUP(Network_AgentGlobal[[#This Row],[Question]],INDIRECT('Gen Info'!$D$4&amp;"_"&amp;'Gen Info'!$E$4&amp;"[#All]"),13,FALSE))</f>
        <v>#REF!</v>
      </c>
      <c r="D74" s="353" cm="1">
        <f t="array" aca="1" ref="D74"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74" s="353" t="s">
        <v>3172</v>
      </c>
      <c r="F74" s="353"/>
      <c r="G74" s="353"/>
      <c r="H74" s="353"/>
      <c r="I74" s="353" cm="1">
        <f t="array" ref="I74">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74" s="353" t="s">
        <v>3075</v>
      </c>
      <c r="K74" s="353"/>
      <c r="L74" s="353"/>
      <c r="M74" s="353"/>
      <c r="N74" s="353"/>
      <c r="O74" s="353"/>
      <c r="P74" s="353"/>
      <c r="Q74" s="353" t="s">
        <v>2215</v>
      </c>
      <c r="R74" s="353" t="s">
        <v>669</v>
      </c>
      <c r="S74" s="353" t="s">
        <v>2196</v>
      </c>
      <c r="U74" t="str">
        <f>Master_Agent_HQsGlobal[[#This Row],[Question]]&amp;"."&amp;Master_Agent_HQsGlobal[[#This Row],[Action Type]]&amp;Master_Agent_HQsGlobal[[#This Row],[Country]]</f>
        <v>GS3.GQ1.Response_Required</v>
      </c>
      <c r="V74" t="str">
        <f ca="1">IFERROR(VLOOKUP(Master_Agent_HQsGlobal[[#This Row],[Question]],Master_Agent_HQs[#All],13,FALSE),VLOOKUP(Master_Agent_HQsGlobal[[#This Row],[Question]],INDIRECT("Master_Agent_HQs"&amp;'Gen Info'!$E$4&amp;"[#All]"),13,FALSE))</f>
        <v>Oficial/Delegado de Cumplimiento</v>
      </c>
      <c r="W74" t="e" cm="1">
        <f t="array" ref="W74">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#N/A</v>
      </c>
      <c r="X74" s="164" t="e" cm="1">
        <f t="array" ref="X74">_xlfn.IFS(INDEX(CallTb[#All],MATCH(Master_Agent_HQsGlobal[[#This Row],[Qnumber]],CallTb[[#All],[QNumber]],0),7)="No_AML/CFT","The Agent does not have a designated AML/CFT Compliance Officer/Compliance Delegate.",INDEX(CallTb[#All],MATCH(Master_Agent_HQsGlobal[[#This Row],[Qnumber]],CallTb[[#All],[QNumber]],0),7)="No_AntiFraud","The Agent does not have a designated Anti-Fraud Compliance Officer/Compliance Delegate.",INDEX(CallTb[#All],MATCH(Master_Agent_HQsGlobal[[#This Row],[Qnumber]],CallTb[[#All],[QNumber]],0),7)="No_AML/CFT/AntiFraud","The Agent does not have either a designated AML/CFT or Anti-Fraud Compliance Officer/Compliance Delegate.")</f>
        <v>#N/A</v>
      </c>
      <c r="AA74" s="143"/>
      <c r="AB74" t="str" cm="1">
        <f t="array" ref="AB74">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Brinde a Western Union evidencia acerca de la asignación del Oficial de Cumplmiento/Delagado de Cumplimiento.</v>
      </c>
      <c r="AC74" t="s">
        <v>2386</v>
      </c>
      <c r="AD74" s="164" t="e" cm="1">
        <f t="array" ref="AD74">_xlfn.IFS(INDEX(CallTb[#All],MATCH(Master_Agent_HQsGlobal[[#This Row],[Qnumber]],CallTb[[#All],[QNumber]],0),7)="No_AML/CFT","El agente no tiene un Oficial de Cumplimiento designado para AML/CFT.",INDEX(CallTb[#All],MATCH(Master_Agent_HQsGlobal[[#This Row],[Qnumber]],CallTb[[#All],[QNumber]],0),7)="No_AntiFraud","El agente no tiene un Oficial de Cumplimiento designado para Anti-Fraud.",INDEX(CallTb[#All],MATCH(Master_Agent_HQsGlobal[[#This Row],[Qnumber]],CallTb[[#All],[QNumber]],0),7)="No_AML/CFT/AntiFraud","El agente no tiene un Oficial de Cumplimiento designado para AML/CFT ni Anti-Fraud.")</f>
        <v>#N/A</v>
      </c>
      <c r="AE74" t="s">
        <v>2849</v>
      </c>
      <c r="AF74" s="164" t="e" cm="1">
        <f t="array" ref="AF74">_xlfn.IFS(INDEX(CallTb[#All],MATCH(Master_Agent_HQsGlobal[[#This Row],[Qnumber]],CallTb[[#All],[QNumber]],0),7)="No_AML/CFT","L’Agent n’a pas de Chargé de Conformité assigné pour contrôler les politiques LAB/CFT.",INDEX(CallTb[#All],MATCH(Master_Agent_HQsGlobal[[#This Row],[Qnumber]],CallTb[[#All],[QNumber]],0),7)="No_AntiFraud","L’Agent n’a pas de Chargé de Conformité assigné pour contrôler les politiques anti-fraude.",INDEX(CallTb[#All],MATCH(Master_Agent_HQsGlobal[[#This Row],[Qnumber]],CallTb[[#All],[QNumber]],0),7)="No_AML/CFT/AntiFraud","L’Agent n’a de Chargé de Conformité assigné pour contrôler ni les politiques LAB/CFT, ni les politiques anti-fraude.")</f>
        <v>#N/A</v>
      </c>
      <c r="AG74" t="s">
        <v>2850</v>
      </c>
      <c r="AH74" s="164" t="e" cm="1">
        <f t="array" ref="AH74">_xlfn.IFS(INDEX(CallTb[#All],MATCH(Master_Agent_HQsGlobal[[#This Row],[Qnumber]],CallTb[[#All],[QNumber]],0),7)="No_AML/CFT","O Agente não tem um Oficial de Compliance de AML/CFT designado.",INDEX(CallTb[#All],MATCH(Master_Agent_HQsGlobal[[#This Row],[Qnumber]],CallTb[[#All],[QNumber]],0),7)="No_AntiFraud","O Agente não tem um Oficial de Compliance de Anti-Fraude designado.",INDEX(CallTb[#All],MATCH(Master_Agent_HQsGlobal[[#This Row],[Qnumber]],CallTb[[#All],[QNumber]],0),7)="No_AML/CFT/AntiFraud","O agente não tem um Oficial de Compliance AML/CFT ou um oficial de Compliance Anti-fraude designado.")</f>
        <v>#N/A</v>
      </c>
      <c r="AI74" t="s">
        <v>2851</v>
      </c>
      <c r="AJ74" t="s">
        <v>2215</v>
      </c>
      <c r="AK74" t="s">
        <v>661</v>
      </c>
      <c r="AO74" t="str">
        <f>IndependentGlobal[[#This Row],[Question]]&amp;"."&amp;IndependentGlobal[[#This Row],[Action Type]]&amp;IndependentGlobal[[#This Row],[Country]]</f>
        <v>GS3.RQ2.Resolved_OnsiteCanada</v>
      </c>
      <c r="AP74" t="e">
        <f ca="1">IFERROR(VLOOKUP(IndependentGlobal[[#This Row],[Question]],Independent[#All],13,FALSE),VLOOKUP(IndependentGlobal[[#This Row],[Question]],INDIRECT("Independent_"&amp;'Gen Info'!$E$4&amp;"[#All]"),13,FALSE))</f>
        <v>#REF!</v>
      </c>
      <c r="AQ74" t="str" cm="1">
        <f t="array" ref="AQ74">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tiende visible el certificado de registro de AMF actual.</v>
      </c>
      <c r="AR74" t="s">
        <v>2323</v>
      </c>
      <c r="AV74" t="str" cm="1">
        <f t="array" ref="AV74">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requiere acción. El agente ha solicitado la licencia pero está esperando la aprobación de la AMF.</v>
      </c>
      <c r="AW74" t="s">
        <v>3173</v>
      </c>
      <c r="AX74" t="s">
        <v>3174</v>
      </c>
      <c r="AY74" t="s">
        <v>3175</v>
      </c>
      <c r="AZ74" t="s">
        <v>3176</v>
      </c>
      <c r="BA74" t="s">
        <v>3177</v>
      </c>
      <c r="BB74" t="s">
        <v>3178</v>
      </c>
      <c r="BC74" t="s">
        <v>3179</v>
      </c>
      <c r="BD74" t="s">
        <v>2195</v>
      </c>
      <c r="BE74" t="s">
        <v>803</v>
      </c>
      <c r="BF74" t="s">
        <v>2281</v>
      </c>
      <c r="BH74" t="str">
        <f>Independent_MO_OnlyGlobal[[#This Row],[Question]]&amp;"."&amp;Independent_MO_OnlyGlobal[[#This Row],[Action Type]]&amp;Independent_MO_OnlyGlobal[[#This Row],[Country]]</f>
        <v>GS9.RQ2.Resolved_Onsite</v>
      </c>
      <c r="BI74" t="e">
        <f ca="1">IFERROR(VLOOKUP(Independent_MO_OnlyGlobal[[#This Row],[Question]],Independent_MO_Only[#All],13,FALSE),VLOOKUP(Independent_MO_OnlyGlobal[[#This Row],[Question]],INDIRECT("Independent_MO_Only"&amp;'Gen Info'!$E$4&amp;"[#All]"),13,FALSE))</f>
        <v>#REF!</v>
      </c>
      <c r="BJ74" cm="1">
        <f t="array" ref="BJ74">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74" t="s">
        <v>2791</v>
      </c>
      <c r="BO74" cm="1">
        <f t="array" ref="BO74">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74" t="s">
        <v>2570</v>
      </c>
      <c r="BW74" t="s">
        <v>2195</v>
      </c>
      <c r="BX74" t="s">
        <v>1880</v>
      </c>
    </row>
    <row r="75" spans="2:77">
      <c r="B75" s="353" t="str">
        <f>Network_AgentGlobal[[#This Row],[Question]]&amp;"."&amp;Network_AgentGlobal[[#This Row],[Action Type]]&amp;Network_AgentGlobal[[#This Row],[Country]]</f>
        <v>GS4.RQ1.SuspensionIndia</v>
      </c>
      <c r="C75" s="353" t="e">
        <f ca="1">IFERROR(VLOOKUP(Network_AgentGlobal[[#This Row],[Question]],INDIRECT('Gen Info'!$D$4&amp;"[#All]"),13,FALSE),VLOOKUP(Network_AgentGlobal[[#This Row],[Question]],INDIRECT('Gen Info'!$D$4&amp;"_"&amp;'Gen Info'!$E$4&amp;"[#All]"),13,FALSE))</f>
        <v>#REF!</v>
      </c>
      <c r="D75" s="353" cm="1">
        <f t="array" aca="1" ref="D75"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75" s="353" t="s">
        <v>3160</v>
      </c>
      <c r="F75" s="353"/>
      <c r="G75" s="353"/>
      <c r="H75" s="353"/>
      <c r="I75" s="353" cm="1">
        <f t="array" ref="I75">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75" s="353" t="s">
        <v>3180</v>
      </c>
      <c r="K75" s="353"/>
      <c r="L75" s="353"/>
      <c r="M75" s="353"/>
      <c r="N75" s="353"/>
      <c r="O75" s="353"/>
      <c r="P75" s="353"/>
      <c r="Q75" s="353" t="s">
        <v>2222</v>
      </c>
      <c r="R75" s="353" t="s">
        <v>669</v>
      </c>
      <c r="S75" s="353" t="s">
        <v>3162</v>
      </c>
      <c r="U75" t="str">
        <f>Master_Agent_HQsGlobal[[#This Row],[Question]]&amp;"."&amp;Master_Agent_HQsGlobal[[#This Row],[Action Type]]&amp;Master_Agent_HQsGlobal[[#This Row],[Country]]</f>
        <v>GS9.GQ1.Response_Required</v>
      </c>
      <c r="V75" t="str">
        <f ca="1">IFERROR(VLOOKUP(Master_Agent_HQsGlobal[[#This Row],[Question]],Master_Agent_HQs[#All],13,FALSE),VLOOKUP(Master_Agent_HQsGlobal[[#This Row],[Question]],INDIRECT("Master_Agent_HQs"&amp;'Gen Info'!$E$4&amp;"[#All]"),13,FALSE))</f>
        <v>Requisitos de KYC</v>
      </c>
      <c r="W75" t="str" cm="1">
        <f t="array" ref="W75">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La localidad tiene problemas de integridad de datos.</v>
      </c>
      <c r="X75" t="s">
        <v>2335</v>
      </c>
      <c r="AA75" s="143"/>
      <c r="AB75" t="str" cm="1">
        <f t="array" ref="AB75">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Proporcione documentación a Western Union que demuestre que todos los empleados han recibido capacitación sobre el tema. Asegúrese que la confirmación contenga el tema impartido, el nombre de las personas entrenadas y la fecha correspondiente. Western Union monitoreará y evaluará si este ítem ha  sido debidamente remediado.</v>
      </c>
      <c r="AC75" t="s">
        <v>2355</v>
      </c>
      <c r="AD75" t="s">
        <v>2336</v>
      </c>
      <c r="AE75" t="s">
        <v>3181</v>
      </c>
      <c r="AF75" t="s">
        <v>2337</v>
      </c>
      <c r="AG75" t="s">
        <v>3182</v>
      </c>
      <c r="AH75" t="s">
        <v>2338</v>
      </c>
      <c r="AI75" t="s">
        <v>2358</v>
      </c>
      <c r="AJ75" t="s">
        <v>2215</v>
      </c>
      <c r="AK75" t="s">
        <v>1568</v>
      </c>
      <c r="AO75" t="str">
        <f>IndependentGlobal[[#This Row],[Question]]&amp;"."&amp;IndependentGlobal[[#This Row],[Action Type]]&amp;IndependentGlobal[[#This Row],[Country]]</f>
        <v>GS3.RQ2.Response_RequiredCanada</v>
      </c>
      <c r="AP75" t="e">
        <f ca="1">IFERROR(VLOOKUP(IndependentGlobal[[#This Row],[Question]],Independent[#All],13,FALSE),VLOOKUP(IndependentGlobal[[#This Row],[Question]],INDIRECT("Independent_"&amp;'Gen Info'!$E$4&amp;"[#All]"),13,FALSE))</f>
        <v>#REF!</v>
      </c>
      <c r="AQ75" t="str" cm="1">
        <f t="array" ref="AQ75">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tiende visible el certificado de registro de AMF actual.</v>
      </c>
      <c r="AR75" t="s">
        <v>2323</v>
      </c>
      <c r="AV75" t="str" cm="1">
        <f t="array" ref="AV75">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evidencia que la licencia se encuentra en una ubicación visible.</v>
      </c>
      <c r="AW75" t="s">
        <v>3183</v>
      </c>
      <c r="AX75" t="s">
        <v>3174</v>
      </c>
      <c r="AY75" t="s">
        <v>3184</v>
      </c>
      <c r="AZ75" t="s">
        <v>3176</v>
      </c>
      <c r="BA75" t="s">
        <v>3185</v>
      </c>
      <c r="BB75" t="s">
        <v>3178</v>
      </c>
      <c r="BC75" t="s">
        <v>3186</v>
      </c>
      <c r="BD75" t="s">
        <v>2215</v>
      </c>
      <c r="BE75" t="s">
        <v>803</v>
      </c>
      <c r="BF75" t="s">
        <v>2281</v>
      </c>
      <c r="BH75" t="str">
        <f>Independent_MO_OnlyGlobal[[#This Row],[Question]]&amp;"."&amp;Independent_MO_OnlyGlobal[[#This Row],[Action Type]]&amp;Independent_MO_OnlyGlobal[[#This Row],[Country]]</f>
        <v>GS2.GQ8.Suspension</v>
      </c>
      <c r="BI75">
        <f ca="1">IFERROR(VLOOKUP(Independent_MO_OnlyGlobal[[#This Row],[Question]],Independent_MO_Only[#All],13,FALSE),VLOOKUP(Independent_MO_OnlyGlobal[[#This Row],[Question]],INDIRECT("Independent_MO_Only"&amp;'Gen Info'!$E$4&amp;"[#All]"),13,FALSE))</f>
        <v>0</v>
      </c>
      <c r="BJ75" cm="1">
        <f t="array" ref="BJ75">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75" t="s">
        <v>2213</v>
      </c>
      <c r="BO75" cm="1">
        <f t="array" ref="BO75">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75" t="s">
        <v>3187</v>
      </c>
      <c r="BW75" t="s">
        <v>2222</v>
      </c>
      <c r="BX75" t="s">
        <v>1917</v>
      </c>
    </row>
    <row r="76" spans="2:77" hidden="1">
      <c r="B76" s="353" t="str">
        <f>Network_AgentGlobal[[#This Row],[Question]]&amp;"."&amp;Network_AgentGlobal[[#This Row],[Action Type]]&amp;Network_AgentGlobal[[#This Row],[Country]]</f>
        <v>GS4.RQ2.Resolved_OnsiteUnited_States</v>
      </c>
      <c r="C76" s="353" t="e">
        <f ca="1">IFERROR(VLOOKUP(Network_AgentGlobal[[#This Row],[Question]],INDIRECT('Gen Info'!$D$4&amp;"[#All]"),13,FALSE),VLOOKUP(Network_AgentGlobal[[#This Row],[Question]],INDIRECT('Gen Info'!$D$4&amp;"_"&amp;'Gen Info'!$E$4&amp;"[#All]"),13,FALSE))</f>
        <v>#REF!</v>
      </c>
      <c r="D76" s="353" t="str" cm="1">
        <f t="array" aca="1" ref="D76"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 xml:space="preserve"> </v>
      </c>
      <c r="E76" s="353" t="s">
        <v>3146</v>
      </c>
      <c r="F76" s="353"/>
      <c r="G76" s="353"/>
      <c r="H76" s="353"/>
      <c r="I76" s="353" t="str" cm="1">
        <f t="array" ref="I76">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No se requiere acción. El agente ha sido entrenado en este tema durante la revisión. Se le notifica a las Oficinas Centrales a través de la carta de hallazgo.</v>
      </c>
      <c r="J76" s="353" t="s">
        <v>2574</v>
      </c>
      <c r="K76" s="353" t="s">
        <v>42</v>
      </c>
      <c r="L76" s="353" t="s">
        <v>2576</v>
      </c>
      <c r="M76" s="353"/>
      <c r="N76" s="353" t="s">
        <v>2578</v>
      </c>
      <c r="O76" s="353"/>
      <c r="P76" s="353" t="s">
        <v>2580</v>
      </c>
      <c r="Q76" s="353" t="s">
        <v>2195</v>
      </c>
      <c r="R76" s="353" t="s">
        <v>688</v>
      </c>
      <c r="S76" s="353" t="s">
        <v>2581</v>
      </c>
      <c r="U76" t="str">
        <f>Master_Agent_HQsGlobal[[#This Row],[Question]]&amp;"."&amp;Master_Agent_HQsGlobal[[#This Row],[Action Type]]&amp;Master_Agent_HQsGlobal[[#This Row],[Country]]</f>
        <v>GS12.RQ1.Resolved_OnsiteUnited_States</v>
      </c>
      <c r="V76" t="e">
        <f ca="1">IFERROR(VLOOKUP(Master_Agent_HQsGlobal[[#This Row],[Question]],Master_Agent_HQs[#All],13,FALSE),VLOOKUP(Master_Agent_HQsGlobal[[#This Row],[Question]],INDIRECT("Master_Agent_HQs"&amp;'Gen Info'!$E$4&amp;"[#All]"),13,FALSE))</f>
        <v>#REF!</v>
      </c>
      <c r="W76" t="str" cm="1">
        <f t="array" ref="W76">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almacena los formularios/recibos de transacciones e informes/documentos regulatorios en un lugar seguro.</v>
      </c>
      <c r="X76" t="s">
        <v>3188</v>
      </c>
      <c r="AA76" s="143"/>
      <c r="AB76" t="str" cm="1">
        <f t="array" ref="AB76">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requiere acción. El agente ha sido debidamente entrenado en este tema durante la revisión.</v>
      </c>
      <c r="AC76" t="s">
        <v>2224</v>
      </c>
      <c r="AD76" t="s">
        <v>3189</v>
      </c>
      <c r="AE76" t="s">
        <v>2262</v>
      </c>
      <c r="AF76" t="s">
        <v>3190</v>
      </c>
      <c r="AG76" t="s">
        <v>2228</v>
      </c>
      <c r="AH76" t="s">
        <v>3191</v>
      </c>
      <c r="AI76" t="s">
        <v>2230</v>
      </c>
      <c r="AJ76" t="s">
        <v>2195</v>
      </c>
      <c r="AK76" t="s">
        <v>991</v>
      </c>
      <c r="AL76" t="s">
        <v>2581</v>
      </c>
      <c r="AO76" t="str">
        <f>IndependentGlobal[[#This Row],[Question]]&amp;"."&amp;IndependentGlobal[[#This Row],[Action Type]]&amp;IndependentGlobal[[#This Row],[Country]]</f>
        <v>GS4.GQ1.Response_Required</v>
      </c>
      <c r="AP76" t="str">
        <f ca="1">IFERROR(VLOOKUP(IndependentGlobal[[#This Row],[Question]],Independent[#All],13,FALSE),VLOOKUP(IndependentGlobal[[#This Row],[Question]],INDIRECT("Independent_"&amp;'Gen Info'!$E$4&amp;"[#All]"),13,FALSE))</f>
        <v>Oficial/Delegado de Cumplimiento</v>
      </c>
      <c r="AQ76" t="str" cm="1">
        <f t="array" ref="AQ76">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tiene un Oficial de Cumplimiento designado para AML/CFT ni Anti-Fraud.</v>
      </c>
      <c r="AR76" t="s">
        <v>3192</v>
      </c>
      <c r="AV76" t="str" cm="1">
        <f t="array" ref="AV76">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evidencia acerca de la asignación del Oficial de Cumplmiento/Delagado de Cumplimiento.</v>
      </c>
      <c r="AW76" t="s">
        <v>2386</v>
      </c>
      <c r="AX76" t="s">
        <v>3193</v>
      </c>
      <c r="AY76" t="s">
        <v>2849</v>
      </c>
      <c r="AZ76" t="s">
        <v>3194</v>
      </c>
      <c r="BA76" t="s">
        <v>2850</v>
      </c>
      <c r="BB76" t="s">
        <v>3195</v>
      </c>
      <c r="BC76" t="s">
        <v>2851</v>
      </c>
      <c r="BD76" t="s">
        <v>2215</v>
      </c>
      <c r="BE76" t="s">
        <v>711</v>
      </c>
      <c r="BH76" t="str">
        <f>Independent_MO_OnlyGlobal[[#This Row],[Question]]&amp;"."&amp;Independent_MO_OnlyGlobal[[#This Row],[Action Type]]&amp;Independent_MO_OnlyGlobal[[#This Row],[Country]]</f>
        <v>GS2.GQ10.Suspension</v>
      </c>
      <c r="BI76">
        <f ca="1">IFERROR(VLOOKUP(Independent_MO_OnlyGlobal[[#This Row],[Question]],Independent_MO_Only[#All],13,FALSE),VLOOKUP(Independent_MO_OnlyGlobal[[#This Row],[Question]],INDIRECT("Independent_MO_Only"&amp;'Gen Info'!$E$4&amp;"[#All]"),13,FALSE))</f>
        <v>0</v>
      </c>
      <c r="BJ76" cm="1">
        <f t="array" ref="BJ76">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76" t="s">
        <v>2874</v>
      </c>
      <c r="BO76" cm="1">
        <f t="array" ref="BO76">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76" t="s">
        <v>3081</v>
      </c>
      <c r="BW76" t="s">
        <v>2222</v>
      </c>
      <c r="BX76" t="s">
        <v>1932</v>
      </c>
    </row>
    <row r="77" spans="2:77" hidden="1">
      <c r="B77" s="353" t="str">
        <f>Network_AgentGlobal[[#This Row],[Question]]&amp;"."&amp;Network_AgentGlobal[[#This Row],[Action Type]]&amp;Network_AgentGlobal[[#This Row],[Country]]</f>
        <v>GS4.RQ3.Response_RequiredUnited_States</v>
      </c>
      <c r="C77" s="353" t="e">
        <f ca="1">IFERROR(VLOOKUP(Network_AgentGlobal[[#This Row],[Question]],INDIRECT('Gen Info'!$D$4&amp;"[#All]"),13,FALSE),VLOOKUP(Network_AgentGlobal[[#This Row],[Question]],INDIRECT('Gen Info'!$D$4&amp;"_"&amp;'Gen Info'!$E$4&amp;"[#All]"),13,FALSE))</f>
        <v>#REF!</v>
      </c>
      <c r="D77" s="353" t="str" cm="1">
        <f t="array" aca="1" ref="D77"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Los operadores no han sido entrenados en la prohibición acerca de transacciones relacionadas a telemercadeo.</v>
      </c>
      <c r="E77" s="353" t="s">
        <v>2573</v>
      </c>
      <c r="F77" s="353"/>
      <c r="G77" s="353"/>
      <c r="H77" s="353"/>
      <c r="I77" s="353" t="str" cm="1">
        <f t="array" ref="I77">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Asegúrese que todos los operadores han sido debidamente entrenados en la prohibición de realizar transferencias relacionadas a telemercadeo. Brinde a Western Union confirmación por escrito de los entrenamientos impartidos en cuanto a este tema. Asegúrese que la confirmación contenga el tema impartido, el nombre de las personas entrenadas y la fecha correspondiente.</v>
      </c>
      <c r="J77" s="353" t="s">
        <v>3196</v>
      </c>
      <c r="K77" s="353" t="s">
        <v>2575</v>
      </c>
      <c r="L77" s="353" t="s">
        <v>3197</v>
      </c>
      <c r="M77" s="353" t="s">
        <v>2577</v>
      </c>
      <c r="N77" s="353" t="s">
        <v>3198</v>
      </c>
      <c r="O77" s="353" t="s">
        <v>2579</v>
      </c>
      <c r="P77" s="353" t="s">
        <v>3199</v>
      </c>
      <c r="Q77" s="353" t="s">
        <v>2215</v>
      </c>
      <c r="R77" s="353" t="s">
        <v>703</v>
      </c>
      <c r="S77" s="353" t="s">
        <v>2581</v>
      </c>
      <c r="U77" t="str">
        <f>Master_Agent_HQsGlobal[[#This Row],[Question]]&amp;"."&amp;Master_Agent_HQsGlobal[[#This Row],[Action Type]]&amp;Master_Agent_HQsGlobal[[#This Row],[Country]]</f>
        <v>GS12.RQ2.Resolved_OnsiteUnited_States</v>
      </c>
      <c r="V77" t="e">
        <f ca="1">IFERROR(VLOOKUP(Master_Agent_HQsGlobal[[#This Row],[Question]],Master_Agent_HQs[#All],13,FALSE),VLOOKUP(Master_Agent_HQsGlobal[[#This Row],[Question]],INDIRECT("Master_Agent_HQs"&amp;'Gen Info'!$E$4&amp;"[#All]"),13,FALSE))</f>
        <v>#REF!</v>
      </c>
      <c r="W77" t="str" cm="1">
        <f t="array" ref="W77">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está documentando los registros de Money Order de forma adecuada.</v>
      </c>
      <c r="X77" t="s">
        <v>2791</v>
      </c>
      <c r="AA77" s="143"/>
      <c r="AB77" t="str" cm="1">
        <f t="array" ref="AB77">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requiere acción. El agente ha sido debidamente entrenado en este tema durante la revisión.</v>
      </c>
      <c r="AC77" t="s">
        <v>2224</v>
      </c>
      <c r="AD77" t="s">
        <v>2953</v>
      </c>
      <c r="AE77" t="s">
        <v>2262</v>
      </c>
      <c r="AF77" t="s">
        <v>2954</v>
      </c>
      <c r="AG77" t="s">
        <v>3200</v>
      </c>
      <c r="AH77" t="s">
        <v>2955</v>
      </c>
      <c r="AI77" t="s">
        <v>2230</v>
      </c>
      <c r="AJ77" t="s">
        <v>2195</v>
      </c>
      <c r="AK77" s="352" t="s">
        <v>1004</v>
      </c>
      <c r="AL77" t="s">
        <v>2581</v>
      </c>
      <c r="AO77" t="str">
        <f>IndependentGlobal[[#This Row],[Question]]&amp;"."&amp;IndependentGlobal[[#This Row],[Action Type]]&amp;IndependentGlobal[[#This Row],[Country]]</f>
        <v>GS4.GQ2.Resolved_Onsite</v>
      </c>
      <c r="AP77" t="str">
        <f ca="1">IFERROR(VLOOKUP(IndependentGlobal[[#This Row],[Question]],Independent[#All],13,FALSE),VLOOKUP(IndependentGlobal[[#This Row],[Question]],INDIRECT("Independent_"&amp;'Gen Info'!$E$4&amp;"[#All]"),13,FALSE))</f>
        <v>Oficial/Delegado de Cumplimiento</v>
      </c>
      <c r="AQ77" t="str" cm="1">
        <f t="array" ref="AQ77">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nombre del Oficial de Cumplimiento del programa de AML/CFT y/o Anti-Fraude, ha cambiado desde la última revisión; sin embargo, Western Union no ha sido notificado.</v>
      </c>
      <c r="AR77" t="s">
        <v>2306</v>
      </c>
      <c r="AV77" t="str" cm="1">
        <f t="array" ref="AV77">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requiere acción. Se ha solicitado al equipo correspondiente la actualización de la información.</v>
      </c>
      <c r="AW77" t="s">
        <v>2307</v>
      </c>
      <c r="AX77" t="s">
        <v>2308</v>
      </c>
      <c r="AY77" t="s">
        <v>2309</v>
      </c>
      <c r="AZ77" t="s">
        <v>2310</v>
      </c>
      <c r="BA77" t="s">
        <v>2311</v>
      </c>
      <c r="BB77" t="s">
        <v>2312</v>
      </c>
      <c r="BC77" t="s">
        <v>2313</v>
      </c>
      <c r="BD77" t="s">
        <v>2195</v>
      </c>
      <c r="BE77" t="s">
        <v>723</v>
      </c>
      <c r="BH77" t="str">
        <f>Independent_MO_OnlyGlobal[[#This Row],[Question]]&amp;"."&amp;Independent_MO_OnlyGlobal[[#This Row],[Action Type]]&amp;Independent_MO_OnlyGlobal[[#This Row],[Country]]</f>
        <v>GS3.GQ1.Suspension</v>
      </c>
      <c r="BI77">
        <f ca="1">IFERROR(VLOOKUP(Independent_MO_OnlyGlobal[[#This Row],[Question]],Independent_MO_Only[#All],13,FALSE),VLOOKUP(Independent_MO_OnlyGlobal[[#This Row],[Question]],INDIRECT("Independent_MO_Only"&amp;'Gen Info'!$E$4&amp;"[#All]"),13,FALSE))</f>
        <v>0</v>
      </c>
      <c r="BJ77" cm="1">
        <f t="array" ref="BJ77">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77" t="s">
        <v>2298</v>
      </c>
      <c r="BO77" cm="1">
        <f t="array" ref="BO77">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77" t="s">
        <v>3201</v>
      </c>
      <c r="BW77" t="s">
        <v>2222</v>
      </c>
      <c r="BX77" t="s">
        <v>661</v>
      </c>
    </row>
    <row r="78" spans="2:77" hidden="1">
      <c r="B78" s="353" t="str">
        <f>Network_AgentGlobal[[#This Row],[Question]]&amp;"."&amp;Network_AgentGlobal[[#This Row],[Action Type]]&amp;Network_AgentGlobal[[#This Row],[Country]]</f>
        <v>GS4.RQ4.Resolved_OnsiteUnited_States</v>
      </c>
      <c r="C78" s="353" t="e">
        <f ca="1">IFERROR(VLOOKUP(Network_AgentGlobal[[#This Row],[Question]],INDIRECT('Gen Info'!$D$4&amp;"[#All]"),13,FALSE),VLOOKUP(Network_AgentGlobal[[#This Row],[Question]],INDIRECT('Gen Info'!$D$4&amp;"_"&amp;'Gen Info'!$E$4&amp;"[#All]"),13,FALSE))</f>
        <v>#REF!</v>
      </c>
      <c r="D78" s="353" t="str" cm="1">
        <f t="array" aca="1" ref="D78"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Los operadores no saben identificar ni responder a casos de abuso financiero a personas mayores.</v>
      </c>
      <c r="E78" s="353" t="s">
        <v>3202</v>
      </c>
      <c r="F78" s="353"/>
      <c r="G78" s="353"/>
      <c r="H78" s="353"/>
      <c r="I78" s="353" t="str" cm="1">
        <f t="array" ref="I78">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No se requiere acción. Se ha enviado al Agente material de capacitación específico sobre este tema. Todos los "FLAs" han recibido realimentación/capacitación sobre cómo identificar y responder a posibles casos de abuso financiero de personas mayores en el transcurso de la revisión.</v>
      </c>
      <c r="J78" s="353" t="s">
        <v>3203</v>
      </c>
      <c r="K78" s="353" t="s">
        <v>3204</v>
      </c>
      <c r="L78" s="353" t="s">
        <v>3205</v>
      </c>
      <c r="M78" s="353" t="s">
        <v>3206</v>
      </c>
      <c r="N78" s="353" t="s">
        <v>3207</v>
      </c>
      <c r="O78" s="353" t="s">
        <v>3208</v>
      </c>
      <c r="P78" s="353" t="s">
        <v>3209</v>
      </c>
      <c r="Q78" s="353" t="s">
        <v>2195</v>
      </c>
      <c r="R78" s="353" t="s">
        <v>719</v>
      </c>
      <c r="S78" s="353" t="s">
        <v>2581</v>
      </c>
      <c r="U78" t="str">
        <f>Master_Agent_HQsGlobal[[#This Row],[Question]]&amp;"."&amp;Master_Agent_HQsGlobal[[#This Row],[Action Type]]&amp;Master_Agent_HQsGlobal[[#This Row],[Country]]</f>
        <v>GS5.RQ1.Resolved_OnsiteUnited_States</v>
      </c>
      <c r="V78" t="e">
        <f ca="1">IFERROR(VLOOKUP(Master_Agent_HQsGlobal[[#This Row],[Question]],Master_Agent_HQs[#All],13,FALSE),VLOOKUP(Master_Agent_HQsGlobal[[#This Row],[Question]],INDIRECT("Master_Agent_HQs"&amp;'Gen Info'!$E$4&amp;"[#All]"),13,FALSE))</f>
        <v>#REF!</v>
      </c>
      <c r="W78" t="str" cm="1">
        <f t="array" ref="W78">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está registrado en el sistema E-Filing de FinCEN.</v>
      </c>
      <c r="X78" t="s">
        <v>2603</v>
      </c>
      <c r="AA78" s="143"/>
      <c r="AB78" t="str" cm="1">
        <f t="array" ref="AB78">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Se le ha asistido al agente completando su registro de BSA E-Filing durante el proceso de revisión.</v>
      </c>
      <c r="AC78" t="s">
        <v>3210</v>
      </c>
      <c r="AD78" t="s">
        <v>3211</v>
      </c>
      <c r="AE78" t="s">
        <v>3212</v>
      </c>
      <c r="AF78" t="s">
        <v>3213</v>
      </c>
      <c r="AG78" t="s">
        <v>3214</v>
      </c>
      <c r="AH78" t="s">
        <v>3215</v>
      </c>
      <c r="AI78" t="s">
        <v>3216</v>
      </c>
      <c r="AJ78" t="s">
        <v>2195</v>
      </c>
      <c r="AK78" t="s">
        <v>823</v>
      </c>
      <c r="AL78" t="s">
        <v>2581</v>
      </c>
      <c r="AO78" t="str">
        <f>IndependentGlobal[[#This Row],[Question]]&amp;"."&amp;IndependentGlobal[[#This Row],[Action Type]]&amp;IndependentGlobal[[#This Row],[Country]]</f>
        <v>GS4.GQ2.Response_Required</v>
      </c>
      <c r="AP78" t="str">
        <f ca="1">IFERROR(VLOOKUP(IndependentGlobal[[#This Row],[Question]],Independent[#All],13,FALSE),VLOOKUP(IndependentGlobal[[#This Row],[Question]],INDIRECT("Independent_"&amp;'Gen Info'!$E$4&amp;"[#All]"),13,FALSE))</f>
        <v>Oficial/Delegado de Cumplimiento</v>
      </c>
      <c r="AQ78" t="str" cm="1">
        <f t="array" ref="AQ78">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nombre del Oficial de Cumplimiento del programa de AML/CFT y/o Anti-Fraude, ha cambiado desde la última revisión; sin embargo, Western Union no ha sido notificado.</v>
      </c>
      <c r="AR78" t="s">
        <v>2306</v>
      </c>
      <c r="AV78" t="str" cm="1">
        <f t="array" ref="AV78">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evidencia acerca de la asignación del Oficial de Cumplmiento/Delagado de Cumplimiento.</v>
      </c>
      <c r="AW78" t="s">
        <v>2386</v>
      </c>
      <c r="AX78" t="s">
        <v>2308</v>
      </c>
      <c r="AY78" t="s">
        <v>2849</v>
      </c>
      <c r="AZ78" t="s">
        <v>2310</v>
      </c>
      <c r="BA78" t="s">
        <v>2850</v>
      </c>
      <c r="BB78" t="s">
        <v>2312</v>
      </c>
      <c r="BC78" t="s">
        <v>2851</v>
      </c>
      <c r="BD78" t="s">
        <v>2215</v>
      </c>
      <c r="BE78" t="s">
        <v>723</v>
      </c>
      <c r="BH78" t="str">
        <f>Independent_MO_OnlyGlobal[[#This Row],[Question]]&amp;"."&amp;Independent_MO_OnlyGlobal[[#This Row],[Action Type]]&amp;Independent_MO_OnlyGlobal[[#This Row],[Country]]</f>
        <v>GS3.GQ3.Suspension</v>
      </c>
      <c r="BI78">
        <f ca="1">IFERROR(VLOOKUP(Independent_MO_OnlyGlobal[[#This Row],[Question]],Independent_MO_Only[#All],13,FALSE),VLOOKUP(Independent_MO_OnlyGlobal[[#This Row],[Question]],INDIRECT("Independent_MO_Only"&amp;'Gen Info'!$E$4&amp;"[#All]"),13,FALSE))</f>
        <v>0</v>
      </c>
      <c r="BJ78" cm="1">
        <f t="array" ref="BJ78">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78" t="s">
        <v>3217</v>
      </c>
      <c r="BO78" cm="1">
        <f t="array" ref="BO78">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78" t="s">
        <v>3218</v>
      </c>
      <c r="BW78" t="s">
        <v>2222</v>
      </c>
      <c r="BX78" t="s">
        <v>693</v>
      </c>
    </row>
    <row r="79" spans="2:77">
      <c r="B79" s="353" t="str">
        <f>Network_AgentGlobal[[#This Row],[Question]]&amp;"."&amp;Network_AgentGlobal[[#This Row],[Action Type]]&amp;Network_AgentGlobal[[#This Row],[Country]]</f>
        <v>GS4.RQ4.Response_RequiredUnited_States</v>
      </c>
      <c r="C79" s="353" t="e">
        <f ca="1">IFERROR(VLOOKUP(Network_AgentGlobal[[#This Row],[Question]],INDIRECT('Gen Info'!$D$4&amp;"[#All]"),13,FALSE),VLOOKUP(Network_AgentGlobal[[#This Row],[Question]],INDIRECT('Gen Info'!$D$4&amp;"_"&amp;'Gen Info'!$E$4&amp;"[#All]"),13,FALSE))</f>
        <v>#REF!</v>
      </c>
      <c r="D79" s="353" t="str" cm="1">
        <f t="array" aca="1" ref="D79"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Los operadores no saben identificar ni responder a casos de abuso financiero a personas mayores.</v>
      </c>
      <c r="E79" s="353" t="s">
        <v>3202</v>
      </c>
      <c r="F79" s="353"/>
      <c r="G79" s="353"/>
      <c r="H79" s="353"/>
      <c r="I79" s="353" t="str" cm="1">
        <f t="array" ref="I79">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Brinde a Western Union evidencia o confirmación que todos los operadores han sido entrenados en el tema. Asegúrese que la confirmación incluya el tema sobre cómo identificar y responder a casos de abuso financiero de personas mayores, el nombre de las personas que asistieron a la sesión y la fecha de la capacitación.</v>
      </c>
      <c r="J79" s="353" t="s">
        <v>3219</v>
      </c>
      <c r="K79" s="353" t="s">
        <v>3204</v>
      </c>
      <c r="L79" s="353" t="s">
        <v>3220</v>
      </c>
      <c r="M79" s="353" t="s">
        <v>3206</v>
      </c>
      <c r="N79" s="353" t="s">
        <v>3221</v>
      </c>
      <c r="O79" s="353" t="s">
        <v>3208</v>
      </c>
      <c r="P79" s="353" t="s">
        <v>3222</v>
      </c>
      <c r="Q79" s="353" t="s">
        <v>2215</v>
      </c>
      <c r="R79" s="353" t="s">
        <v>719</v>
      </c>
      <c r="S79" s="353" t="s">
        <v>2581</v>
      </c>
      <c r="U79" t="str">
        <f>Master_Agent_HQsGlobal[[#This Row],[Question]]&amp;"."&amp;Master_Agent_HQsGlobal[[#This Row],[Action Type]]&amp;Master_Agent_HQsGlobal[[#This Row],[Country]]</f>
        <v>GS5.RQ1.Response_RequiredUnited_States</v>
      </c>
      <c r="V79" t="e">
        <f ca="1">IFERROR(VLOOKUP(Master_Agent_HQsGlobal[[#This Row],[Question]],Master_Agent_HQs[#All],13,FALSE),VLOOKUP(Master_Agent_HQsGlobal[[#This Row],[Question]],INDIRECT("Master_Agent_HQs"&amp;'Gen Info'!$E$4&amp;"[#All]"),13,FALSE))</f>
        <v>#REF!</v>
      </c>
      <c r="W79" t="str" cm="1">
        <f t="array" ref="W79">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está registrado en el sistema E-Filing de FinCEN.</v>
      </c>
      <c r="X79" t="s">
        <v>2603</v>
      </c>
      <c r="AA79" s="143"/>
      <c r="AB79" t="str" cm="1">
        <f t="array" ref="AB79">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Proporcione a Western Union una captura de pantalla que muestre que ha iniciado sesión en el sitio web del BSA E-Filing de forma exitosa. Si no puede brindar una captura de pantalla, el correo electrónico de confirmación del BSA será suficiente, pero se prefiere una captura de pantalla.</v>
      </c>
      <c r="AC79" t="s">
        <v>2793</v>
      </c>
      <c r="AD79" t="s">
        <v>3211</v>
      </c>
      <c r="AE79" t="s">
        <v>3223</v>
      </c>
      <c r="AF79" t="s">
        <v>3213</v>
      </c>
      <c r="AG79" t="s">
        <v>3224</v>
      </c>
      <c r="AH79" t="s">
        <v>3215</v>
      </c>
      <c r="AI79" t="s">
        <v>3225</v>
      </c>
      <c r="AJ79" t="s">
        <v>2215</v>
      </c>
      <c r="AK79" t="s">
        <v>823</v>
      </c>
      <c r="AL79" t="s">
        <v>2581</v>
      </c>
      <c r="AO79" t="str">
        <f>IndependentGlobal[[#This Row],[Question]]&amp;"."&amp;IndependentGlobal[[#This Row],[Action Type]]&amp;IndependentGlobal[[#This Row],[Country]]</f>
        <v>GS4.GQ4.Resolved_Onsite</v>
      </c>
      <c r="AP79" t="str">
        <f ca="1">IFERROR(VLOOKUP(IndependentGlobal[[#This Row],[Question]],Independent[#All],13,FALSE),VLOOKUP(IndependentGlobal[[#This Row],[Question]],INDIRECT("Independent_"&amp;'Gen Info'!$E$4&amp;"[#All]"),13,FALSE))</f>
        <v>Oficial/Delegado de Cumplimiento</v>
      </c>
      <c r="AQ79" t="str" cm="1">
        <f t="array" ref="AQ79">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Oficial de Cumplimiento no tiene la experiencia ni el conocimiento adecuado sobre el programa de AML/CFT y Anti-Fraude.</v>
      </c>
      <c r="AR79" t="s">
        <v>2197</v>
      </c>
      <c r="AV79" t="str" cm="1">
        <f t="array" ref="AV79">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requiere acción. Se le ha entrenado y brindado material de apoyo al agente.</v>
      </c>
      <c r="AW79" t="s">
        <v>2198</v>
      </c>
      <c r="AX79" t="s">
        <v>2199</v>
      </c>
      <c r="AY79" t="s">
        <v>2200</v>
      </c>
      <c r="AZ79" t="s">
        <v>2201</v>
      </c>
      <c r="BA79" t="s">
        <v>2202</v>
      </c>
      <c r="BB79" t="s">
        <v>2203</v>
      </c>
      <c r="BC79" t="s">
        <v>2204</v>
      </c>
      <c r="BD79" t="s">
        <v>2195</v>
      </c>
      <c r="BE79" t="s">
        <v>753</v>
      </c>
      <c r="BH79" t="str">
        <f>Independent_MO_OnlyGlobal[[#This Row],[Question]]&amp;"."&amp;Independent_MO_OnlyGlobal[[#This Row],[Action Type]]&amp;Independent_MO_OnlyGlobal[[#This Row],[Country]]</f>
        <v>GS10.GQ3.Suspension</v>
      </c>
      <c r="BI79">
        <f ca="1">IFERROR(VLOOKUP(Independent_MO_OnlyGlobal[[#This Row],[Question]],Independent_MO_Only[#All],13,FALSE),VLOOKUP(Independent_MO_OnlyGlobal[[#This Row],[Question]],INDIRECT("Independent_MO_Only"&amp;'Gen Info'!$E$4&amp;"[#All]"),13,FALSE))</f>
        <v>0</v>
      </c>
      <c r="BJ79" cm="1">
        <f t="array" ref="BJ79">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79" t="s">
        <v>2639</v>
      </c>
      <c r="BO79" cm="1">
        <f t="array" ref="BO79">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79" t="s">
        <v>3226</v>
      </c>
      <c r="BW79" t="s">
        <v>2222</v>
      </c>
      <c r="BX79" t="s">
        <v>1343</v>
      </c>
    </row>
    <row r="80" spans="2:77">
      <c r="B80" s="353" t="str">
        <f>Network_AgentGlobal[[#This Row],[Question]]&amp;"."&amp;Network_AgentGlobal[[#This Row],[Action Type]]&amp;Network_AgentGlobal[[#This Row],[Country]]</f>
        <v>GS5.GQ1.Resolved_OnsiteIndia_FTF</v>
      </c>
      <c r="C80" s="353" t="str">
        <f ca="1">IFERROR(VLOOKUP(Network_AgentGlobal[[#This Row],[Question]],INDIRECT('Gen Info'!$D$4&amp;"[#All]"),13,FALSE),VLOOKUP(Network_AgentGlobal[[#This Row],[Question]],INDIRECT('Gen Info'!$D$4&amp;"_"&amp;'Gen Info'!$E$4&amp;"[#All]"),13,FALSE))</f>
        <v>Requisitos de KYC</v>
      </c>
      <c r="D80" s="353" cm="1">
        <f t="array" aca="1" ref="D80"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80" s="353" t="s">
        <v>3227</v>
      </c>
      <c r="F80" s="353"/>
      <c r="G80" s="353"/>
      <c r="H80" s="353"/>
      <c r="I80" s="353" cm="1">
        <f t="array" ref="I80">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80" s="353" t="s">
        <v>3228</v>
      </c>
      <c r="K80" s="353"/>
      <c r="L80" s="353"/>
      <c r="M80" s="353"/>
      <c r="N80" s="353"/>
      <c r="O80" s="353"/>
      <c r="P80" s="353"/>
      <c r="Q80" s="353" t="s">
        <v>2195</v>
      </c>
      <c r="R80" s="353" t="s">
        <v>797</v>
      </c>
      <c r="S80" s="353" t="s">
        <v>2196</v>
      </c>
      <c r="U80" t="str">
        <f>Master_Agent_HQsGlobal[[#This Row],[Question]]&amp;"."&amp;Master_Agent_HQsGlobal[[#This Row],[Action Type]]&amp;Master_Agent_HQsGlobal[[#This Row],[Country]]</f>
        <v>GS5.RQ2.Response_RequiredUnited_States</v>
      </c>
      <c r="V80" t="e">
        <f ca="1">IFERROR(VLOOKUP(Master_Agent_HQsGlobal[[#This Row],[Question]],Master_Agent_HQs[#All],13,FALSE),VLOOKUP(Master_Agent_HQsGlobal[[#This Row],[Question]],INDIRECT("Master_Agent_HQs"&amp;'Gen Info'!$E$4&amp;"[#All]"),13,FALSE))</f>
        <v>#REF!</v>
      </c>
      <c r="W80" t="str" cm="1">
        <f t="array" ref="W80">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tiene un proceso para informarle a Western Union sobre vendedores sospechosos de telemercadeo.</v>
      </c>
      <c r="X80" t="s">
        <v>3229</v>
      </c>
      <c r="AA80" s="143"/>
      <c r="AB80" t="str" cm="1">
        <f t="array" ref="AB80">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Brinde a Western Union confirmación que cuentan con un proceso claramente comunicado para sus operadores, sub-agentes, administración de agentes o consumidores para denunciar a Western Union los sospechosos de telemercadeo.</v>
      </c>
      <c r="AC80" t="s">
        <v>3230</v>
      </c>
      <c r="AD80" t="s">
        <v>3231</v>
      </c>
      <c r="AE80" t="s">
        <v>3232</v>
      </c>
      <c r="AF80" t="s">
        <v>3233</v>
      </c>
      <c r="AG80" t="s">
        <v>3234</v>
      </c>
      <c r="AH80" t="s">
        <v>3235</v>
      </c>
      <c r="AI80" t="s">
        <v>3236</v>
      </c>
      <c r="AJ80" t="s">
        <v>2215</v>
      </c>
      <c r="AK80" t="s">
        <v>1591</v>
      </c>
      <c r="AL80" t="s">
        <v>2581</v>
      </c>
      <c r="AO80" t="str">
        <f>IndependentGlobal[[#This Row],[Question]]&amp;"."&amp;IndependentGlobal[[#This Row],[Action Type]]&amp;IndependentGlobal[[#This Row],[Country]]</f>
        <v>GS4.GQ5.Resolved_Onsite</v>
      </c>
      <c r="AP80" t="str">
        <f ca="1">IFERROR(VLOOKUP(IndependentGlobal[[#This Row],[Question]],Independent[#All],13,FALSE),VLOOKUP(IndependentGlobal[[#This Row],[Question]],INDIRECT("Independent_"&amp;'Gen Info'!$E$4&amp;"[#All]"),13,FALSE))</f>
        <v>Oficial/Delegado de Cumplimiento</v>
      </c>
      <c r="AQ80" t="str" cm="1">
        <f t="array" ref="AQ80">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Las responsabilidades del Oficial de Cumplimiento en su rol como encargado del programa de cumplimiento no se encuentran debidamente documentadas.</v>
      </c>
      <c r="AR80" t="s">
        <v>2347</v>
      </c>
      <c r="AV80" t="str" cm="1">
        <f t="array" ref="AV80">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requiere acción. Se ha entrenado al agente y se ha obtenido el documento correspondiente con las responsibilidades del Oficial de Cumplimiento.</v>
      </c>
      <c r="AW80" t="s">
        <v>2348</v>
      </c>
      <c r="AX80" t="s">
        <v>2349</v>
      </c>
      <c r="AY80" t="s">
        <v>2350</v>
      </c>
      <c r="AZ80" t="s">
        <v>2351</v>
      </c>
      <c r="BA80" t="s">
        <v>2352</v>
      </c>
      <c r="BB80" t="s">
        <v>2353</v>
      </c>
      <c r="BC80" t="s">
        <v>2354</v>
      </c>
      <c r="BD80" t="s">
        <v>2195</v>
      </c>
      <c r="BE80" t="s">
        <v>761</v>
      </c>
      <c r="BH80" t="str">
        <f>Independent_MO_OnlyGlobal[[#This Row],[Question]]&amp;"."&amp;Independent_MO_OnlyGlobal[[#This Row],[Action Type]]&amp;Independent_MO_OnlyGlobal[[#This Row],[Country]]</f>
        <v>GS2.RQ1.SuspensionCanada</v>
      </c>
      <c r="BI80" t="e">
        <f ca="1">IFERROR(VLOOKUP(Independent_MO_OnlyGlobal[[#This Row],[Question]],Independent_MO_Only[#All],13,FALSE),VLOOKUP(Independent_MO_OnlyGlobal[[#This Row],[Question]],INDIRECT("Independent_MO_Only"&amp;'Gen Info'!$E$4&amp;"[#All]"),13,FALSE))</f>
        <v>#REF!</v>
      </c>
      <c r="BJ80" cm="1">
        <f t="array" ref="BJ80">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80" t="s">
        <v>2629</v>
      </c>
      <c r="BO80" cm="1">
        <f t="array" ref="BO80">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80" t="s">
        <v>3237</v>
      </c>
      <c r="BW80" t="s">
        <v>2222</v>
      </c>
      <c r="BX80" t="s">
        <v>1853</v>
      </c>
      <c r="BY80" t="s">
        <v>2281</v>
      </c>
    </row>
    <row r="81" spans="2:77">
      <c r="B81" s="353" t="str">
        <f>Network_AgentGlobal[[#This Row],[Question]]&amp;"."&amp;Network_AgentGlobal[[#This Row],[Action Type]]&amp;Network_AgentGlobal[[#This Row],[Country]]</f>
        <v>GS5.GQ1.Response_Required</v>
      </c>
      <c r="C81" s="353" t="str">
        <f ca="1">IFERROR(VLOOKUP(Network_AgentGlobal[[#This Row],[Question]],INDIRECT('Gen Info'!$D$4&amp;"[#All]"),13,FALSE),VLOOKUP(Network_AgentGlobal[[#This Row],[Question]],INDIRECT('Gen Info'!$D$4&amp;"_"&amp;'Gen Info'!$E$4&amp;"[#All]"),13,FALSE))</f>
        <v>Requisitos de KYC</v>
      </c>
      <c r="D81" s="353" t="str" cm="1">
        <f t="array" aca="1" ref="D81"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La localidad presenta inconsistencias en la integridad de sus datos.</v>
      </c>
      <c r="E81" s="353" t="s">
        <v>3238</v>
      </c>
      <c r="F81" s="353"/>
      <c r="G81" s="353"/>
      <c r="H81" s="353"/>
      <c r="I81" s="353" t="str" cm="1">
        <f t="array" ref="I81">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Proporcione documentación a Western Union que demuestre que todos los empleados han recibido capacitación sobre el tema. Asegúrese que la confirmación incluya el tema cubierto, el nombre de las personas que asistieron a la sesión y la fecha de la capacitación. Western Union monitoreará y evaluará si este ítem ha  sido debidamente remediado.</v>
      </c>
      <c r="J81" s="353" t="s">
        <v>2355</v>
      </c>
      <c r="K81" s="353" t="s">
        <v>3239</v>
      </c>
      <c r="L81" s="353" t="s">
        <v>2356</v>
      </c>
      <c r="M81" s="353" t="s">
        <v>3240</v>
      </c>
      <c r="N81" s="353" t="s">
        <v>2357</v>
      </c>
      <c r="O81" s="353" t="s">
        <v>3241</v>
      </c>
      <c r="P81" s="353" t="s">
        <v>2358</v>
      </c>
      <c r="Q81" s="353" t="s">
        <v>2215</v>
      </c>
      <c r="R81" s="353" t="s">
        <v>797</v>
      </c>
      <c r="S81" s="353"/>
      <c r="U81" t="str">
        <f>Master_Agent_HQsGlobal[[#This Row],[Question]]&amp;"."&amp;Master_Agent_HQsGlobal[[#This Row],[Action Type]]&amp;Master_Agent_HQsGlobal[[#This Row],[Country]]</f>
        <v>GS11.RQ1.Response_RequiredUnited_States</v>
      </c>
      <c r="V81" t="e">
        <f ca="1">IFERROR(VLOOKUP(Master_Agent_HQsGlobal[[#This Row],[Question]],Master_Agent_HQs[#All],13,FALSE),VLOOKUP(Master_Agent_HQsGlobal[[#This Row],[Question]],INDIRECT("Master_Agent_HQs"&amp;'Gen Info'!$E$4&amp;"[#All]"),13,FALSE))</f>
        <v>#REF!</v>
      </c>
      <c r="W81" t="str" cm="1">
        <f t="array" ref="W81">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está brindando capacitación sobre cómo identificar el posible abuso financiero hacia personas adultas mayores y qué medidas tomar cuando se detecta.</v>
      </c>
      <c r="X81" t="s">
        <v>3242</v>
      </c>
      <c r="AA81" s="143"/>
      <c r="AB81" t="str" cm="1">
        <f t="array" ref="AB81">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Brinde a Western Union documentación que evidencie que todos los empleados han recibido capacitación sobre cómo identificar y responder a posibles casos de abuso financiero hacia personas adultas mayores. Asegúrese que la confirmación contenga el tema impartido, el nombre de las personas entrenadas y la fecha correspondiente.</v>
      </c>
      <c r="AC81" t="s">
        <v>3243</v>
      </c>
      <c r="AD81" t="s">
        <v>3244</v>
      </c>
      <c r="AE81" t="s">
        <v>3245</v>
      </c>
      <c r="AF81" t="s">
        <v>3246</v>
      </c>
      <c r="AG81" t="s">
        <v>3247</v>
      </c>
      <c r="AH81" t="s">
        <v>3248</v>
      </c>
      <c r="AI81" t="s">
        <v>3249</v>
      </c>
      <c r="AJ81" t="s">
        <v>2215</v>
      </c>
      <c r="AK81" t="s">
        <v>1290</v>
      </c>
      <c r="AL81" t="s">
        <v>2581</v>
      </c>
      <c r="AO81" t="str">
        <f>IndependentGlobal[[#This Row],[Question]]&amp;"."&amp;IndependentGlobal[[#This Row],[Action Type]]&amp;IndependentGlobal[[#This Row],[Country]]</f>
        <v>GS4.GQ5.Response_Required</v>
      </c>
      <c r="AP81" t="str">
        <f ca="1">IFERROR(VLOOKUP(IndependentGlobal[[#This Row],[Question]],Independent[#All],13,FALSE),VLOOKUP(IndependentGlobal[[#This Row],[Question]],INDIRECT("Independent_"&amp;'Gen Info'!$E$4&amp;"[#All]"),13,FALSE))</f>
        <v>Oficial/Delegado de Cumplimiento</v>
      </c>
      <c r="AQ81" t="str" cm="1">
        <f t="array" ref="AQ81">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Las responsabilidades del Oficial de Cumplimiento en su rol como encargado del programa de cumplimiento no se encuentran debidamente documentadas.</v>
      </c>
      <c r="AR81" t="s">
        <v>2347</v>
      </c>
      <c r="AV81" t="str" cm="1">
        <f t="array" ref="AV81">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Brindar evidencia a Western Union sobre las responsabilidades documentadas del Oficial de Cumplimiento</v>
      </c>
      <c r="AW81" t="s">
        <v>2870</v>
      </c>
      <c r="AX81" t="s">
        <v>2349</v>
      </c>
      <c r="AY81" t="s">
        <v>2871</v>
      </c>
      <c r="AZ81" t="s">
        <v>2351</v>
      </c>
      <c r="BA81" t="s">
        <v>2872</v>
      </c>
      <c r="BB81" t="s">
        <v>2353</v>
      </c>
      <c r="BC81" t="s">
        <v>2873</v>
      </c>
      <c r="BD81" t="s">
        <v>2215</v>
      </c>
      <c r="BE81" t="s">
        <v>761</v>
      </c>
      <c r="BH81" t="str">
        <f>Independent_MO_OnlyGlobal[[#This Row],[Question]]&amp;"."&amp;Independent_MO_OnlyGlobal[[#This Row],[Action Type]]&amp;Independent_MO_OnlyGlobal[[#This Row],[Country]]</f>
        <v>GS2.RQ2.SuspensionCanada</v>
      </c>
      <c r="BI81" t="e">
        <f ca="1">IFERROR(VLOOKUP(Independent_MO_OnlyGlobal[[#This Row],[Question]],Independent_MO_Only[#All],13,FALSE),VLOOKUP(Independent_MO_OnlyGlobal[[#This Row],[Question]],INDIRECT("Independent_MO_Only"&amp;'Gen Info'!$E$4&amp;"[#All]"),13,FALSE))</f>
        <v>#REF!</v>
      </c>
      <c r="BJ81" cm="1">
        <f t="array" ref="BJ81">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81" t="s">
        <v>2646</v>
      </c>
      <c r="BO81" cm="1">
        <f t="array" ref="BO81">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81" t="s">
        <v>3237</v>
      </c>
      <c r="BW81" t="s">
        <v>2222</v>
      </c>
      <c r="BX81" t="s">
        <v>1928</v>
      </c>
      <c r="BY81" t="s">
        <v>2281</v>
      </c>
    </row>
    <row r="82" spans="2:77">
      <c r="B82" s="353" t="str">
        <f>Network_AgentGlobal[[#This Row],[Question]]&amp;"."&amp;Network_AgentGlobal[[#This Row],[Action Type]]&amp;Network_AgentGlobal[[#This Row],[Country]]</f>
        <v>GS5.GQ1.Response_RequiredIndia_FTF</v>
      </c>
      <c r="C82" s="353" t="str">
        <f ca="1">IFERROR(VLOOKUP(Network_AgentGlobal[[#This Row],[Question]],INDIRECT('Gen Info'!$D$4&amp;"[#All]"),13,FALSE),VLOOKUP(Network_AgentGlobal[[#This Row],[Question]],INDIRECT('Gen Info'!$D$4&amp;"_"&amp;'Gen Info'!$E$4&amp;"[#All]"),13,FALSE))</f>
        <v>Requisitos de KYC</v>
      </c>
      <c r="D82" s="353" cm="1">
        <f t="array" aca="1" ref="D82"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82" s="353" t="s">
        <v>3227</v>
      </c>
      <c r="F82" s="353"/>
      <c r="G82" s="353"/>
      <c r="H82" s="353"/>
      <c r="I82" s="353" cm="1">
        <f t="array" ref="I82">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82" s="353" t="s">
        <v>3075</v>
      </c>
      <c r="K82" s="353"/>
      <c r="L82" s="353"/>
      <c r="M82" s="353"/>
      <c r="N82" s="353"/>
      <c r="O82" s="353"/>
      <c r="P82" s="353"/>
      <c r="Q82" s="353" t="s">
        <v>2215</v>
      </c>
      <c r="R82" s="353" t="s">
        <v>797</v>
      </c>
      <c r="S82" s="353" t="s">
        <v>2196</v>
      </c>
      <c r="U82" t="str">
        <f>Master_Agent_HQsGlobal[[#This Row],[Question]]&amp;"."&amp;Master_Agent_HQsGlobal[[#This Row],[Action Type]]&amp;Master_Agent_HQsGlobal[[#This Row],[Country]]</f>
        <v>GS12.RQ3.Response_RequiredUnited_States</v>
      </c>
      <c r="V82" t="e">
        <f ca="1">IFERROR(VLOOKUP(Master_Agent_HQsGlobal[[#This Row],[Question]],Master_Agent_HQs[#All],13,FALSE),VLOOKUP(Master_Agent_HQsGlobal[[#This Row],[Question]],INDIRECT("Master_Agent_HQs"&amp;'Gen Info'!$E$4&amp;"[#All]"),13,FALSE))</f>
        <v>#REF!</v>
      </c>
      <c r="W82" t="str" cm="1">
        <f t="array" ref="W82">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está cumpliendo con los requerimientos de conservación/retención de OFAC.</v>
      </c>
      <c r="X82" t="s">
        <v>2971</v>
      </c>
      <c r="AA82" s="143"/>
      <c r="AB82" t="str" cm="1">
        <f t="array" ref="AB82">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Brinde a Western Union evidencia de capacitación y una descripción de las medidas tomadas para asegurar el cumplimiento de este tema. Ambas medidas pueden ser brindadas en una misma comunicación (carta o correo electrónico) o en documentos separados.</v>
      </c>
      <c r="AC82" t="s">
        <v>2972</v>
      </c>
      <c r="AD82" t="s">
        <v>2973</v>
      </c>
      <c r="AE82" t="s">
        <v>2974</v>
      </c>
      <c r="AF82" t="s">
        <v>2975</v>
      </c>
      <c r="AG82" t="s">
        <v>2976</v>
      </c>
      <c r="AH82" t="s">
        <v>2977</v>
      </c>
      <c r="AI82" t="s">
        <v>2978</v>
      </c>
      <c r="AJ82" t="s">
        <v>2215</v>
      </c>
      <c r="AK82" t="s">
        <v>1020</v>
      </c>
      <c r="AL82" t="s">
        <v>2581</v>
      </c>
      <c r="AO82" t="str">
        <f>IndependentGlobal[[#This Row],[Question]]&amp;"."&amp;IndependentGlobal[[#This Row],[Action Type]]&amp;IndependentGlobal[[#This Row],[Country]]</f>
        <v>GS5.GQ1.Resolved_Onsite</v>
      </c>
      <c r="AP82" t="str">
        <f ca="1">IFERROR(VLOOKUP(IndependentGlobal[[#This Row],[Question]],Independent[#All],13,FALSE),VLOOKUP(IndependentGlobal[[#This Row],[Question]],INDIRECT("Independent_"&amp;'Gen Info'!$E$4&amp;"[#All]"),13,FALSE))</f>
        <v>Políticas y Procedimientos</v>
      </c>
      <c r="AQ82" t="str" cm="1">
        <f t="array" ref="AQ82">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tiene políiticas de cumplimiento de AML/CFT debidamente documentadas.</v>
      </c>
      <c r="AR82" t="s">
        <v>2369</v>
      </c>
      <c r="AV82" t="str" cm="1">
        <f t="array" ref="AV82">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 xml:space="preserve">No se requiere acción. Se ha obtenido el documento correspondiente con las Políticas y Procedimientos del programa de AML/CFT. </v>
      </c>
      <c r="AW82" t="s">
        <v>2370</v>
      </c>
      <c r="AX82" t="s">
        <v>2371</v>
      </c>
      <c r="AY82" t="s">
        <v>2372</v>
      </c>
      <c r="AZ82" t="s">
        <v>2373</v>
      </c>
      <c r="BA82" t="s">
        <v>2374</v>
      </c>
      <c r="BB82" t="s">
        <v>2375</v>
      </c>
      <c r="BC82" t="s">
        <v>2376</v>
      </c>
      <c r="BD82" t="s">
        <v>2195</v>
      </c>
      <c r="BE82" t="s">
        <v>797</v>
      </c>
      <c r="BH82" t="str">
        <f>Independent_MO_OnlyGlobal[[#This Row],[Question]]&amp;"."&amp;Independent_MO_OnlyGlobal[[#This Row],[Action Type]]&amp;Independent_MO_OnlyGlobal[[#This Row],[Country]]</f>
        <v>GS2.RQ3.Resolved_OnsiteCanada</v>
      </c>
      <c r="BI82" t="e">
        <f ca="1">IFERROR(VLOOKUP(Independent_MO_OnlyGlobal[[#This Row],[Question]],Independent_MO_Only[#All],13,FALSE),VLOOKUP(Independent_MO_OnlyGlobal[[#This Row],[Question]],INDIRECT("Independent_MO_Only"&amp;'Gen Info'!$E$4&amp;"[#All]"),13,FALSE))</f>
        <v>#REF!</v>
      </c>
      <c r="BJ82" cm="1">
        <f t="array" ref="BJ82">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82" t="s">
        <v>2767</v>
      </c>
      <c r="BO82" cm="1">
        <f t="array" ref="BO82">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82" t="s">
        <v>3250</v>
      </c>
      <c r="BW82" t="s">
        <v>2195</v>
      </c>
      <c r="BX82" t="s">
        <v>1935</v>
      </c>
      <c r="BY82" t="s">
        <v>2281</v>
      </c>
    </row>
    <row r="83" spans="2:77" hidden="1">
      <c r="B83" s="353" t="str">
        <f>Network_AgentGlobal[[#This Row],[Question]]&amp;"."&amp;Network_AgentGlobal[[#This Row],[Action Type]]&amp;Network_AgentGlobal[[#This Row],[Country]]</f>
        <v>GS5.GQ2.Resolved_OnsiteIndia_FTF</v>
      </c>
      <c r="C83" s="353">
        <f ca="1">IFERROR(VLOOKUP(Network_AgentGlobal[[#This Row],[Question]],INDIRECT('Gen Info'!$D$4&amp;"[#All]"),13,FALSE),VLOOKUP(Network_AgentGlobal[[#This Row],[Question]],INDIRECT('Gen Info'!$D$4&amp;"_"&amp;'Gen Info'!$E$4&amp;"[#All]"),13,FALSE))</f>
        <v>0</v>
      </c>
      <c r="D83" s="353" cm="1">
        <f t="array" aca="1" ref="D83"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83" s="353" t="s">
        <v>2732</v>
      </c>
      <c r="F83" s="353"/>
      <c r="G83" s="353"/>
      <c r="H83" s="353"/>
      <c r="I83" s="353" cm="1">
        <f t="array" ref="I83">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83" s="353" t="s">
        <v>3228</v>
      </c>
      <c r="K83" s="353"/>
      <c r="L83" s="353"/>
      <c r="M83" s="353"/>
      <c r="N83" s="353"/>
      <c r="O83" s="353"/>
      <c r="P83" s="353"/>
      <c r="Q83" s="353" t="s">
        <v>2195</v>
      </c>
      <c r="R83" s="353" t="s">
        <v>807</v>
      </c>
      <c r="S83" s="353" t="s">
        <v>2196</v>
      </c>
      <c r="U83" t="str">
        <f>Master_Agent_HQsGlobal[[#This Row],[Question]]&amp;"."&amp;Master_Agent_HQsGlobal[[#This Row],[Action Type]]&amp;Master_Agent_HQsGlobal[[#This Row],[Country]]</f>
        <v>GS1.RQ1.Resolved_OnsiteCanada</v>
      </c>
      <c r="V83" t="e">
        <f ca="1">IFERROR(VLOOKUP(Master_Agent_HQsGlobal[[#This Row],[Question]],Master_Agent_HQs[#All],13,FALSE),VLOOKUP(Master_Agent_HQsGlobal[[#This Row],[Question]],INDIRECT("Master_Agent_HQs"&amp;'Gen Info'!$E$4&amp;"[#All]"),13,FALSE))</f>
        <v>#REF!</v>
      </c>
      <c r="W83" t="str" cm="1">
        <f t="array" ref="W83">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está informando a WU sobre cambios en la empresa o información relacionada a los propietarios, el registro y/o la administración del Agente.</v>
      </c>
      <c r="X83" t="s">
        <v>3163</v>
      </c>
      <c r="AA83" s="143"/>
      <c r="AB83" t="str" cm="1">
        <f t="array" ref="AB83">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requiere acción. La documentación requerida para la actualización respectiva se recopiló durante la revisión.</v>
      </c>
      <c r="AC83" t="s">
        <v>3164</v>
      </c>
      <c r="AD83" t="s">
        <v>3165</v>
      </c>
      <c r="AE83" t="s">
        <v>3166</v>
      </c>
      <c r="AF83" t="s">
        <v>3167</v>
      </c>
      <c r="AG83" t="s">
        <v>3168</v>
      </c>
      <c r="AH83" t="s">
        <v>3169</v>
      </c>
      <c r="AI83" t="s">
        <v>3170</v>
      </c>
      <c r="AJ83" t="s">
        <v>2195</v>
      </c>
      <c r="AK83" t="s">
        <v>1645</v>
      </c>
      <c r="AL83" t="s">
        <v>2281</v>
      </c>
      <c r="AO83" t="str">
        <f>IndependentGlobal[[#This Row],[Question]]&amp;"."&amp;IndependentGlobal[[#This Row],[Action Type]]&amp;IndependentGlobal[[#This Row],[Country]]</f>
        <v>GS5.GQ1.Response_Required</v>
      </c>
      <c r="AP83" t="str">
        <f ca="1">IFERROR(VLOOKUP(IndependentGlobal[[#This Row],[Question]],Independent[#All],13,FALSE),VLOOKUP(IndependentGlobal[[#This Row],[Question]],INDIRECT("Independent_"&amp;'Gen Info'!$E$4&amp;"[#All]"),13,FALSE))</f>
        <v>Políticas y Procedimientos</v>
      </c>
      <c r="AQ83" t="str" cm="1">
        <f t="array" ref="AQ83">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tiene políiticas de cumplimiento de AML/CFT debidamente documentadas.</v>
      </c>
      <c r="AR83" t="s">
        <v>2369</v>
      </c>
      <c r="AV83" t="str" cm="1">
        <f t="array" ref="AV83">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Brindar a Western Union copia o evidencia de las Políticas y Procedimientos del programa de AML/CFT junto con el reconocimiento del responsable de cumplimiento.</v>
      </c>
      <c r="AW83" t="s">
        <v>2877</v>
      </c>
      <c r="AX83" t="s">
        <v>2371</v>
      </c>
      <c r="AY83" t="s">
        <v>2878</v>
      </c>
      <c r="AZ83" t="s">
        <v>2373</v>
      </c>
      <c r="BA83" t="s">
        <v>2879</v>
      </c>
      <c r="BB83" t="s">
        <v>2375</v>
      </c>
      <c r="BC83" t="s">
        <v>2880</v>
      </c>
      <c r="BD83" t="s">
        <v>2215</v>
      </c>
      <c r="BE83" t="s">
        <v>797</v>
      </c>
      <c r="BH83" t="str">
        <f>Independent_MO_OnlyGlobal[[#This Row],[Question]]&amp;"."&amp;Independent_MO_OnlyGlobal[[#This Row],[Action Type]]&amp;Independent_MO_OnlyGlobal[[#This Row],[Country]]</f>
        <v>GS2.RQ4.SuspensionCanada</v>
      </c>
      <c r="BI83" t="e">
        <f ca="1">IFERROR(VLOOKUP(Independent_MO_OnlyGlobal[[#This Row],[Question]],Independent_MO_Only[#All],13,FALSE),VLOOKUP(Independent_MO_OnlyGlobal[[#This Row],[Question]],INDIRECT("Independent_MO_Only"&amp;'Gen Info'!$E$4&amp;"[#All]"),13,FALSE))</f>
        <v>#REF!</v>
      </c>
      <c r="BJ83" cm="1">
        <f t="array" ref="BJ83">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83" t="s">
        <v>3251</v>
      </c>
      <c r="BO83" cm="1">
        <f t="array" ref="BO83">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83" t="s">
        <v>3252</v>
      </c>
      <c r="BW83" t="s">
        <v>2222</v>
      </c>
      <c r="BX83" t="s">
        <v>1944</v>
      </c>
      <c r="BY83" t="s">
        <v>2281</v>
      </c>
    </row>
    <row r="84" spans="2:77">
      <c r="B84" s="353" t="str">
        <f>Network_AgentGlobal[[#This Row],[Question]]&amp;"."&amp;Network_AgentGlobal[[#This Row],[Action Type]]&amp;Network_AgentGlobal[[#This Row],[Country]]</f>
        <v>GS5.GQ2.Response_RequiredIndia_FTF</v>
      </c>
      <c r="C84" s="353">
        <f ca="1">IFERROR(VLOOKUP(Network_AgentGlobal[[#This Row],[Question]],INDIRECT('Gen Info'!$D$4&amp;"[#All]"),13,FALSE),VLOOKUP(Network_AgentGlobal[[#This Row],[Question]],INDIRECT('Gen Info'!$D$4&amp;"_"&amp;'Gen Info'!$E$4&amp;"[#All]"),13,FALSE))</f>
        <v>0</v>
      </c>
      <c r="D84" s="353" cm="1">
        <f t="array" aca="1" ref="D84"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84" s="353" t="s">
        <v>2732</v>
      </c>
      <c r="F84" s="353"/>
      <c r="G84" s="353"/>
      <c r="H84" s="353"/>
      <c r="I84" s="353" cm="1">
        <f t="array" ref="I84">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84" s="353" t="s">
        <v>3075</v>
      </c>
      <c r="K84" s="353"/>
      <c r="L84" s="353"/>
      <c r="M84" s="353"/>
      <c r="N84" s="353"/>
      <c r="O84" s="353"/>
      <c r="P84" s="353"/>
      <c r="Q84" s="353" t="s">
        <v>2215</v>
      </c>
      <c r="R84" s="353" t="s">
        <v>807</v>
      </c>
      <c r="S84" s="353" t="s">
        <v>2196</v>
      </c>
      <c r="U84" t="str">
        <f>Master_Agent_HQsGlobal[[#This Row],[Question]]&amp;"."&amp;Master_Agent_HQsGlobal[[#This Row],[Action Type]]&amp;Master_Agent_HQsGlobal[[#This Row],[Country]]</f>
        <v>GS11.GQ4.Response_Required</v>
      </c>
      <c r="V84" t="str">
        <f ca="1">IFERROR(VLOOKUP(Master_Agent_HQsGlobal[[#This Row],[Question]],Master_Agent_HQs[#All],13,FALSE),VLOOKUP(Master_Agent_HQsGlobal[[#This Row],[Question]],INDIRECT("Master_Agent_HQs"&amp;'Gen Info'!$E$4&amp;"[#All]"),13,FALSE))</f>
        <v>Protección del Consumidor</v>
      </c>
      <c r="W84" t="str" cm="1">
        <f t="array" ref="W84">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cuenta con un programa completo/efectivo de Protección al Consumidor.</v>
      </c>
      <c r="X84" t="s">
        <v>3253</v>
      </c>
      <c r="AA84" s="143"/>
      <c r="AB84" t="str" cm="1">
        <f t="array" ref="AB84">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Brinde a Western Union documentación actualizada del programa de Protección al Consumidor.</v>
      </c>
      <c r="AC84" t="s">
        <v>3254</v>
      </c>
      <c r="AD84" t="s">
        <v>3255</v>
      </c>
      <c r="AE84" t="s">
        <v>3256</v>
      </c>
      <c r="AF84" s="97" t="s">
        <v>2264</v>
      </c>
      <c r="AG84" s="97" t="s">
        <v>2264</v>
      </c>
      <c r="AH84" s="97" t="s">
        <v>2264</v>
      </c>
      <c r="AI84" s="97" t="s">
        <v>2264</v>
      </c>
      <c r="AJ84" t="s">
        <v>2215</v>
      </c>
      <c r="AK84" t="s">
        <v>1264</v>
      </c>
      <c r="AO84" t="str">
        <f>IndependentGlobal[[#This Row],[Question]]&amp;"."&amp;IndependentGlobal[[#This Row],[Action Type]]&amp;IndependentGlobal[[#This Row],[Country]]</f>
        <v>GS5.GQ2.Resolved_Onsite</v>
      </c>
      <c r="AP84" t="str">
        <f ca="1">IFERROR(VLOOKUP(IndependentGlobal[[#This Row],[Question]],Independent[#All],13,FALSE),VLOOKUP(IndependentGlobal[[#This Row],[Question]],INDIRECT("Independent_"&amp;'Gen Info'!$E$4&amp;"[#All]"),13,FALSE))</f>
        <v>Políticas y Procedimientos</v>
      </c>
      <c r="AQ84" t="str" cm="1">
        <f t="array" ref="AQ84">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Las Políticas y Procedimientos de AML/CFT, estan incompletas.</v>
      </c>
      <c r="AR84" t="s">
        <v>2392</v>
      </c>
      <c r="AV84" t="str" cm="1">
        <f t="array" ref="AV84">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 xml:space="preserve">No se requiere acción. Se ha obtenido el documento completo con las Políticas y Procedimientos del programa de AML/CFT. </v>
      </c>
      <c r="AW84" t="s">
        <v>2393</v>
      </c>
      <c r="AX84" t="s">
        <v>2394</v>
      </c>
      <c r="AY84" t="s">
        <v>2395</v>
      </c>
      <c r="AZ84" t="s">
        <v>2396</v>
      </c>
      <c r="BA84" t="s">
        <v>2397</v>
      </c>
      <c r="BB84" t="s">
        <v>2398</v>
      </c>
      <c r="BC84" t="s">
        <v>2399</v>
      </c>
      <c r="BD84" t="s">
        <v>2195</v>
      </c>
      <c r="BE84" t="s">
        <v>807</v>
      </c>
      <c r="BH84" t="str">
        <f>Independent_MO_OnlyGlobal[[#This Row],[Question]]&amp;"."&amp;Independent_MO_OnlyGlobal[[#This Row],[Action Type]]&amp;Independent_MO_OnlyGlobal[[#This Row],[Country]]</f>
        <v>GS2.RQ5.Resolved_OnsiteCanada</v>
      </c>
      <c r="BI84" t="e">
        <f ca="1">IFERROR(VLOOKUP(Independent_MO_OnlyGlobal[[#This Row],[Question]],Independent_MO_Only[#All],13,FALSE),VLOOKUP(Independent_MO_OnlyGlobal[[#This Row],[Question]],INDIRECT("Independent_MO_Only"&amp;'Gen Info'!$E$4&amp;"[#All]"),13,FALSE))</f>
        <v>#REF!</v>
      </c>
      <c r="BJ84" cm="1">
        <f t="array" ref="BJ84">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84" t="s">
        <v>3257</v>
      </c>
      <c r="BO84" cm="1">
        <f t="array" ref="BO84">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84" t="s">
        <v>3258</v>
      </c>
      <c r="BW84" t="s">
        <v>2195</v>
      </c>
      <c r="BX84" t="s">
        <v>1953</v>
      </c>
      <c r="BY84" t="s">
        <v>2281</v>
      </c>
    </row>
    <row r="85" spans="2:77">
      <c r="B85" s="353" t="str">
        <f>Network_AgentGlobal[[#This Row],[Question]]&amp;"."&amp;Network_AgentGlobal[[#This Row],[Action Type]]&amp;Network_AgentGlobal[[#This Row],[Country]]</f>
        <v>GS5.GQ3.Resolved_Onsite</v>
      </c>
      <c r="C85" s="353" t="str">
        <f ca="1">IFERROR(VLOOKUP(Network_AgentGlobal[[#This Row],[Question]],INDIRECT('Gen Info'!$D$4&amp;"[#All]"),13,FALSE),VLOOKUP(Network_AgentGlobal[[#This Row],[Question]],INDIRECT('Gen Info'!$D$4&amp;"_"&amp;'Gen Info'!$E$4&amp;"[#All]"),13,FALSE))</f>
        <v>Requisitos de KYC</v>
      </c>
      <c r="D85" s="353" t="str" cm="1">
        <f t="array" aca="1" ref="D85"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Los operadores desconocen los tipos de identificación aceptados para las transferencias de Western Union.</v>
      </c>
      <c r="E85" s="353" t="s">
        <v>3259</v>
      </c>
      <c r="F85" s="353"/>
      <c r="G85" s="353"/>
      <c r="H85" s="353"/>
      <c r="I85" s="353" t="str" cm="1">
        <f t="array" ref="I85">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No se requiere acción. Se ha enviado al Agente material de capacitación específico sobre este tema. Todos los "FLAs" han recibido realimentación/capacitación sobre este tema en el transcurso de la revisión.</v>
      </c>
      <c r="J85" s="353" t="s">
        <v>2362</v>
      </c>
      <c r="K85" s="353" t="s">
        <v>2379</v>
      </c>
      <c r="L85" s="353" t="s">
        <v>2824</v>
      </c>
      <c r="M85" s="353" t="s">
        <v>2381</v>
      </c>
      <c r="N85" s="353" t="s">
        <v>2826</v>
      </c>
      <c r="O85" s="353" t="s">
        <v>2383</v>
      </c>
      <c r="P85" s="353" t="s">
        <v>2896</v>
      </c>
      <c r="Q85" s="353" t="s">
        <v>2195</v>
      </c>
      <c r="R85" s="353" t="s">
        <v>815</v>
      </c>
      <c r="S85" s="353"/>
      <c r="U85" t="str">
        <f>Master_Agent_HQsGlobal[[#This Row],[Question]]&amp;"."&amp;Master_Agent_HQsGlobal[[#This Row],[Action Type]]&amp;Master_Agent_HQsGlobal[[#This Row],[Country]]</f>
        <v>GS12.GQ1.Response_Required</v>
      </c>
      <c r="V85" t="str">
        <f ca="1">IFERROR(VLOOKUP(Master_Agent_HQsGlobal[[#This Row],[Question]],Master_Agent_HQs[#All],13,FALSE),VLOOKUP(Master_Agent_HQsGlobal[[#This Row],[Question]],INDIRECT("Master_Agent_HQs"&amp;'Gen Info'!$E$4&amp;"[#All]"),13,FALSE))</f>
        <v>Conservación de Registros</v>
      </c>
      <c r="W85" t="str" cm="1">
        <f t="array" ref="W85">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puede confirmar que tiene Políticas y Procedimientos ni puede proporcionar documentación de que está en cumplimiento.</v>
      </c>
      <c r="X85" t="s">
        <v>2260</v>
      </c>
      <c r="AA85" s="143"/>
      <c r="AB85" t="str" cm="1">
        <f t="array" ref="AB85">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Brinde a Western Union evidencia escrita confirmando que las identificaciones de los operadores y de los operadores de los sub-agentes están siendo recolectadas y conservadas.</v>
      </c>
      <c r="AC85" t="s">
        <v>3260</v>
      </c>
      <c r="AD85" t="s">
        <v>2261</v>
      </c>
      <c r="AE85" t="s">
        <v>3261</v>
      </c>
      <c r="AF85" t="s">
        <v>2263</v>
      </c>
      <c r="AG85" t="s">
        <v>3262</v>
      </c>
      <c r="AH85" s="97" t="s">
        <v>2264</v>
      </c>
      <c r="AI85" s="97" t="s">
        <v>2264</v>
      </c>
      <c r="AJ85" t="s">
        <v>2215</v>
      </c>
      <c r="AK85" t="s">
        <v>1425</v>
      </c>
      <c r="AO85" t="str">
        <f>IndependentGlobal[[#This Row],[Question]]&amp;"."&amp;IndependentGlobal[[#This Row],[Action Type]]&amp;IndependentGlobal[[#This Row],[Country]]</f>
        <v>GS5.GQ2.Response_Required</v>
      </c>
      <c r="AP85" t="str">
        <f ca="1">IFERROR(VLOOKUP(IndependentGlobal[[#This Row],[Question]],Independent[#All],13,FALSE),VLOOKUP(IndependentGlobal[[#This Row],[Question]],INDIRECT("Independent_"&amp;'Gen Info'!$E$4&amp;"[#All]"),13,FALSE))</f>
        <v>Políticas y Procedimientos</v>
      </c>
      <c r="AQ85" t="str" cm="1">
        <f t="array" ref="AQ85">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Las Políticas y Procedimientos de AML/CFT, estan incompletas.</v>
      </c>
      <c r="AR85" t="s">
        <v>2392</v>
      </c>
      <c r="AV85" t="str" cm="1">
        <f t="array" ref="AV85">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Brindar a Western Union copia o evidencia de las Políticas y Procedimientos del programa de AML/CFT junto con el reconocimiento del responsable de cumplimiento.</v>
      </c>
      <c r="AW85" t="s">
        <v>2877</v>
      </c>
      <c r="AX85" t="s">
        <v>2394</v>
      </c>
      <c r="AY85" t="s">
        <v>2878</v>
      </c>
      <c r="AZ85" t="s">
        <v>2396</v>
      </c>
      <c r="BA85" t="s">
        <v>2879</v>
      </c>
      <c r="BB85" t="s">
        <v>2398</v>
      </c>
      <c r="BC85" t="s">
        <v>2880</v>
      </c>
      <c r="BD85" t="s">
        <v>2215</v>
      </c>
      <c r="BE85" t="s">
        <v>807</v>
      </c>
      <c r="BH85" t="str">
        <f>Independent_MO_OnlyGlobal[[#This Row],[Question]]&amp;"."&amp;Independent_MO_OnlyGlobal[[#This Row],[Action Type]]&amp;Independent_MO_OnlyGlobal[[#This Row],[Country]]</f>
        <v>GS2.RQ5.Response_RequiredCanada</v>
      </c>
      <c r="BI85" t="e">
        <f ca="1">IFERROR(VLOOKUP(Independent_MO_OnlyGlobal[[#This Row],[Question]],Independent_MO_Only[#All],13,FALSE),VLOOKUP(Independent_MO_OnlyGlobal[[#This Row],[Question]],INDIRECT("Independent_MO_Only"&amp;'Gen Info'!$E$4&amp;"[#All]"),13,FALSE))</f>
        <v>#REF!</v>
      </c>
      <c r="BJ85" cm="1">
        <f t="array" ref="BJ85">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85" t="s">
        <v>3257</v>
      </c>
      <c r="BO85" cm="1">
        <f t="array" ref="BO85">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85" t="s">
        <v>3263</v>
      </c>
      <c r="BW85" t="s">
        <v>2215</v>
      </c>
      <c r="BX85" t="s">
        <v>1953</v>
      </c>
      <c r="BY85" t="s">
        <v>2281</v>
      </c>
    </row>
    <row r="86" spans="2:77" hidden="1">
      <c r="B86" s="353" t="str">
        <f>Network_AgentGlobal[[#This Row],[Question]]&amp;"."&amp;Network_AgentGlobal[[#This Row],[Action Type]]&amp;Network_AgentGlobal[[#This Row],[Country]]</f>
        <v>GS5.GQ3.Response_Required</v>
      </c>
      <c r="C86" s="353" t="str">
        <f ca="1">IFERROR(VLOOKUP(Network_AgentGlobal[[#This Row],[Question]],INDIRECT('Gen Info'!$D$4&amp;"[#All]"),13,FALSE),VLOOKUP(Network_AgentGlobal[[#This Row],[Question]],INDIRECT('Gen Info'!$D$4&amp;"_"&amp;'Gen Info'!$E$4&amp;"[#All]"),13,FALSE))</f>
        <v>Requisitos de KYC</v>
      </c>
      <c r="D86" s="353" t="str" cm="1">
        <f t="array" aca="1" ref="D86"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Los operadores desconocen los tipos de identificación aceptados para las transferencias de Western Union.</v>
      </c>
      <c r="E86" s="353" t="s">
        <v>3259</v>
      </c>
      <c r="F86" s="353"/>
      <c r="G86" s="353"/>
      <c r="H86" s="353"/>
      <c r="I86" s="353" t="str" cm="1">
        <f t="array" ref="I86">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Brinde a Western Union evidencia o confirmación que todos los operadores han sido entrenados en el tema. Asegúrese que la confirmación incluya el tema cubierto, el nombre de las personas que asistieron a la sesión y la fecha de la capacitación.</v>
      </c>
      <c r="J86" s="353" t="s">
        <v>2388</v>
      </c>
      <c r="K86" s="353" t="s">
        <v>2379</v>
      </c>
      <c r="L86" s="353" t="s">
        <v>2389</v>
      </c>
      <c r="M86" s="353" t="s">
        <v>2381</v>
      </c>
      <c r="N86" s="353" t="s">
        <v>2390</v>
      </c>
      <c r="O86" s="353" t="s">
        <v>2383</v>
      </c>
      <c r="P86" s="353" t="s">
        <v>2391</v>
      </c>
      <c r="Q86" s="353" t="s">
        <v>2215</v>
      </c>
      <c r="R86" s="353" t="s">
        <v>815</v>
      </c>
      <c r="S86" s="353"/>
      <c r="U86" t="str">
        <f>Master_Agent_HQsGlobal[[#This Row],[Question]]&amp;"."&amp;Master_Agent_HQsGlobal[[#This Row],[Action Type]]&amp;Master_Agent_HQsGlobal[[#This Row],[Country]]</f>
        <v>GS12.GQ3.Resolved_Onsite</v>
      </c>
      <c r="V86" t="str">
        <f ca="1">IFERROR(VLOOKUP(Master_Agent_HQsGlobal[[#This Row],[Question]],Master_Agent_HQs[#All],13,FALSE),VLOOKUP(Master_Agent_HQsGlobal[[#This Row],[Question]],INDIRECT("Master_Agent_HQs"&amp;'Gen Info'!$E$4&amp;"[#All]"),13,FALSE))</f>
        <v>Conservación de Registros</v>
      </c>
      <c r="W86" t="str" cm="1">
        <f t="array" ref="W86">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desecha de forma segura todos los registros en papel después de alcanzar el período de retención.</v>
      </c>
      <c r="X86" t="s">
        <v>3264</v>
      </c>
      <c r="AA86" s="143"/>
      <c r="AB86" t="str" cm="1">
        <f t="array" ref="AB86">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requiere acción. Se ha enviado al Agente material de capacitación específico sobre este tema. Todos los "FLAs" han recibido realimentación/capacitación sobre este tema en el transcurso de la revisión.</v>
      </c>
      <c r="AC86" t="s">
        <v>2362</v>
      </c>
      <c r="AD86" t="s">
        <v>3265</v>
      </c>
      <c r="AE86" t="s">
        <v>2824</v>
      </c>
      <c r="AF86" t="s">
        <v>3266</v>
      </c>
      <c r="AG86" t="s">
        <v>2826</v>
      </c>
      <c r="AH86" s="97" t="s">
        <v>2264</v>
      </c>
      <c r="AI86" s="97" t="s">
        <v>2264</v>
      </c>
      <c r="AJ86" t="s">
        <v>2195</v>
      </c>
      <c r="AK86" t="s">
        <v>1448</v>
      </c>
      <c r="AO86" t="str">
        <f>IndependentGlobal[[#This Row],[Question]]&amp;"."&amp;IndependentGlobal[[#This Row],[Action Type]]&amp;IndependentGlobal[[#This Row],[Country]]</f>
        <v>GS5.GQ3.Resolved_Onsite</v>
      </c>
      <c r="AP86" t="str">
        <f ca="1">IFERROR(VLOOKUP(IndependentGlobal[[#This Row],[Question]],Independent[#All],13,FALSE),VLOOKUP(IndependentGlobal[[#This Row],[Question]],INDIRECT("Independent_"&amp;'Gen Info'!$E$4&amp;"[#All]"),13,FALSE))</f>
        <v>Políticas y Procedimientos</v>
      </c>
      <c r="AQ86" t="str" cm="1">
        <f t="array" ref="AQ86">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tiene políiticas de cumplimiento de Anti-Fraude debidamente documentadas.</v>
      </c>
      <c r="AR86" t="s">
        <v>2415</v>
      </c>
      <c r="AV86" t="str" cm="1">
        <f t="array" ref="AV86">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 xml:space="preserve">No se requiere acción. Se ha obtenido el documento correspondiente con las Políticas y Procedimientos del programa de Anti-Fraude. </v>
      </c>
      <c r="AW86" t="s">
        <v>2416</v>
      </c>
      <c r="AX86" t="s">
        <v>2417</v>
      </c>
      <c r="AY86" t="s">
        <v>2418</v>
      </c>
      <c r="AZ86" t="s">
        <v>2419</v>
      </c>
      <c r="BA86" t="s">
        <v>2420</v>
      </c>
      <c r="BB86" t="s">
        <v>2421</v>
      </c>
      <c r="BC86" t="s">
        <v>2422</v>
      </c>
      <c r="BD86" t="s">
        <v>2195</v>
      </c>
      <c r="BE86" t="s">
        <v>815</v>
      </c>
      <c r="BH86" t="str">
        <f>Independent_MO_OnlyGlobal[[#This Row],[Question]]&amp;"."&amp;Independent_MO_OnlyGlobal[[#This Row],[Action Type]]&amp;Independent_MO_OnlyGlobal[[#This Row],[Country]]</f>
        <v>GS6.RQ1.Resolved_OnsiteCanada</v>
      </c>
      <c r="BI86" t="e">
        <f ca="1">IFERROR(VLOOKUP(Independent_MO_OnlyGlobal[[#This Row],[Question]],Independent_MO_Only[#All],13,FALSE),VLOOKUP(Independent_MO_OnlyGlobal[[#This Row],[Question]],INDIRECT("Independent_MO_Only"&amp;'Gen Info'!$E$4&amp;"[#All]"),13,FALSE))</f>
        <v>#REF!</v>
      </c>
      <c r="BJ86" cm="1">
        <f t="array" ref="BJ86">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86" t="s">
        <v>3267</v>
      </c>
      <c r="BO86" cm="1">
        <f t="array" ref="BO86">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86" t="s">
        <v>3268</v>
      </c>
      <c r="BW86" t="s">
        <v>2195</v>
      </c>
      <c r="BX86" t="s">
        <v>579</v>
      </c>
      <c r="BY86" t="s">
        <v>2281</v>
      </c>
    </row>
    <row r="87" spans="2:77">
      <c r="B87" s="353" t="str">
        <f>Network_AgentGlobal[[#This Row],[Question]]&amp;"."&amp;Network_AgentGlobal[[#This Row],[Action Type]]&amp;Network_AgentGlobal[[#This Row],[Country]]</f>
        <v>GS5.GQ3.Response_RequiredIndia_FTF</v>
      </c>
      <c r="C87" s="353" t="str">
        <f ca="1">IFERROR(VLOOKUP(Network_AgentGlobal[[#This Row],[Question]],INDIRECT('Gen Info'!$D$4&amp;"[#All]"),13,FALSE),VLOOKUP(Network_AgentGlobal[[#This Row],[Question]],INDIRECT('Gen Info'!$D$4&amp;"_"&amp;'Gen Info'!$E$4&amp;"[#All]"),13,FALSE))</f>
        <v>Requisitos de KYC</v>
      </c>
      <c r="D87" s="353" cm="1">
        <f t="array" aca="1" ref="D87"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87" s="353" t="s">
        <v>3269</v>
      </c>
      <c r="F87" s="353"/>
      <c r="G87" s="353"/>
      <c r="H87" s="353"/>
      <c r="I87" s="353" cm="1">
        <f t="array" ref="I87">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87" s="353" t="s">
        <v>3270</v>
      </c>
      <c r="K87" s="353"/>
      <c r="L87" s="353"/>
      <c r="M87" s="353"/>
      <c r="N87" s="353"/>
      <c r="O87" s="353"/>
      <c r="P87" s="353"/>
      <c r="Q87" s="353" t="s">
        <v>2215</v>
      </c>
      <c r="R87" s="353" t="s">
        <v>815</v>
      </c>
      <c r="S87" s="353" t="s">
        <v>2196</v>
      </c>
      <c r="U87" t="str">
        <f>Master_Agent_HQsGlobal[[#This Row],[Question]]&amp;"."&amp;Master_Agent_HQsGlobal[[#This Row],[Action Type]]&amp;Master_Agent_HQsGlobal[[#This Row],[Country]]</f>
        <v>GS12.GQ3.Response_Required</v>
      </c>
      <c r="V87" t="str">
        <f ca="1">IFERROR(VLOOKUP(Master_Agent_HQsGlobal[[#This Row],[Question]],Master_Agent_HQs[#All],13,FALSE),VLOOKUP(Master_Agent_HQsGlobal[[#This Row],[Question]],INDIRECT("Master_Agent_HQs"&amp;'Gen Info'!$E$4&amp;"[#All]"),13,FALSE))</f>
        <v>Conservación de Registros</v>
      </c>
      <c r="W87" t="str" cm="1">
        <f t="array" ref="W87">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desecha de forma segura todos los registros en papel después de alcanzar el período de retención.</v>
      </c>
      <c r="X87" t="s">
        <v>3264</v>
      </c>
      <c r="AA87" s="143"/>
      <c r="AB87" t="str" cm="1">
        <f t="array" ref="AB87">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Brinde a Western Union confirmación por escrito que describa las acciones tomadas para destruir de forma segura los registros en papel que se conservaron más allá del período de retención.</v>
      </c>
      <c r="AC87" t="s">
        <v>3271</v>
      </c>
      <c r="AD87" t="s">
        <v>3265</v>
      </c>
      <c r="AE87" t="s">
        <v>3272</v>
      </c>
      <c r="AF87" t="s">
        <v>3266</v>
      </c>
      <c r="AG87" t="s">
        <v>3273</v>
      </c>
      <c r="AH87" s="97" t="s">
        <v>2264</v>
      </c>
      <c r="AI87" s="97" t="s">
        <v>2264</v>
      </c>
      <c r="AJ87" t="s">
        <v>2215</v>
      </c>
      <c r="AK87" t="s">
        <v>1448</v>
      </c>
      <c r="AO87" t="str">
        <f>IndependentGlobal[[#This Row],[Question]]&amp;"."&amp;IndependentGlobal[[#This Row],[Action Type]]&amp;IndependentGlobal[[#This Row],[Country]]</f>
        <v>GS5.GQ3.Response_Required</v>
      </c>
      <c r="AP87" t="str">
        <f ca="1">IFERROR(VLOOKUP(IndependentGlobal[[#This Row],[Question]],Independent[#All],13,FALSE),VLOOKUP(IndependentGlobal[[#This Row],[Question]],INDIRECT("Independent_"&amp;'Gen Info'!$E$4&amp;"[#All]"),13,FALSE))</f>
        <v>Políticas y Procedimientos</v>
      </c>
      <c r="AQ87" t="str" cm="1">
        <f t="array" ref="AQ87">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tiene políiticas de cumplimiento de Anti-Fraude debidamente documentadas.</v>
      </c>
      <c r="AR87" t="s">
        <v>2415</v>
      </c>
      <c r="AV87" t="str" cm="1">
        <f t="array" ref="AV87">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Brindar a Western Union copia o evidencia de las Políticas y Procedimientos del programa de Anti-Fraude junto con el reconocimiento del responsable de cumplimiento.</v>
      </c>
      <c r="AW87" t="s">
        <v>2726</v>
      </c>
      <c r="AX87" t="s">
        <v>2417</v>
      </c>
      <c r="AY87" t="s">
        <v>2727</v>
      </c>
      <c r="AZ87" t="s">
        <v>2419</v>
      </c>
      <c r="BA87" t="s">
        <v>2897</v>
      </c>
      <c r="BB87" t="s">
        <v>2421</v>
      </c>
      <c r="BC87" t="s">
        <v>2898</v>
      </c>
      <c r="BD87" t="s">
        <v>2215</v>
      </c>
      <c r="BE87" t="s">
        <v>815</v>
      </c>
      <c r="BH87" t="str">
        <f>Independent_MO_OnlyGlobal[[#This Row],[Question]]&amp;"."&amp;Independent_MO_OnlyGlobal[[#This Row],[Action Type]]&amp;Independent_MO_OnlyGlobal[[#This Row],[Country]]</f>
        <v>GS8.RQ1.Resolved_OnsiteCanada</v>
      </c>
      <c r="BI87" t="e">
        <f ca="1">IFERROR(VLOOKUP(Independent_MO_OnlyGlobal[[#This Row],[Question]],Independent_MO_Only[#All],13,FALSE),VLOOKUP(Independent_MO_OnlyGlobal[[#This Row],[Question]],INDIRECT("Independent_MO_Only"&amp;'Gen Info'!$E$4&amp;"[#All]"),13,FALSE))</f>
        <v>#REF!</v>
      </c>
      <c r="BJ87" cm="1">
        <f t="array" ref="BJ87">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87" t="s">
        <v>3274</v>
      </c>
      <c r="BO87" cm="1">
        <f t="array" ref="BO87">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87" t="s">
        <v>3275</v>
      </c>
      <c r="BW87" t="s">
        <v>2195</v>
      </c>
      <c r="BX87" t="s">
        <v>731</v>
      </c>
      <c r="BY87" t="s">
        <v>2281</v>
      </c>
    </row>
    <row r="88" spans="2:77" hidden="1">
      <c r="B88" s="353" t="str">
        <f>Network_AgentGlobal[[#This Row],[Question]]&amp;"."&amp;Network_AgentGlobal[[#This Row],[Action Type]]&amp;Network_AgentGlobal[[#This Row],[Country]]</f>
        <v>GS5.GQ4.Resolved_Onsite</v>
      </c>
      <c r="C88" s="353" t="str">
        <f ca="1">IFERROR(VLOOKUP(Network_AgentGlobal[[#This Row],[Question]],INDIRECT('Gen Info'!$D$4&amp;"[#All]"),13,FALSE),VLOOKUP(Network_AgentGlobal[[#This Row],[Question]],INDIRECT('Gen Info'!$D$4&amp;"_"&amp;'Gen Info'!$E$4&amp;"[#All]"),13,FALSE))</f>
        <v>Requisitos de KYC</v>
      </c>
      <c r="D88" s="353" t="str" cm="1">
        <f t="array" aca="1" ref="D88"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Los operadores no se aseguran que las identificaciones de los clientes cumplan con los requerimientos mínimos.</v>
      </c>
      <c r="E88" s="353" t="s">
        <v>3276</v>
      </c>
      <c r="F88" s="353"/>
      <c r="G88" s="353"/>
      <c r="H88" s="353"/>
      <c r="I88" s="353" t="str" cm="1">
        <f t="array" ref="I88">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No se requiere acción. Se ha enviado al Agente material de capacitación específico sobre este tema. Todos los "FLAs" han recibido realimentación/capacitación sobre este tema en el transcurso de la revisión.</v>
      </c>
      <c r="J88" s="353" t="s">
        <v>2362</v>
      </c>
      <c r="K88" s="353" t="s">
        <v>2424</v>
      </c>
      <c r="L88" s="353" t="s">
        <v>2824</v>
      </c>
      <c r="M88" s="353" t="s">
        <v>2425</v>
      </c>
      <c r="N88" s="353" t="s">
        <v>2826</v>
      </c>
      <c r="O88" s="353" t="s">
        <v>2426</v>
      </c>
      <c r="P88" s="353" t="s">
        <v>2896</v>
      </c>
      <c r="Q88" s="353" t="s">
        <v>2195</v>
      </c>
      <c r="R88" s="353" t="s">
        <v>829</v>
      </c>
      <c r="S88" s="353"/>
      <c r="U88" t="str">
        <f>Master_Agent_HQsGlobal[[#This Row],[Question]]&amp;"."&amp;Master_Agent_HQsGlobal[[#This Row],[Action Type]]&amp;Master_Agent_HQsGlobal[[#This Row],[Country]]</f>
        <v>GS12.GQ4.Resolved_Onsite</v>
      </c>
      <c r="V88" t="str">
        <f ca="1">IFERROR(VLOOKUP(Master_Agent_HQsGlobal[[#This Row],[Question]],Master_Agent_HQs[#All],13,FALSE),VLOOKUP(Master_Agent_HQsGlobal[[#This Row],[Question]],INDIRECT("Master_Agent_HQs"&amp;'Gen Info'!$E$4&amp;"[#All]"),13,FALSE))</f>
        <v>Conservación de Registros</v>
      </c>
      <c r="W88" t="str" cm="1">
        <f t="array" ref="W88">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desecha de forma segura todos los registros electronicos después de alcanzar el período de retención.</v>
      </c>
      <c r="X88" t="s">
        <v>3277</v>
      </c>
      <c r="AA88" s="143"/>
      <c r="AB88" t="str" cm="1">
        <f t="array" ref="AB88">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No se requiere acción. Se ha enviado al Agente material de capacitación específico sobre este tema. Todos los "FLAs" han recibido realimentación/capacitación sobre este tema en el transcurso de la revisión.</v>
      </c>
      <c r="AC88" t="s">
        <v>2362</v>
      </c>
      <c r="AD88" t="s">
        <v>3278</v>
      </c>
      <c r="AE88" t="s">
        <v>2824</v>
      </c>
      <c r="AF88" t="s">
        <v>3279</v>
      </c>
      <c r="AG88" t="s">
        <v>2826</v>
      </c>
      <c r="AH88" s="97" t="s">
        <v>2264</v>
      </c>
      <c r="AI88" s="97" t="s">
        <v>2264</v>
      </c>
      <c r="AJ88" t="s">
        <v>2195</v>
      </c>
      <c r="AK88" t="s">
        <v>1848</v>
      </c>
      <c r="AO88" t="str">
        <f>IndependentGlobal[[#This Row],[Question]]&amp;"."&amp;IndependentGlobal[[#This Row],[Action Type]]&amp;IndependentGlobal[[#This Row],[Country]]</f>
        <v>GS5.GQ4.Resolved_Onsite</v>
      </c>
      <c r="AP88" t="str">
        <f ca="1">IFERROR(VLOOKUP(IndependentGlobal[[#This Row],[Question]],Independent[#All],13,FALSE),VLOOKUP(IndependentGlobal[[#This Row],[Question]],INDIRECT("Independent_"&amp;'Gen Info'!$E$4&amp;"[#All]"),13,FALSE))</f>
        <v>Políticas y Procedimientos</v>
      </c>
      <c r="AQ88" t="str" cm="1">
        <f t="array" ref="AQ88">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Las Políticas y Procedimientos de Anti-Fraude, estan incompletas.</v>
      </c>
      <c r="AR88" t="s">
        <v>2434</v>
      </c>
      <c r="AV88" t="str" cm="1">
        <f t="array" ref="AV88">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 xml:space="preserve">No se requiere acción. Se ha obtenido el documento completo con las Políticas y Procedimientos del programa de Anti-Fraude. </v>
      </c>
      <c r="AW88" t="s">
        <v>3280</v>
      </c>
      <c r="AX88" t="s">
        <v>2436</v>
      </c>
      <c r="AY88" t="s">
        <v>2437</v>
      </c>
      <c r="AZ88" t="s">
        <v>2438</v>
      </c>
      <c r="BA88" t="s">
        <v>2420</v>
      </c>
      <c r="BB88" t="s">
        <v>2439</v>
      </c>
      <c r="BC88" t="s">
        <v>2440</v>
      </c>
      <c r="BD88" t="s">
        <v>2195</v>
      </c>
      <c r="BE88" t="s">
        <v>829</v>
      </c>
      <c r="BH88" t="str">
        <f>Independent_MO_OnlyGlobal[[#This Row],[Question]]&amp;"."&amp;Independent_MO_OnlyGlobal[[#This Row],[Action Type]]&amp;Independent_MO_OnlyGlobal[[#This Row],[Country]]</f>
        <v>GS9.RQ1.Resolved_OnsiteCanada</v>
      </c>
      <c r="BI88" t="e">
        <f ca="1">IFERROR(VLOOKUP(Independent_MO_OnlyGlobal[[#This Row],[Question]],Independent_MO_Only[#All],13,FALSE),VLOOKUP(Independent_MO_OnlyGlobal[[#This Row],[Question]],INDIRECT("Independent_MO_Only"&amp;'Gen Info'!$E$4&amp;"[#All]"),13,FALSE))</f>
        <v>#REF!</v>
      </c>
      <c r="BJ88" cm="1">
        <f t="array" ref="BJ88">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88" t="s">
        <v>3281</v>
      </c>
      <c r="BO88" cm="1">
        <f t="array" ref="BO88">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88" t="s">
        <v>3282</v>
      </c>
      <c r="BW88" t="s">
        <v>2195</v>
      </c>
      <c r="BX88" t="s">
        <v>1178</v>
      </c>
      <c r="BY88" t="s">
        <v>2281</v>
      </c>
    </row>
    <row r="89" spans="2:77">
      <c r="B89" s="353" t="str">
        <f>Network_AgentGlobal[[#This Row],[Question]]&amp;"."&amp;Network_AgentGlobal[[#This Row],[Action Type]]&amp;Network_AgentGlobal[[#This Row],[Country]]</f>
        <v>GS5.GQ4.Response_Required</v>
      </c>
      <c r="C89" s="353" t="str">
        <f ca="1">IFERROR(VLOOKUP(Network_AgentGlobal[[#This Row],[Question]],INDIRECT('Gen Info'!$D$4&amp;"[#All]"),13,FALSE),VLOOKUP(Network_AgentGlobal[[#This Row],[Question]],INDIRECT('Gen Info'!$D$4&amp;"_"&amp;'Gen Info'!$E$4&amp;"[#All]"),13,FALSE))</f>
        <v>Requisitos de KYC</v>
      </c>
      <c r="D89" s="353" t="str" cm="1">
        <f t="array" aca="1" ref="D89"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Los operadores no se aseguran que las identificaciones de los clientes cumplan con los requerimientos mínimos.</v>
      </c>
      <c r="E89" s="353" t="s">
        <v>3276</v>
      </c>
      <c r="F89" s="353"/>
      <c r="G89" s="353"/>
      <c r="H89" s="353"/>
      <c r="I89" s="353" t="str" cm="1">
        <f t="array" ref="I89">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Brinde a Western Union evidencia o confirmación que todos los operadores han sido entrenados en el tema. Asegúrese que la confirmación incluya el tema cubierto, el nombre de las personas que asistieron a la sesión y la fecha de la capacitación.</v>
      </c>
      <c r="J89" s="353" t="s">
        <v>2388</v>
      </c>
      <c r="K89" s="353" t="s">
        <v>2424</v>
      </c>
      <c r="L89" s="353" t="s">
        <v>2389</v>
      </c>
      <c r="M89" s="353" t="s">
        <v>2425</v>
      </c>
      <c r="N89" s="353" t="s">
        <v>2390</v>
      </c>
      <c r="O89" s="353" t="s">
        <v>2426</v>
      </c>
      <c r="P89" s="353" t="s">
        <v>2391</v>
      </c>
      <c r="Q89" s="353" t="s">
        <v>2215</v>
      </c>
      <c r="R89" s="353" t="s">
        <v>829</v>
      </c>
      <c r="S89" s="353"/>
      <c r="U89" t="str">
        <f>Master_Agent_HQsGlobal[[#This Row],[Question]]&amp;"."&amp;Master_Agent_HQsGlobal[[#This Row],[Action Type]]&amp;Master_Agent_HQsGlobal[[#This Row],[Country]]</f>
        <v>GS12.GQ4.Response_Required</v>
      </c>
      <c r="V89" t="str">
        <f ca="1">IFERROR(VLOOKUP(Master_Agent_HQsGlobal[[#This Row],[Question]],Master_Agent_HQs[#All],13,FALSE),VLOOKUP(Master_Agent_HQsGlobal[[#This Row],[Question]],INDIRECT("Master_Agent_HQs"&amp;'Gen Info'!$E$4&amp;"[#All]"),13,FALSE))</f>
        <v>Conservación de Registros</v>
      </c>
      <c r="W89" t="str" cm="1">
        <f t="array" ref="W89">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El Agente no desecha de forma segura todos los registros electronicos después de alcanzar el período de retención.</v>
      </c>
      <c r="X89" t="s">
        <v>3277</v>
      </c>
      <c r="AA89" s="143"/>
      <c r="AB89" t="str" cm="1">
        <f t="array" ref="AB89">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Brinde a Western Union confirmación por escrito que describa las acciones tomadas para destruir de forma segura los registros electronicos que se conservaron más allá del período de retención.</v>
      </c>
      <c r="AC89" t="s">
        <v>3283</v>
      </c>
      <c r="AD89" t="s">
        <v>3278</v>
      </c>
      <c r="AE89" t="s">
        <v>3284</v>
      </c>
      <c r="AF89" t="s">
        <v>3279</v>
      </c>
      <c r="AG89" t="s">
        <v>3285</v>
      </c>
      <c r="AH89" s="97" t="s">
        <v>2264</v>
      </c>
      <c r="AI89" s="97" t="s">
        <v>2264</v>
      </c>
      <c r="AJ89" t="s">
        <v>2215</v>
      </c>
      <c r="AK89" t="s">
        <v>1848</v>
      </c>
      <c r="AO89" t="str">
        <f>IndependentGlobal[[#This Row],[Question]]&amp;"."&amp;IndependentGlobal[[#This Row],[Action Type]]&amp;IndependentGlobal[[#This Row],[Country]]</f>
        <v>GS5.GQ4.Response_Required</v>
      </c>
      <c r="AP89" t="str">
        <f ca="1">IFERROR(VLOOKUP(IndependentGlobal[[#This Row],[Question]],Independent[#All],13,FALSE),VLOOKUP(IndependentGlobal[[#This Row],[Question]],INDIRECT("Independent_"&amp;'Gen Info'!$E$4&amp;"[#All]"),13,FALSE))</f>
        <v>Políticas y Procedimientos</v>
      </c>
      <c r="AQ89" t="str" cm="1">
        <f t="array" ref="AQ89">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Las Políticas y Procedimientos de Anti-Fraude, estan incompletas.</v>
      </c>
      <c r="AR89" t="s">
        <v>2434</v>
      </c>
      <c r="AV89" t="str" cm="1">
        <f t="array" ref="AV89">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Brindar a Western Union copia o evidencia de las Políticas y Procedimientos del programa de Anti-Fraude junto con el reconocimiento del responsable de cumplimiento.</v>
      </c>
      <c r="AW89" t="s">
        <v>2726</v>
      </c>
      <c r="AX89" t="s">
        <v>2436</v>
      </c>
      <c r="AY89" t="s">
        <v>2727</v>
      </c>
      <c r="AZ89" t="s">
        <v>2438</v>
      </c>
      <c r="BA89" t="s">
        <v>2897</v>
      </c>
      <c r="BB89" t="s">
        <v>2439</v>
      </c>
      <c r="BC89" t="s">
        <v>2898</v>
      </c>
      <c r="BD89" t="s">
        <v>2215</v>
      </c>
      <c r="BE89" t="s">
        <v>829</v>
      </c>
      <c r="BH89" t="str">
        <f>Independent_MO_OnlyGlobal[[#This Row],[Question]]&amp;"."&amp;Independent_MO_OnlyGlobal[[#This Row],[Action Type]]&amp;Independent_MO_OnlyGlobal[[#This Row],[Country]]</f>
        <v>GS9.RQ2.Resolved_OnsiteCanada</v>
      </c>
      <c r="BI89" t="e">
        <f ca="1">IFERROR(VLOOKUP(Independent_MO_OnlyGlobal[[#This Row],[Question]],Independent_MO_Only[#All],13,FALSE),VLOOKUP(Independent_MO_OnlyGlobal[[#This Row],[Question]],INDIRECT("Independent_MO_Only"&amp;'Gen Info'!$E$4&amp;"[#All]"),13,FALSE))</f>
        <v>#REF!</v>
      </c>
      <c r="BJ89" cm="1">
        <f t="array" ref="BJ89">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89" t="s">
        <v>3286</v>
      </c>
      <c r="BO89" cm="1">
        <f t="array" ref="BO89">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89" t="s">
        <v>3287</v>
      </c>
      <c r="BW89" t="s">
        <v>2195</v>
      </c>
      <c r="BX89" t="s">
        <v>1880</v>
      </c>
      <c r="BY89" t="s">
        <v>2281</v>
      </c>
    </row>
    <row r="90" spans="2:77">
      <c r="B90" s="353" t="str">
        <f>Network_AgentGlobal[[#This Row],[Question]]&amp;"."&amp;Network_AgentGlobal[[#This Row],[Action Type]]&amp;Network_AgentGlobal[[#This Row],[Country]]</f>
        <v>GS5.GQ5.Resolved_Onsite</v>
      </c>
      <c r="C90" s="353" t="str">
        <f ca="1">IFERROR(VLOOKUP(Network_AgentGlobal[[#This Row],[Question]],INDIRECT('Gen Info'!$D$4&amp;"[#All]"),13,FALSE),VLOOKUP(Network_AgentGlobal[[#This Row],[Question]],INDIRECT('Gen Info'!$D$4&amp;"_"&amp;'Gen Info'!$E$4&amp;"[#All]"),13,FALSE))</f>
        <v>Requisitos de KYC</v>
      </c>
      <c r="D90" s="353" t="str" cm="1">
        <f t="array" aca="1" ref="D90"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Los operadores no saben que las transferencias a terceros son prohibidas.</v>
      </c>
      <c r="E90" s="353" t="s">
        <v>2457</v>
      </c>
      <c r="F90" s="353"/>
      <c r="G90" s="353"/>
      <c r="H90" s="353"/>
      <c r="I90" s="353" t="str" cm="1">
        <f t="array" ref="I90">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No se requiere acción. Se ha enviado al Agente material de capacitación específico sobre este tema. Todos los "FLAs" han recibido realimentación/capacitación sobre este tema en el transcurso de la revisión.</v>
      </c>
      <c r="J90" s="353" t="s">
        <v>2362</v>
      </c>
      <c r="K90" s="353" t="s">
        <v>2458</v>
      </c>
      <c r="L90" s="353" t="s">
        <v>2824</v>
      </c>
      <c r="M90" s="353" t="s">
        <v>2459</v>
      </c>
      <c r="N90" s="353" t="s">
        <v>2826</v>
      </c>
      <c r="O90" s="353" t="s">
        <v>2460</v>
      </c>
      <c r="P90" s="353" t="s">
        <v>2896</v>
      </c>
      <c r="Q90" s="353" t="s">
        <v>2195</v>
      </c>
      <c r="R90" s="353" t="s">
        <v>841</v>
      </c>
      <c r="S90" s="353"/>
      <c r="U90" t="str">
        <f>Master_Agent_HQsGlobal[[#This Row],[Question]]&amp;"."&amp;Master_Agent_HQsGlobal[[#This Row],[Action Type]]&amp;Master_Agent_HQsGlobal[[#This Row],[Country]]</f>
        <v>GS12.RQ5.Response_RequiredUnited_States</v>
      </c>
      <c r="V90" t="e">
        <f ca="1">IFERROR(VLOOKUP(Master_Agent_HQsGlobal[[#This Row],[Question]],Master_Agent_HQs[#All],13,FALSE),VLOOKUP(Master_Agent_HQsGlobal[[#This Row],[Question]],INDIRECT("Master_Agent_HQs"&amp;'Gen Info'!$E$4&amp;"[#All]"),13,FALSE))</f>
        <v>#REF!</v>
      </c>
      <c r="W90" t="str" cm="1">
        <f t="array" ref="W90">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Pending</v>
      </c>
      <c r="X90" t="s">
        <v>2998</v>
      </c>
      <c r="Y90" t="s">
        <v>42</v>
      </c>
      <c r="AA90" s="143"/>
      <c r="AB90" t="str" cm="1">
        <f t="array" ref="AB90">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Pending</v>
      </c>
      <c r="AC90" t="s">
        <v>3288</v>
      </c>
      <c r="AD90" s="97" t="s">
        <v>2264</v>
      </c>
      <c r="AE90" s="97" t="s">
        <v>2264</v>
      </c>
      <c r="AF90" s="97" t="s">
        <v>2264</v>
      </c>
      <c r="AG90" s="97" t="s">
        <v>2264</v>
      </c>
      <c r="AH90" s="97" t="s">
        <v>2264</v>
      </c>
      <c r="AI90" s="97" t="s">
        <v>2264</v>
      </c>
      <c r="AJ90" t="s">
        <v>2215</v>
      </c>
      <c r="AK90" t="s">
        <v>1048</v>
      </c>
      <c r="AL90" t="s">
        <v>2581</v>
      </c>
      <c r="AO90" t="str">
        <f>IndependentGlobal[[#This Row],[Question]]&amp;"."&amp;IndependentGlobal[[#This Row],[Action Type]]&amp;IndependentGlobal[[#This Row],[Country]]</f>
        <v>GS5.GQ5.Resolved_Onsite</v>
      </c>
      <c r="AP90" t="str">
        <f ca="1">IFERROR(VLOOKUP(IndependentGlobal[[#This Row],[Question]],Independent[#All],13,FALSE),VLOOKUP(IndependentGlobal[[#This Row],[Question]],INDIRECT("Independent_"&amp;'Gen Info'!$E$4&amp;"[#All]"),13,FALSE))</f>
        <v>Políticas y Procedimientos</v>
      </c>
      <c r="AQ90" t="str" cm="1">
        <f t="array" ref="AQ90">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Las Políticas y Procedimientos de AML/CFT y Anti-Fraude, no han sido debidamente comunicadas a los empleados anualmente.</v>
      </c>
      <c r="AR90" t="s">
        <v>2469</v>
      </c>
      <c r="AV90" t="str" cm="1">
        <f t="array" ref="AV90">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requiere acción. Se ha brindado capacitación de AML/CFT y Anti-Fraude a todos los empleados con acceso a los sistemas de Western Union. Se le ha indicado al agente que continue comunicando el programa a todos los operadores de forma annual.</v>
      </c>
      <c r="AW90" t="s">
        <v>2470</v>
      </c>
      <c r="AX90" t="s">
        <v>2471</v>
      </c>
      <c r="AY90" t="s">
        <v>2472</v>
      </c>
      <c r="AZ90" t="s">
        <v>2473</v>
      </c>
      <c r="BA90" t="s">
        <v>2474</v>
      </c>
      <c r="BB90" t="s">
        <v>2475</v>
      </c>
      <c r="BC90" t="s">
        <v>2476</v>
      </c>
      <c r="BD90" t="s">
        <v>2195</v>
      </c>
      <c r="BE90" t="s">
        <v>841</v>
      </c>
      <c r="BH90" t="str">
        <f>Independent_MO_OnlyGlobal[[#This Row],[Question]]&amp;"."&amp;Independent_MO_OnlyGlobal[[#This Row],[Action Type]]&amp;Independent_MO_OnlyGlobal[[#This Row],[Country]]</f>
        <v>GS8.RQ2.Resolved_OnsiteCanada</v>
      </c>
      <c r="BI90" t="e">
        <f ca="1">IFERROR(VLOOKUP(Independent_MO_OnlyGlobal[[#This Row],[Question]],Independent_MO_Only[#All],13,FALSE),VLOOKUP(Independent_MO_OnlyGlobal[[#This Row],[Question]],INDIRECT("Independent_MO_Only"&amp;'Gen Info'!$E$4&amp;"[#All]"),13,FALSE))</f>
        <v>#REF!</v>
      </c>
      <c r="BJ90" cm="1">
        <f t="array" ref="BJ90">_xlfn.IFS(LocationInfo[Select Letter Language]="English",Independent_MO_OnlyGlobal[[#This Row],[Finding English]],LocationInfo[Select Letter Language]="Spanish",Independent_MO_OnlyGlobal[[#This Row],[Finding Spanish]],LocationInfo[Select Letter Language]="French",Independent_MO_OnlyGlobal[[#This Row],[Finding French]],LocationInfo[Select Letter Language]="Portuguese",Independent_MO_OnlyGlobal[[#This Row],[Finding Portuguese]])</f>
        <v>0</v>
      </c>
      <c r="BK90" t="s">
        <v>3289</v>
      </c>
      <c r="BO90" cm="1">
        <f t="array" ref="BO90">_xlfn.IFS(LocationInfo[Select Letter Language]="English",Independent_MO_OnlyGlobal[[#This Row],[Action Required English]],LocationInfo[Select Letter Language]="Spanish",Independent_MO_OnlyGlobal[[#This Row],[Action Required Spanish]],LocationInfo[Select Letter Language]="French",Independent_MO_OnlyGlobal[[#This Row],[Action Required French]],LocationInfo[Select Letter Language]="Portuguese",Independent_MO_OnlyGlobal[[#This Row],[Action Required Portuguese]])</f>
        <v>0</v>
      </c>
      <c r="BP90" t="s">
        <v>3275</v>
      </c>
      <c r="BW90" t="s">
        <v>2195</v>
      </c>
      <c r="BX90" t="s">
        <v>746</v>
      </c>
      <c r="BY90" t="s">
        <v>2281</v>
      </c>
    </row>
    <row r="91" spans="2:77" hidden="1">
      <c r="B91" s="353" t="str">
        <f>Network_AgentGlobal[[#This Row],[Question]]&amp;"."&amp;Network_AgentGlobal[[#This Row],[Action Type]]&amp;Network_AgentGlobal[[#This Row],[Country]]</f>
        <v>GS5.GQ5.Response_Required</v>
      </c>
      <c r="C91" s="353" t="str">
        <f ca="1">IFERROR(VLOOKUP(Network_AgentGlobal[[#This Row],[Question]],INDIRECT('Gen Info'!$D$4&amp;"[#All]"),13,FALSE),VLOOKUP(Network_AgentGlobal[[#This Row],[Question]],INDIRECT('Gen Info'!$D$4&amp;"_"&amp;'Gen Info'!$E$4&amp;"[#All]"),13,FALSE))</f>
        <v>Requisitos de KYC</v>
      </c>
      <c r="D91" s="353" t="str" cm="1">
        <f t="array" aca="1" ref="D91"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Los operadores no saben que las transferencias a terceros son prohibidas.</v>
      </c>
      <c r="E91" s="353" t="s">
        <v>2457</v>
      </c>
      <c r="F91" s="353"/>
      <c r="G91" s="353"/>
      <c r="H91" s="353"/>
      <c r="I91" s="353" t="str" cm="1">
        <f t="array" ref="I91">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Brinde a Western Union evidencia o confirmación que todos los operadores han sido entrenados en el tema. Asegúrese que la confirmación incluya el tema cubierto, el nombre de las personas que asistieron a la sesión y la fecha de la capacitación.</v>
      </c>
      <c r="J91" s="353" t="s">
        <v>2388</v>
      </c>
      <c r="K91" s="353" t="s">
        <v>2458</v>
      </c>
      <c r="L91" s="353" t="s">
        <v>2389</v>
      </c>
      <c r="M91" s="353" t="s">
        <v>2459</v>
      </c>
      <c r="N91" s="353" t="s">
        <v>2390</v>
      </c>
      <c r="O91" s="353" t="s">
        <v>2460</v>
      </c>
      <c r="P91" s="353" t="s">
        <v>2391</v>
      </c>
      <c r="Q91" s="353" t="s">
        <v>2215</v>
      </c>
      <c r="R91" s="353" t="s">
        <v>841</v>
      </c>
      <c r="S91" s="353"/>
      <c r="U91" t="str">
        <f>Master_Agent_HQsGlobal[[#This Row],[Question]]&amp;"."&amp;Master_Agent_HQsGlobal[[#This Row],[Action Type]]&amp;Master_Agent_HQsGlobal[[#This Row],[Country]]</f>
        <v>GS12.RQ5.Resolved_OnsiteUnited_States</v>
      </c>
      <c r="V91" t="e">
        <f ca="1">IFERROR(VLOOKUP(Master_Agent_HQsGlobal[[#This Row],[Question]],Master_Agent_HQs[#All],13,FALSE),VLOOKUP(Master_Agent_HQsGlobal[[#This Row],[Question]],INDIRECT("Master_Agent_HQs"&amp;'Gen Info'!$E$4&amp;"[#All]"),13,FALSE))</f>
        <v>#REF!</v>
      </c>
      <c r="W91" t="str" cm="1">
        <f t="array" ref="W91">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Pending</v>
      </c>
      <c r="X91" t="s">
        <v>2998</v>
      </c>
      <c r="AA91" s="143"/>
      <c r="AB91" t="str" cm="1">
        <f t="array" ref="AB91">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Pending</v>
      </c>
      <c r="AC91" t="s">
        <v>2362</v>
      </c>
      <c r="AD91" s="97" t="s">
        <v>2264</v>
      </c>
      <c r="AE91" s="97" t="s">
        <v>2264</v>
      </c>
      <c r="AF91" s="97" t="s">
        <v>2264</v>
      </c>
      <c r="AG91" s="97" t="s">
        <v>2264</v>
      </c>
      <c r="AH91" s="97" t="s">
        <v>2264</v>
      </c>
      <c r="AI91" s="97" t="s">
        <v>2264</v>
      </c>
      <c r="AJ91" t="s">
        <v>2195</v>
      </c>
      <c r="AK91" t="s">
        <v>1048</v>
      </c>
      <c r="AL91" t="s">
        <v>2581</v>
      </c>
      <c r="AO91" t="str">
        <f>IndependentGlobal[[#This Row],[Question]]&amp;"."&amp;IndependentGlobal[[#This Row],[Action Type]]&amp;IndependentGlobal[[#This Row],[Country]]</f>
        <v>GS5.GQ5.Response_Required</v>
      </c>
      <c r="AP91" t="str">
        <f ca="1">IFERROR(VLOOKUP(IndependentGlobal[[#This Row],[Question]],Independent[#All],13,FALSE),VLOOKUP(IndependentGlobal[[#This Row],[Question]],INDIRECT("Independent_"&amp;'Gen Info'!$E$4&amp;"[#All]"),13,FALSE))</f>
        <v>Políticas y Procedimientos</v>
      </c>
      <c r="AQ91" t="str" cm="1">
        <f t="array" ref="AQ91">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Las Políticas y Procedimientos de AML/CFT y Anti-Fraude, no han sido debidamente comunicadas a los empleados anualmente.</v>
      </c>
      <c r="AR91" t="s">
        <v>2469</v>
      </c>
      <c r="AV91" t="str" cm="1">
        <f t="array" ref="AV91">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evidencia que indique que el programa de AML/CFT y Anti-Fraude ha sido comunicado a todos los empleados con acceso al sistema de Western Union.</v>
      </c>
      <c r="AW91" t="s">
        <v>3290</v>
      </c>
      <c r="AX91" t="s">
        <v>2471</v>
      </c>
      <c r="AY91" t="s">
        <v>2927</v>
      </c>
      <c r="AZ91" t="s">
        <v>2473</v>
      </c>
      <c r="BA91" t="s">
        <v>2928</v>
      </c>
      <c r="BB91" t="s">
        <v>2475</v>
      </c>
      <c r="BC91" t="s">
        <v>2929</v>
      </c>
      <c r="BD91" t="s">
        <v>2215</v>
      </c>
      <c r="BE91" t="s">
        <v>841</v>
      </c>
    </row>
    <row r="92" spans="2:77" hidden="1">
      <c r="B92" s="353" t="str">
        <f>Network_AgentGlobal[[#This Row],[Question]]&amp;"."&amp;Network_AgentGlobal[[#This Row],[Action Type]]&amp;Network_AgentGlobal[[#This Row],[Country]]</f>
        <v>GS5.GQ6.Resolved_Onsite</v>
      </c>
      <c r="C92" s="353" t="str">
        <f ca="1">IFERROR(VLOOKUP(Network_AgentGlobal[[#This Row],[Question]],INDIRECT('Gen Info'!$D$4&amp;"[#All]"),13,FALSE),VLOOKUP(Network_AgentGlobal[[#This Row],[Question]],INDIRECT('Gen Info'!$D$4&amp;"_"&amp;'Gen Info'!$E$4&amp;"[#All]"),13,FALSE))</f>
        <v>Requisitos de KYC</v>
      </c>
      <c r="D92" s="353" t="str" cm="1">
        <f t="array" aca="1" ref="D92"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Algunos operadores no saben que los consumidores (o sus representantes) deben estar físicamente presentes.</v>
      </c>
      <c r="E92" s="353" t="s">
        <v>2487</v>
      </c>
      <c r="F92" s="353"/>
      <c r="G92" s="353"/>
      <c r="H92" s="353"/>
      <c r="I92" s="353" t="str" cm="1">
        <f t="array" ref="I92">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No se requiere acción. Se ha enviado al Agente material de capacitación específico sobre este tema. Todos los "FLAs" han recibido realimentación/capacitación sobre este tema en el transcurso de la revisión.</v>
      </c>
      <c r="J92" s="353" t="s">
        <v>2362</v>
      </c>
      <c r="K92" s="353" t="s">
        <v>2488</v>
      </c>
      <c r="L92" s="353" t="s">
        <v>2824</v>
      </c>
      <c r="M92" s="353" t="s">
        <v>2489</v>
      </c>
      <c r="N92" s="353" t="s">
        <v>2826</v>
      </c>
      <c r="O92" s="353" t="s">
        <v>2490</v>
      </c>
      <c r="P92" s="353" t="s">
        <v>2896</v>
      </c>
      <c r="Q92" s="353" t="s">
        <v>2195</v>
      </c>
      <c r="R92" s="353" t="s">
        <v>849</v>
      </c>
      <c r="S92" s="353"/>
      <c r="U92" t="str">
        <f>Master_Agent_HQsGlobal[[#This Row],[Question]]&amp;"."&amp;Master_Agent_HQsGlobal[[#This Row],[Action Type]]&amp;Master_Agent_HQsGlobal[[#This Row],[Country]]</f>
        <v>GS12.RQ7.Resolved_OnsiteUnited_States</v>
      </c>
      <c r="V92" t="e">
        <f ca="1">IFERROR(VLOOKUP(Master_Agent_HQsGlobal[[#This Row],[Question]],Master_Agent_HQs[#All],13,FALSE),VLOOKUP(Master_Agent_HQsGlobal[[#This Row],[Question]],INDIRECT("Master_Agent_HQs"&amp;'Gen Info'!$E$4&amp;"[#All]"),13,FALSE))</f>
        <v>#REF!</v>
      </c>
      <c r="W92" t="str" cm="1">
        <f t="array" ref="W92">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Pending</v>
      </c>
      <c r="X92" t="s">
        <v>3017</v>
      </c>
      <c r="Y92" t="s">
        <v>42</v>
      </c>
      <c r="AA92" s="143"/>
      <c r="AB92" t="str" cm="1">
        <f t="array" ref="AB92">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Pending</v>
      </c>
      <c r="AC92" t="s">
        <v>2224</v>
      </c>
      <c r="AD92" s="97" t="s">
        <v>2264</v>
      </c>
      <c r="AE92" s="97" t="s">
        <v>2264</v>
      </c>
      <c r="AF92" s="97" t="s">
        <v>2264</v>
      </c>
      <c r="AG92" s="97" t="s">
        <v>2264</v>
      </c>
      <c r="AH92" s="97" t="s">
        <v>2264</v>
      </c>
      <c r="AI92" s="97" t="s">
        <v>2264</v>
      </c>
      <c r="AJ92" t="s">
        <v>2195</v>
      </c>
      <c r="AK92" t="s">
        <v>1075</v>
      </c>
      <c r="AL92" t="s">
        <v>2581</v>
      </c>
      <c r="AO92" t="str">
        <f>IndependentGlobal[[#This Row],[Question]]&amp;"."&amp;IndependentGlobal[[#This Row],[Action Type]]&amp;IndependentGlobal[[#This Row],[Country]]</f>
        <v>GS5.GQ6.Resolved_Onsite</v>
      </c>
      <c r="AP92" t="str">
        <f ca="1">IFERROR(VLOOKUP(IndependentGlobal[[#This Row],[Question]],Independent[#All],13,FALSE),VLOOKUP(IndependentGlobal[[#This Row],[Question]],INDIRECT("Independent_"&amp;'Gen Info'!$E$4&amp;"[#All]"),13,FALSE))</f>
        <v>Políticas y Procedimientos</v>
      </c>
      <c r="AQ92" t="str" cm="1">
        <f t="array" ref="AQ92">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 xml:space="preserve"> Los operadores no tienen acceso a las Políticas y Procedimientos de AML/CFT y Anti-Fraude.</v>
      </c>
      <c r="AR92" t="s">
        <v>2734</v>
      </c>
      <c r="AV92" t="str" cm="1">
        <f t="array" ref="AV92">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El agente ha sido entrenado en este tema.</v>
      </c>
      <c r="AW92" t="s">
        <v>2583</v>
      </c>
      <c r="AX92" t="s">
        <v>3291</v>
      </c>
      <c r="AY92" t="s">
        <v>3292</v>
      </c>
      <c r="AZ92" t="s">
        <v>3293</v>
      </c>
      <c r="BA92" t="s">
        <v>3294</v>
      </c>
      <c r="BB92" t="s">
        <v>3295</v>
      </c>
      <c r="BC92" t="s">
        <v>2589</v>
      </c>
      <c r="BD92" t="s">
        <v>2195</v>
      </c>
      <c r="BE92" t="s">
        <v>849</v>
      </c>
    </row>
    <row r="93" spans="2:77">
      <c r="B93" s="353" t="str">
        <f>Network_AgentGlobal[[#This Row],[Question]]&amp;"."&amp;Network_AgentGlobal[[#This Row],[Action Type]]&amp;Network_AgentGlobal[[#This Row],[Country]]</f>
        <v>GS5.GQ6.Response_Required</v>
      </c>
      <c r="C93" s="353" t="str">
        <f ca="1">IFERROR(VLOOKUP(Network_AgentGlobal[[#This Row],[Question]],INDIRECT('Gen Info'!$D$4&amp;"[#All]"),13,FALSE),VLOOKUP(Network_AgentGlobal[[#This Row],[Question]],INDIRECT('Gen Info'!$D$4&amp;"_"&amp;'Gen Info'!$E$4&amp;"[#All]"),13,FALSE))</f>
        <v>Requisitos de KYC</v>
      </c>
      <c r="D93" s="353" t="str" cm="1">
        <f t="array" aca="1" ref="D93"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Algunos operadores no saben que los consumidores (o sus representantes) deben estar físicamente presentes.</v>
      </c>
      <c r="E93" s="353" t="s">
        <v>2487</v>
      </c>
      <c r="F93" s="353"/>
      <c r="G93" s="353"/>
      <c r="H93" s="353"/>
      <c r="I93" s="353" t="str" cm="1">
        <f t="array" ref="I93">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Brinde a Western Union evidencia o confirmación que todos los operadores han sido entrenados en el tema. Asegúrese que la confirmación incluya el tema cubierto, el nombre de las personas que asistieron a la sesión y la fecha de la capacitación.</v>
      </c>
      <c r="J93" s="353" t="s">
        <v>2388</v>
      </c>
      <c r="K93" s="353" t="s">
        <v>2488</v>
      </c>
      <c r="L93" s="353" t="s">
        <v>2389</v>
      </c>
      <c r="M93" s="353" t="s">
        <v>2489</v>
      </c>
      <c r="N93" s="353" t="s">
        <v>2390</v>
      </c>
      <c r="O93" s="353" t="s">
        <v>2490</v>
      </c>
      <c r="P93" s="353" t="s">
        <v>2391</v>
      </c>
      <c r="Q93" s="353" t="s">
        <v>2215</v>
      </c>
      <c r="R93" s="353" t="s">
        <v>849</v>
      </c>
      <c r="S93" s="353"/>
      <c r="U93" t="str">
        <f>Master_Agent_HQsGlobal[[#This Row],[Question]]&amp;"."&amp;Master_Agent_HQsGlobal[[#This Row],[Action Type]]&amp;Master_Agent_HQsGlobal[[#This Row],[Country]]</f>
        <v>GS12.RQ7.Response_RequiredUnited_States</v>
      </c>
      <c r="V93" t="e">
        <f ca="1">IFERROR(VLOOKUP(Master_Agent_HQsGlobal[[#This Row],[Question]],Master_Agent_HQs[#All],13,FALSE),VLOOKUP(Master_Agent_HQsGlobal[[#This Row],[Question]],INDIRECT("Master_Agent_HQs"&amp;'Gen Info'!$E$4&amp;"[#All]"),13,FALSE))</f>
        <v>#REF!</v>
      </c>
      <c r="W93" t="str" cm="1">
        <f t="array" ref="W93">_xlfn.IFS(LocationInfo[Select Letter Language]="English",Master_Agent_HQsGlobal[[#This Row],[Finding English]],LocationInfo[Select Letter Language]="Spanish",Master_Agent_HQsGlobal[[#This Row],[Finding Spanish]],LocationInfo[Select Letter Language]="French",Master_Agent_HQsGlobal[[#This Row],[Finding French]],LocationInfo[Select Letter Language]="Portuguese",Master_Agent_HQsGlobal[[#This Row],[Finding Portuguese]])</f>
        <v>Pending</v>
      </c>
      <c r="X93" t="s">
        <v>3017</v>
      </c>
      <c r="AA93" s="143"/>
      <c r="AB93" t="str" cm="1">
        <f t="array" ref="AB93">_xlfn.IFS(LocationInfo[Select Letter Language]="English",Master_Agent_HQsGlobal[[#This Row],[Action Required English]],LocationInfo[Select Letter Language]="Spanish",Master_Agent_HQsGlobal[[#This Row],[Action Required Spanish]],LocationInfo[Select Letter Language]="French",Master_Agent_HQsGlobal[[#This Row],[Action Required French]],LocationInfo[Select Letter Language]="Portuguese",Master_Agent_HQsGlobal[[#This Row],[Action Required Portuguese]])</f>
        <v>Pending</v>
      </c>
      <c r="AC93" t="s">
        <v>3296</v>
      </c>
      <c r="AD93" s="97" t="s">
        <v>2264</v>
      </c>
      <c r="AE93" s="97" t="s">
        <v>2264</v>
      </c>
      <c r="AF93" s="97" t="s">
        <v>2264</v>
      </c>
      <c r="AG93" s="97" t="s">
        <v>2264</v>
      </c>
      <c r="AH93" s="97" t="s">
        <v>2264</v>
      </c>
      <c r="AI93" s="97" t="s">
        <v>2264</v>
      </c>
      <c r="AJ93" t="s">
        <v>2215</v>
      </c>
      <c r="AK93" t="s">
        <v>1075</v>
      </c>
      <c r="AL93" t="s">
        <v>2581</v>
      </c>
      <c r="AO93" t="str">
        <f>IndependentGlobal[[#This Row],[Question]]&amp;"."&amp;IndependentGlobal[[#This Row],[Action Type]]&amp;IndependentGlobal[[#This Row],[Country]]</f>
        <v>GS5.GQ6.Response_Required</v>
      </c>
      <c r="AP93" t="str">
        <f ca="1">IFERROR(VLOOKUP(IndependentGlobal[[#This Row],[Question]],Independent[#All],13,FALSE),VLOOKUP(IndependentGlobal[[#This Row],[Question]],INDIRECT("Independent_"&amp;'Gen Info'!$E$4&amp;"[#All]"),13,FALSE))</f>
        <v>Políticas y Procedimientos</v>
      </c>
      <c r="AQ93" t="str" cm="1">
        <f t="array" ref="AQ93">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 xml:space="preserve"> Los operadores no tienen acceso a las Políticas y Procedimientos de AML/CFT y Anti-Fraude.</v>
      </c>
      <c r="AR93" t="s">
        <v>2734</v>
      </c>
      <c r="AV93" t="str" cm="1">
        <f t="array" ref="AV93">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confirmación indicando que todos los operadores tienen acceso al programa completo de Anti-Lavado de Dinero, Financiamiento del Terrorismo y Anti-Fraude.</v>
      </c>
      <c r="AW93" t="s">
        <v>3297</v>
      </c>
      <c r="AX93" t="s">
        <v>3291</v>
      </c>
      <c r="AY93" t="s">
        <v>3298</v>
      </c>
      <c r="AZ93" t="s">
        <v>3293</v>
      </c>
      <c r="BA93" t="s">
        <v>3299</v>
      </c>
      <c r="BB93" t="s">
        <v>3295</v>
      </c>
      <c r="BC93" t="s">
        <v>3300</v>
      </c>
      <c r="BD93" t="s">
        <v>2215</v>
      </c>
      <c r="BE93" t="s">
        <v>849</v>
      </c>
    </row>
    <row r="94" spans="2:77">
      <c r="B94" s="353" t="str">
        <f>Network_AgentGlobal[[#This Row],[Question]]&amp;"."&amp;Network_AgentGlobal[[#This Row],[Action Type]]&amp;Network_AgentGlobal[[#This Row],[Country]]</f>
        <v>GS5.GQ6.Suspension</v>
      </c>
      <c r="C94" s="353" t="str">
        <f ca="1">IFERROR(VLOOKUP(Network_AgentGlobal[[#This Row],[Question]],INDIRECT('Gen Info'!$D$4&amp;"[#All]"),13,FALSE),VLOOKUP(Network_AgentGlobal[[#This Row],[Question]],INDIRECT('Gen Info'!$D$4&amp;"_"&amp;'Gen Info'!$E$4&amp;"[#All]"),13,FALSE))</f>
        <v>Requisitos de KYC</v>
      </c>
      <c r="D94" s="353" t="str" cm="1">
        <f t="array" aca="1" ref="D94"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Algunos operadores procesan deliberadamente transacciones sabiendo que los consumidores deben estar físicamente presentes para evadir controles de cumplimiento. (Suspension)</v>
      </c>
      <c r="E94" s="353" t="s">
        <v>2513</v>
      </c>
      <c r="F94" s="353"/>
      <c r="G94" s="353"/>
      <c r="H94" s="353"/>
      <c r="I94" s="353" t="str" cm="1">
        <f t="array" ref="I94">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Brinde a Western Union evidencia o confirmación que todos los operadores han sido entrenados en el tema. Asegúrese que la confirmación incluya el tema cubierto, el nombre de las personas que asistieron a la sesión y la fecha de la capacitación.</v>
      </c>
      <c r="J94" s="353" t="s">
        <v>2388</v>
      </c>
      <c r="K94" s="353" t="s">
        <v>3301</v>
      </c>
      <c r="L94" s="353" t="s">
        <v>2389</v>
      </c>
      <c r="M94" s="353" t="s">
        <v>3302</v>
      </c>
      <c r="N94" s="353" t="s">
        <v>2390</v>
      </c>
      <c r="O94" s="353" t="s">
        <v>3303</v>
      </c>
      <c r="P94" s="353" t="s">
        <v>2391</v>
      </c>
      <c r="Q94" s="353" t="s">
        <v>2222</v>
      </c>
      <c r="R94" s="353" t="s">
        <v>849</v>
      </c>
      <c r="S94" s="353"/>
      <c r="AA94" s="143"/>
      <c r="AO94" t="str">
        <f>IndependentGlobal[[#This Row],[Question]]&amp;"."&amp;IndependentGlobal[[#This Row],[Action Type]]&amp;IndependentGlobal[[#This Row],[Country]]</f>
        <v>GS5.RQ1.Resolved_OnsiteUnited_States</v>
      </c>
      <c r="AP94" t="e">
        <f ca="1">IFERROR(VLOOKUP(IndependentGlobal[[#This Row],[Question]],Independent[#All],13,FALSE),VLOOKUP(IndependentGlobal[[#This Row],[Question]],INDIRECT("Independent_"&amp;'Gen Info'!$E$4&amp;"[#All]"),13,FALSE))</f>
        <v>#REF!</v>
      </c>
      <c r="AQ94" t="str" cm="1">
        <f t="array" ref="AQ94">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Las Políticas y Procedimientos del agente no han sido revisadas y aprobadas por la gerencia en los últimos 12 meses.</v>
      </c>
      <c r="AR94" t="s">
        <v>3304</v>
      </c>
      <c r="AV94" t="str" cm="1">
        <f t="array" ref="AV94">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El agente ha sido debidamente entrenado en este tema durante la revisión.</v>
      </c>
      <c r="AW94" t="s">
        <v>2224</v>
      </c>
      <c r="AX94" t="s">
        <v>3305</v>
      </c>
      <c r="AY94" t="s">
        <v>2226</v>
      </c>
      <c r="AZ94" t="s">
        <v>3306</v>
      </c>
      <c r="BA94" t="s">
        <v>2749</v>
      </c>
      <c r="BB94" t="s">
        <v>3307</v>
      </c>
      <c r="BC94" t="s">
        <v>2230</v>
      </c>
      <c r="BD94" t="s">
        <v>2195</v>
      </c>
      <c r="BE94" t="s">
        <v>823</v>
      </c>
      <c r="BF94" t="s">
        <v>2581</v>
      </c>
    </row>
    <row r="95" spans="2:77">
      <c r="B95" s="353" t="str">
        <f>Network_AgentGlobal[[#This Row],[Question]]&amp;"."&amp;Network_AgentGlobal[[#This Row],[Action Type]]&amp;Network_AgentGlobal[[#This Row],[Country]]</f>
        <v>GS5.GQ7.Resolved_Onsite</v>
      </c>
      <c r="C95" s="353" t="str">
        <f ca="1">IFERROR(VLOOKUP(Network_AgentGlobal[[#This Row],[Question]],INDIRECT('Gen Info'!$D$4&amp;"[#All]"),13,FALSE),VLOOKUP(Network_AgentGlobal[[#This Row],[Question]],INDIRECT('Gen Info'!$D$4&amp;"_"&amp;'Gen Info'!$E$4&amp;"[#All]"),13,FALSE))</f>
        <v>Requisitos de KYC</v>
      </c>
      <c r="D95" s="353" t="str" cm="1">
        <f t="array" aca="1" ref="D95"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Los operadores no se aseguran que todos los recibos/formularios estén debidamente completados y firmados.</v>
      </c>
      <c r="E95" s="353" t="s">
        <v>2527</v>
      </c>
      <c r="F95" s="353"/>
      <c r="G95" s="353"/>
      <c r="H95" s="353"/>
      <c r="I95" s="353" t="str" cm="1">
        <f t="array" ref="I95">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No se requiere acción. Se ha enviado al Agente material de capacitación específico sobre este tema. Todos los "FLAs" han recibido realimentación/capacitación sobre este tema en el transcurso de la revisión.</v>
      </c>
      <c r="J95" s="353" t="s">
        <v>2362</v>
      </c>
      <c r="K95" s="353" t="s">
        <v>2529</v>
      </c>
      <c r="L95" s="353" t="s">
        <v>2824</v>
      </c>
      <c r="M95" s="353" t="s">
        <v>2531</v>
      </c>
      <c r="N95" s="353" t="s">
        <v>2826</v>
      </c>
      <c r="O95" s="353" t="s">
        <v>3308</v>
      </c>
      <c r="P95" s="353" t="s">
        <v>2896</v>
      </c>
      <c r="Q95" s="353" t="s">
        <v>2195</v>
      </c>
      <c r="R95" s="353" t="s">
        <v>858</v>
      </c>
      <c r="S95" s="353"/>
      <c r="AA95" s="143"/>
      <c r="AO95" t="str">
        <f>IndependentGlobal[[#This Row],[Question]]&amp;"."&amp;IndependentGlobal[[#This Row],[Action Type]]&amp;IndependentGlobal[[#This Row],[Country]]</f>
        <v>GS5.RQ1.Resolved_OnsiteCanada</v>
      </c>
      <c r="AP95" t="e">
        <f ca="1">IFERROR(VLOOKUP(IndependentGlobal[[#This Row],[Question]],Independent[#All],13,FALSE),VLOOKUP(IndependentGlobal[[#This Row],[Question]],INDIRECT("Independent_"&amp;'Gen Info'!$E$4&amp;"[#All]"),13,FALSE))</f>
        <v>#REF!</v>
      </c>
      <c r="AQ95" t="str" cm="1">
        <f t="array" ref="AQ95">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tiene la versión más reciente del manual de AML en la localidad.</v>
      </c>
      <c r="AR95" t="s">
        <v>2939</v>
      </c>
      <c r="AV95" t="str" cm="1">
        <f t="array" ref="AV95">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Todos los operadores han sido debidamente entrenados en este tema durante la revisión.</v>
      </c>
      <c r="AW95" t="s">
        <v>2378</v>
      </c>
      <c r="AX95" t="s">
        <v>3309</v>
      </c>
      <c r="AY95" t="s">
        <v>2380</v>
      </c>
      <c r="AZ95" t="s">
        <v>3310</v>
      </c>
      <c r="BA95" t="s">
        <v>2382</v>
      </c>
      <c r="BB95" t="s">
        <v>3311</v>
      </c>
      <c r="BC95" t="s">
        <v>3312</v>
      </c>
      <c r="BD95" t="s">
        <v>2195</v>
      </c>
      <c r="BE95" t="s">
        <v>823</v>
      </c>
      <c r="BF95" t="s">
        <v>2281</v>
      </c>
    </row>
    <row r="96" spans="2:77">
      <c r="B96" s="353" t="str">
        <f>Network_AgentGlobal[[#This Row],[Question]]&amp;"."&amp;Network_AgentGlobal[[#This Row],[Action Type]]&amp;Network_AgentGlobal[[#This Row],[Country]]</f>
        <v>GS5.GQ7.Response_Required</v>
      </c>
      <c r="C96" s="353" t="str">
        <f ca="1">IFERROR(VLOOKUP(Network_AgentGlobal[[#This Row],[Question]],INDIRECT('Gen Info'!$D$4&amp;"[#All]"),13,FALSE),VLOOKUP(Network_AgentGlobal[[#This Row],[Question]],INDIRECT('Gen Info'!$D$4&amp;"_"&amp;'Gen Info'!$E$4&amp;"[#All]"),13,FALSE))</f>
        <v>Requisitos de KYC</v>
      </c>
      <c r="D96" s="353" t="str" cm="1">
        <f t="array" aca="1" ref="D96"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Los operadores no se aseguran que todos los recibos/formularios estén debidamente completados y firmados.</v>
      </c>
      <c r="E96" s="353" t="s">
        <v>2527</v>
      </c>
      <c r="F96" s="353"/>
      <c r="G96" s="353"/>
      <c r="H96" s="353"/>
      <c r="I96" s="353" t="str" cm="1">
        <f t="array" ref="I96">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Brinde a Western Union evidencia o confirmación que todos los operadores han sido entrenados en el tema. Asegúrese que la confirmación incluya el tema cubierto, el nombre de las personas que asistieron a la sesión y la fecha de la capacitación.</v>
      </c>
      <c r="J96" s="353" t="s">
        <v>2388</v>
      </c>
      <c r="K96" s="353" t="s">
        <v>2529</v>
      </c>
      <c r="L96" s="353" t="s">
        <v>2389</v>
      </c>
      <c r="M96" s="353" t="s">
        <v>2531</v>
      </c>
      <c r="N96" s="353" t="s">
        <v>2390</v>
      </c>
      <c r="O96" s="353" t="s">
        <v>3308</v>
      </c>
      <c r="P96" s="353" t="s">
        <v>2391</v>
      </c>
      <c r="Q96" s="353" t="s">
        <v>2215</v>
      </c>
      <c r="R96" s="353" t="s">
        <v>858</v>
      </c>
      <c r="S96" s="353"/>
      <c r="AA96" s="143"/>
      <c r="AO96" t="str">
        <f>IndependentGlobal[[#This Row],[Question]]&amp;"."&amp;IndependentGlobal[[#This Row],[Action Type]]&amp;IndependentGlobal[[#This Row],[Country]]</f>
        <v>GS6.GQ1.Resolved_Onsite</v>
      </c>
      <c r="AP96" t="str">
        <f ca="1">IFERROR(VLOOKUP(IndependentGlobal[[#This Row],[Question]],Independent[#All],13,FALSE),VLOOKUP(IndependentGlobal[[#This Row],[Question]],INDIRECT("Independent_"&amp;'Gen Info'!$E$4&amp;"[#All]"),13,FALSE))</f>
        <v>Elaboración de Informes</v>
      </c>
      <c r="AQ96" t="str" cm="1">
        <f t="array" ref="AQ96">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tiene un proceso claramente documentado para todos los empleados incluyendo operadores, personal de cumplimiento y jefatura para reportar actividades sospechosas o inquietudes relacionadas a las regulaciones locales y/o de Western Union (Cuando Aplique).</v>
      </c>
      <c r="AR96" t="s">
        <v>3313</v>
      </c>
      <c r="AV96" t="str" cm="1">
        <f t="array" ref="AV96">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requiere acción. Todos los operadores han sido entrenados en el tema durante la revisión.</v>
      </c>
      <c r="AW96" t="s">
        <v>2583</v>
      </c>
      <c r="AX96" t="s">
        <v>3314</v>
      </c>
      <c r="AY96" t="s">
        <v>2585</v>
      </c>
      <c r="AZ96" t="s">
        <v>3315</v>
      </c>
      <c r="BA96" t="s">
        <v>2587</v>
      </c>
      <c r="BB96" t="s">
        <v>3316</v>
      </c>
      <c r="BC96" t="s">
        <v>2589</v>
      </c>
      <c r="BD96" t="s">
        <v>2195</v>
      </c>
      <c r="BE96" t="s">
        <v>881</v>
      </c>
    </row>
    <row r="97" spans="2:58">
      <c r="B97" s="353" t="str">
        <f>Network_AgentGlobal[[#This Row],[Question]]&amp;"."&amp;Network_AgentGlobal[[#This Row],[Action Type]]&amp;Network_AgentGlobal[[#This Row],[Country]]</f>
        <v>GS5.GQ7.Suspension</v>
      </c>
      <c r="C97" s="353" t="str">
        <f ca="1">IFERROR(VLOOKUP(Network_AgentGlobal[[#This Row],[Question]],INDIRECT('Gen Info'!$D$4&amp;"[#All]"),13,FALSE),VLOOKUP(Network_AgentGlobal[[#This Row],[Question]],INDIRECT('Gen Info'!$D$4&amp;"_"&amp;'Gen Info'!$E$4&amp;"[#All]"),13,FALSE))</f>
        <v>Requisitos de KYC</v>
      </c>
      <c r="D97" s="353" t="str" cm="1">
        <f t="array" aca="1" ref="D97"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Los operadores procesan deliberadamente transacciones sin asegurarse que los formularios/recibos estén debidamente completos para evadir los controles de cumplimiento. (Suspensión)</v>
      </c>
      <c r="E97" s="353" t="s">
        <v>2560</v>
      </c>
      <c r="F97" s="353"/>
      <c r="G97" s="353"/>
      <c r="H97" s="353"/>
      <c r="I97" s="353" t="str" cm="1">
        <f t="array" ref="I97">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Brinde a Western Union evidencia o confirmación que todos los operadores han sido entrenados en el tema. Asegúrese que la confirmación incluya el tema cubierto, el nombre de las personas que asistieron a la sesión y la fecha de la capacitación.</v>
      </c>
      <c r="J97" s="353" t="s">
        <v>2388</v>
      </c>
      <c r="K97" s="353" t="s">
        <v>3317</v>
      </c>
      <c r="L97" s="353" t="s">
        <v>2389</v>
      </c>
      <c r="M97" s="353" t="s">
        <v>3318</v>
      </c>
      <c r="N97" s="353" t="s">
        <v>2390</v>
      </c>
      <c r="O97" s="353" t="s">
        <v>3319</v>
      </c>
      <c r="P97" s="353" t="s">
        <v>2391</v>
      </c>
      <c r="Q97" s="353" t="s">
        <v>2222</v>
      </c>
      <c r="R97" s="353" t="s">
        <v>858</v>
      </c>
      <c r="S97" s="353"/>
      <c r="AA97" s="143"/>
      <c r="AO97" t="str">
        <f>IndependentGlobal[[#This Row],[Question]]&amp;"."&amp;IndependentGlobal[[#This Row],[Action Type]]&amp;IndependentGlobal[[#This Row],[Country]]</f>
        <v>GS6.GQ1.Response_Required</v>
      </c>
      <c r="AP97" t="str">
        <f ca="1">IFERROR(VLOOKUP(IndependentGlobal[[#This Row],[Question]],Independent[#All],13,FALSE),VLOOKUP(IndependentGlobal[[#This Row],[Question]],INDIRECT("Independent_"&amp;'Gen Info'!$E$4&amp;"[#All]"),13,FALSE))</f>
        <v>Elaboración de Informes</v>
      </c>
      <c r="AQ97" t="str" cm="1">
        <f t="array" ref="AQ97">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tiene un proceso claramente documentado para todos los empleados incluyendo operadores, personal de cumplimiento y jefatura para reportar actividades sospechosas o inquietudes relacionadas a las regulaciones locales y/o de Western Union (Cuando Aplique).</v>
      </c>
      <c r="AR97" t="s">
        <v>3313</v>
      </c>
      <c r="AV97" t="str" cm="1">
        <f t="array" ref="AV97">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confirmación donde se evidencie que todos los empleados han sido entrenados en este tema. Asegúrese que la confirmación incluya el tema cubierto, el nombre de las personas que asistieron a la sesión y la fecha de la capacitación.</v>
      </c>
      <c r="AW97" t="s">
        <v>2400</v>
      </c>
      <c r="AX97" t="s">
        <v>3314</v>
      </c>
      <c r="AY97" t="s">
        <v>2401</v>
      </c>
      <c r="AZ97" t="s">
        <v>3320</v>
      </c>
      <c r="BA97" t="s">
        <v>2402</v>
      </c>
      <c r="BB97" t="s">
        <v>3316</v>
      </c>
      <c r="BC97" t="s">
        <v>2403</v>
      </c>
      <c r="BD97" t="s">
        <v>2215</v>
      </c>
      <c r="BE97" t="s">
        <v>881</v>
      </c>
    </row>
    <row r="98" spans="2:58">
      <c r="B98" s="353" t="str">
        <f>Network_AgentGlobal[[#This Row],[Question]]&amp;"."&amp;Network_AgentGlobal[[#This Row],[Action Type]]&amp;Network_AgentGlobal[[#This Row],[Country]]</f>
        <v>GS5.GQ8.Resolved_Onsite</v>
      </c>
      <c r="C98" s="353" t="str">
        <f ca="1">IFERROR(VLOOKUP(Network_AgentGlobal[[#This Row],[Question]],INDIRECT('Gen Info'!$D$4&amp;"[#All]"),13,FALSE),VLOOKUP(Network_AgentGlobal[[#This Row],[Question]],INDIRECT('Gen Info'!$D$4&amp;"_"&amp;'Gen Info'!$E$4&amp;"[#All]"),13,FALSE))</f>
        <v>Requisitos de KYC</v>
      </c>
      <c r="D98" s="353" t="str" cm="1">
        <f t="array" aca="1" ref="D98"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Los operadores no están familiarizados con el ECDD y/o los procedimientos de LPMT.</v>
      </c>
      <c r="E98" s="353" t="s">
        <v>2590</v>
      </c>
      <c r="F98" s="353"/>
      <c r="G98" s="353"/>
      <c r="H98" s="353"/>
      <c r="I98" s="353" t="str" cm="1">
        <f t="array" ref="I98">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No se requiere acción. Se ha enviado al Agente material de capacitación específico sobre este tema. Todos los "FLAs" han recibido realimentación/capacitación sobre este tema en el transcurso de la revisión.</v>
      </c>
      <c r="J98" s="353" t="s">
        <v>2362</v>
      </c>
      <c r="K98" s="353" t="s">
        <v>2591</v>
      </c>
      <c r="L98" s="353" t="s">
        <v>2824</v>
      </c>
      <c r="M98" s="353" t="s">
        <v>2592</v>
      </c>
      <c r="N98" s="353" t="s">
        <v>2826</v>
      </c>
      <c r="O98" s="353" t="s">
        <v>2593</v>
      </c>
      <c r="P98" s="353" t="s">
        <v>2896</v>
      </c>
      <c r="Q98" s="353" t="s">
        <v>2195</v>
      </c>
      <c r="R98" s="353" t="s">
        <v>871</v>
      </c>
      <c r="S98" s="353"/>
      <c r="AA98" s="143"/>
      <c r="AO98" t="str">
        <f>IndependentGlobal[[#This Row],[Question]]&amp;"."&amp;IndependentGlobal[[#This Row],[Action Type]]&amp;IndependentGlobal[[#This Row],[Country]]</f>
        <v>GS6.GQ2.Resolved_Onsite</v>
      </c>
      <c r="AP98" t="str">
        <f ca="1">IFERROR(VLOOKUP(IndependentGlobal[[#This Row],[Question]],Independent[#All],13,FALSE),VLOOKUP(IndependentGlobal[[#This Row],[Question]],INDIRECT("Independent_"&amp;'Gen Info'!$E$4&amp;"[#All]"),13,FALSE))</f>
        <v>Elaboración de Informes</v>
      </c>
      <c r="AQ98" s="166" t="e" cm="1">
        <f t="array" ref="AQ98">_xlfn.IFS(LocationInfo[Select Letter Language]="English",_xlfn.IFS(INDEX(CallTb[#All],MATCH(IndependentGlobal[[#This Row],[QNumber]],CallTb[[#All],[QNumber]],0),18)="","",INDEX(CallTb[#All],MATCH(IndependentGlobal[[#This Row],[QNumber]],CallTb[[#All],[QNumber]],0),18)="No_AML",IndependentGlobal[[#This Row],[Finding English AML]],INDEX(CallTb[#All],MATCH(IndependentGlobal[[#This Row],[QNumber]],CallTb[[#All],[QNumber]],0),18)="No",IndependentGlobal[[#This Row],[Finding English]]),LocationInfo[Select Letter Language]="Spanish",_xlfn.IFS(INDEX(CallTb[#All],MATCH(IndependentGlobal[[#This Row],[QNumber]],CallTb[[#All],[QNumber]],0),18)="","",INDEX(CallTb[#All],MATCH(IndependentGlobal[[#This Row],[QNumber]],CallTb[[#All],[QNumber]],0),18)="No_AML","El agente no está cumpliendo con todos los requerimientos aplicables regulatorios de reporte.",INDEX(CallTb[#All],MATCH(IndependentGlobal[[#This Row],[QNumber]],CallTb[[#All],[QNumber]],0),18)="No",IndependentGlobal[[#This Row],[Finding Spanish]]),LocationInfo[Select Letter Language]="French",_xlfn.IFS(INDEX(CallTb[#All],MATCH(IndependentGlobal[[#This Row],[QNumber]],CallTb[[#All],[QNumber]],0),18)="","",INDEX(CallTb[#All],MATCH(IndependentGlobal[[#This Row],[QNumber]],CallTb[[#All],[QNumber]],0),18)="No_AML","L'Agent ne se conforme pas à toutes les exigences réglementaires applicables en matière de rapport",INDEX(CallTb[#All],MATCH(IndependentGlobal[[#This Row],[QNumber]],CallTb[[#All],[QNumber]],0),18)="No",IndependentGlobal[[#This Row],[Finding French]]),LocationInfo[Select Letter Language]="Portuguese",_xlfn.IFS(INDEX(CallTb[#All],MATCH(IndependentGlobal[[#This Row],[QNumber]],CallTb[[#All],[QNumber]],0),18)="","",INDEX(CallTb[#All],MATCH(IndependentGlobal[[#This Row],[QNumber]],CallTb[[#All],[QNumber]],0),18)="No_AML","O Agente não está em conformidade com todos os requisitos de relatórios regulamentares aplicáveis.",INDEX(CallTb[#All],MATCH(IndependentGlobal[[#This Row],[QNumber]],CallTb[[#All],[QNumber]],0),18)="No",IndependentGlobal[[#This Row],[Finding Portuguese]]))</f>
        <v>#N/A</v>
      </c>
      <c r="AR98" s="166" t="s">
        <v>3321</v>
      </c>
      <c r="AS98" s="166" t="s">
        <v>2637</v>
      </c>
      <c r="AV98" t="str" cm="1">
        <f t="array" ref="AV98">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requiere acción. Se capacitó al agente durante la revisión. Se brindó también material de capacitación.</v>
      </c>
      <c r="AW98" t="s">
        <v>2495</v>
      </c>
      <c r="AX98" s="166" t="e">
        <f>IF(INDEX(CallTb[#All],MATCH(IndependentGlobal[[#This Row],[QNumber]],CallTb[[#All],[QNumber]],0),18)="No_AML","El agente no está cumpliendo con todos los requerimientos aplicables regulatorios de reporte.","El agente no conoce todos los requerimientos aplicables regulatorios de reporte.")</f>
        <v>#N/A</v>
      </c>
      <c r="AY98" t="s">
        <v>2496</v>
      </c>
      <c r="AZ98" s="166" t="e">
        <f>IF(INDEX(CallTb[#All],MATCH(IndependentGlobal[[#This Row],[QNumber]],CallTb[[#All],[QNumber]],0),18)="No_AML","L'Agent ne se conforme pas à toutes les exigences réglementaires applicables en matière de rapport","L'agent n'est pas au courant de toutes les exigences réglementaires applicables en matière de rapports.")</f>
        <v>#N/A</v>
      </c>
      <c r="BA98" t="s">
        <v>2497</v>
      </c>
      <c r="BB98" s="166" t="e">
        <f>IF(INDEX(CallTb[#All],MATCH(IndependentGlobal[[#This Row],[QNumber]],CallTb[[#All],[QNumber]],0),18)="No_AML","O Agente não está em conformidade com todos os requisitos de relatórios regulamentares aplicáveis.","O Agente não está ciente de todos os requisitos de relatórios regulamentares aplicáveis.")</f>
        <v>#N/A</v>
      </c>
      <c r="BC98" t="s">
        <v>2498</v>
      </c>
      <c r="BD98" t="s">
        <v>2195</v>
      </c>
      <c r="BE98" t="s">
        <v>893</v>
      </c>
    </row>
    <row r="99" spans="2:58">
      <c r="B99" s="353" t="str">
        <f>Network_AgentGlobal[[#This Row],[Question]]&amp;"."&amp;Network_AgentGlobal[[#This Row],[Action Type]]&amp;Network_AgentGlobal[[#This Row],[Country]]</f>
        <v>GS5.GQ8.Response_Required</v>
      </c>
      <c r="C99" s="353" t="str">
        <f ca="1">IFERROR(VLOOKUP(Network_AgentGlobal[[#This Row],[Question]],INDIRECT('Gen Info'!$D$4&amp;"[#All]"),13,FALSE),VLOOKUP(Network_AgentGlobal[[#This Row],[Question]],INDIRECT('Gen Info'!$D$4&amp;"_"&amp;'Gen Info'!$E$4&amp;"[#All]"),13,FALSE))</f>
        <v>Requisitos de KYC</v>
      </c>
      <c r="D99" s="353" t="str" cm="1">
        <f t="array" aca="1" ref="D99"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Los operadores no están familiarizados con el ECDD y/o los procedimientos de LPMT.</v>
      </c>
      <c r="E99" s="353" t="s">
        <v>2590</v>
      </c>
      <c r="F99" s="353"/>
      <c r="G99" s="353"/>
      <c r="H99" s="353"/>
      <c r="I99" s="353" t="str" cm="1">
        <f t="array" ref="I99">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Brinde a Western Union evidencia o confirmación que todos los operadores han sido entrenados en el tema. Asegúrese que la confirmación incluya el tema cubierto, el nombre de las personas que asistieron a la sesión y la fecha de la capacitación.</v>
      </c>
      <c r="J99" s="353" t="s">
        <v>2388</v>
      </c>
      <c r="K99" s="353" t="s">
        <v>2591</v>
      </c>
      <c r="L99" s="353" t="s">
        <v>2389</v>
      </c>
      <c r="M99" s="353" t="s">
        <v>2592</v>
      </c>
      <c r="N99" s="353" t="s">
        <v>2390</v>
      </c>
      <c r="O99" s="353" t="s">
        <v>2593</v>
      </c>
      <c r="P99" s="353" t="s">
        <v>2391</v>
      </c>
      <c r="Q99" s="353" t="s">
        <v>2215</v>
      </c>
      <c r="R99" s="353" t="s">
        <v>871</v>
      </c>
      <c r="S99" s="353"/>
      <c r="AA99" s="143"/>
      <c r="AO99" t="str">
        <f>IndependentGlobal[[#This Row],[Question]]&amp;"."&amp;IndependentGlobal[[#This Row],[Action Type]]&amp;IndependentGlobal[[#This Row],[Country]]</f>
        <v>GS6.GQ2.Response_Required</v>
      </c>
      <c r="AP99" t="str">
        <f ca="1">IFERROR(VLOOKUP(IndependentGlobal[[#This Row],[Question]],Independent[#All],13,FALSE),VLOOKUP(IndependentGlobal[[#This Row],[Question]],INDIRECT("Independent_"&amp;'Gen Info'!$E$4&amp;"[#All]"),13,FALSE))</f>
        <v>Elaboración de Informes</v>
      </c>
      <c r="AQ99" s="166" t="e" cm="1">
        <f t="array" ref="AQ99">_xlfn.IFS(LocationInfo[Select Letter Language]="English",_xlfn.IFS(INDEX(CallTb[#All],MATCH(IndependentGlobal[[#This Row],[QNumber]],CallTb[[#All],[QNumber]],0),18)="","",INDEX(CallTb[#All],MATCH(IndependentGlobal[[#This Row],[QNumber]],CallTb[[#All],[QNumber]],0),18)="No_AML",IndependentGlobal[[#This Row],[Finding English AML]],INDEX(CallTb[#All],MATCH(IndependentGlobal[[#This Row],[QNumber]],CallTb[[#All],[QNumber]],0),18)="No",IndependentGlobal[[#This Row],[Finding English]]),LocationInfo[Select Letter Language]="Spanish",_xlfn.IFS(INDEX(CallTb[#All],MATCH(IndependentGlobal[[#This Row],[QNumber]],CallTb[[#All],[QNumber]],0),18)="","",INDEX(CallTb[#All],MATCH(IndependentGlobal[[#This Row],[QNumber]],CallTb[[#All],[QNumber]],0),18)="No_AML","El agente no está cumpliendo con todos los requerimientos aplicables regulatorios de reporte.",INDEX(CallTb[#All],MATCH(IndependentGlobal[[#This Row],[QNumber]],CallTb[[#All],[QNumber]],0),18)="No",IndependentGlobal[[#This Row],[Finding Spanish]]),LocationInfo[Select Letter Language]="French",_xlfn.IFS(INDEX(CallTb[#All],MATCH(IndependentGlobal[[#This Row],[QNumber]],CallTb[[#All],[QNumber]],0),18)="","",INDEX(CallTb[#All],MATCH(IndependentGlobal[[#This Row],[QNumber]],CallTb[[#All],[QNumber]],0),18)="No_AML","L'Agent ne se conforme pas à toutes les exigences réglementaires applicables en matière de rapport.",INDEX(CallTb[#All],MATCH(IndependentGlobal[[#This Row],[QNumber]],CallTb[[#All],[QNumber]],0),18)="No",IndependentGlobal[[#This Row],[Finding French]]),LocationInfo[Select Letter Language]="Portuguese",_xlfn.IFS(INDEX(CallTb[#All],MATCH(IndependentGlobal[[#This Row],[QNumber]],CallTb[[#All],[QNumber]],0),18)="","",INDEX(CallTb[#All],MATCH(IndependentGlobal[[#This Row],[QNumber]],CallTb[[#All],[QNumber]],0),18)="No_AML","O Agente não está em conformidade com todos os requisitos de relatórios regulamentares aplicáveis.",INDEX(CallTb[#All],MATCH(IndependentGlobal[[#This Row],[QNumber]],CallTb[[#All],[QNumber]],0),18)="No",IndependentGlobal[[#This Row],[Finding Portuguese]]))</f>
        <v>#N/A</v>
      </c>
      <c r="AR99" s="166" t="s">
        <v>3321</v>
      </c>
      <c r="AS99" s="166" t="s">
        <v>2637</v>
      </c>
      <c r="AV99" t="str" cm="1">
        <f t="array" ref="AV99">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evidencia que muestre que están cumpliendo con los requerimientos regulatorios de reporte.</v>
      </c>
      <c r="AW99" t="s">
        <v>2941</v>
      </c>
      <c r="AX99" t="s">
        <v>3322</v>
      </c>
      <c r="AY99" t="s">
        <v>2942</v>
      </c>
      <c r="AZ99" t="s">
        <v>3323</v>
      </c>
      <c r="BA99" t="s">
        <v>2943</v>
      </c>
      <c r="BB99" t="s">
        <v>3324</v>
      </c>
      <c r="BC99" t="s">
        <v>2944</v>
      </c>
      <c r="BD99" t="s">
        <v>2215</v>
      </c>
      <c r="BE99" t="s">
        <v>893</v>
      </c>
    </row>
    <row r="100" spans="2:58">
      <c r="B100" s="353" t="str">
        <f>Network_AgentGlobal[[#This Row],[Question]]&amp;"."&amp;Network_AgentGlobal[[#This Row],[Action Type]]&amp;Network_AgentGlobal[[#This Row],[Country]]</f>
        <v>GS5.GQ8.Suspension</v>
      </c>
      <c r="C100" s="353" t="str">
        <f ca="1">IFERROR(VLOOKUP(Network_AgentGlobal[[#This Row],[Question]],INDIRECT('Gen Info'!$D$4&amp;"[#All]"),13,FALSE),VLOOKUP(Network_AgentGlobal[[#This Row],[Question]],INDIRECT('Gen Info'!$D$4&amp;"_"&amp;'Gen Info'!$E$4&amp;"[#All]"),13,FALSE))</f>
        <v>Requisitos de KYC</v>
      </c>
      <c r="D100" s="353" t="str" cm="1">
        <f t="array" aca="1" ref="D100"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Los operadores conocen los procedimientos de ECDD y LPMT pero no los siguen.</v>
      </c>
      <c r="E100" s="353" t="s">
        <v>2613</v>
      </c>
      <c r="F100" s="353"/>
      <c r="G100" s="353"/>
      <c r="H100" s="353"/>
      <c r="I100" s="353" t="str" cm="1">
        <f t="array" ref="I100">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Brinde a Western Union evidencia o confirmación que todos los operadores han sido entrenados en el tema. Asegúrese que la confirmación incluya el tema cubierto, el nombre de las personas que asistieron a la sesión y la fecha de la capacitación.</v>
      </c>
      <c r="J100" s="353" t="s">
        <v>2388</v>
      </c>
      <c r="K100" s="353" t="s">
        <v>2614</v>
      </c>
      <c r="L100" s="353" t="s">
        <v>2389</v>
      </c>
      <c r="M100" s="353" t="s">
        <v>2615</v>
      </c>
      <c r="N100" s="353" t="s">
        <v>2390</v>
      </c>
      <c r="O100" s="353" t="s">
        <v>2616</v>
      </c>
      <c r="P100" s="353" t="s">
        <v>2391</v>
      </c>
      <c r="Q100" s="353" t="s">
        <v>2222</v>
      </c>
      <c r="R100" s="353" t="s">
        <v>871</v>
      </c>
      <c r="S100" s="353"/>
      <c r="AA100" s="143"/>
      <c r="AO100" t="str">
        <f>IndependentGlobal[[#This Row],[Question]]&amp;"."&amp;IndependentGlobal[[#This Row],[Action Type]]&amp;IndependentGlobal[[#This Row],[Country]]</f>
        <v>GS6.RQ1.Resolved_OnsiteUnited_States</v>
      </c>
      <c r="AP100" t="e">
        <f ca="1">IFERROR(VLOOKUP(IndependentGlobal[[#This Row],[Question]],Independent[#All],13,FALSE),VLOOKUP(IndependentGlobal[[#This Row],[Question]],INDIRECT("Independent_"&amp;'Gen Info'!$E$4&amp;"[#All]"),13,FALSE))</f>
        <v>#REF!</v>
      </c>
      <c r="AQ100" t="str" cm="1">
        <f t="array" ref="AQ100">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está registrado en el sistema E-Filing de FinCEN.</v>
      </c>
      <c r="AR100" t="s">
        <v>2603</v>
      </c>
      <c r="AV100" t="str" cm="1">
        <f t="array" ref="AV100">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Se le ha asistido al agente completando su registro de BSA E-Filing durante el proceso de revisión.</v>
      </c>
      <c r="AW100" t="s">
        <v>2805</v>
      </c>
      <c r="AX100" t="s">
        <v>3211</v>
      </c>
      <c r="AY100" t="s">
        <v>3212</v>
      </c>
      <c r="AZ100" t="s">
        <v>3213</v>
      </c>
      <c r="BA100" t="s">
        <v>3214</v>
      </c>
      <c r="BB100" t="s">
        <v>3325</v>
      </c>
      <c r="BC100" t="s">
        <v>3326</v>
      </c>
      <c r="BD100" t="s">
        <v>2195</v>
      </c>
      <c r="BE100" t="s">
        <v>579</v>
      </c>
      <c r="BF100" t="s">
        <v>2581</v>
      </c>
    </row>
    <row r="101" spans="2:58">
      <c r="B101" s="353" t="str">
        <f>Network_AgentGlobal[[#This Row],[Question]]&amp;"."&amp;Network_AgentGlobal[[#This Row],[Action Type]]&amp;Network_AgentGlobal[[#This Row],[Country]]</f>
        <v>GS5.RQ1.SuspensionCanada</v>
      </c>
      <c r="C101" s="353" t="e">
        <f ca="1">IFERROR(VLOOKUP(Network_AgentGlobal[[#This Row],[Question]],INDIRECT('Gen Info'!$D$4&amp;"[#All]"),13,FALSE),VLOOKUP(Network_AgentGlobal[[#This Row],[Question]],INDIRECT('Gen Info'!$D$4&amp;"_"&amp;'Gen Info'!$E$4&amp;"[#All]"),13,FALSE))</f>
        <v>#REF!</v>
      </c>
      <c r="D101" s="353" t="str" cm="1">
        <f t="array" aca="1" ref="D101"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El Agente no pudo demostrar ni proporcionar evidencia de la verificacion requerida del nombre del cliente en las listas de sanciones apropiadas.</v>
      </c>
      <c r="E101" s="353" t="s">
        <v>2629</v>
      </c>
      <c r="F101" s="353"/>
      <c r="G101" s="353"/>
      <c r="H101" s="353"/>
      <c r="I101" s="353" t="str" cm="1">
        <f t="array" ref="I101">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Escale inmediatamente al Gerente de Cumplimiento de WU para aprobacion de suspensión de los servicios de giros postales (MO).</v>
      </c>
      <c r="J101" s="353" t="s">
        <v>3327</v>
      </c>
      <c r="K101" s="353" t="s">
        <v>3328</v>
      </c>
      <c r="L101" s="353" t="s">
        <v>3329</v>
      </c>
      <c r="M101" s="353" t="s">
        <v>3330</v>
      </c>
      <c r="N101" s="353" t="s">
        <v>3331</v>
      </c>
      <c r="O101" s="353" t="s">
        <v>3332</v>
      </c>
      <c r="P101" s="353" t="s">
        <v>3333</v>
      </c>
      <c r="Q101" s="353" t="s">
        <v>2222</v>
      </c>
      <c r="R101" s="353" t="s">
        <v>823</v>
      </c>
      <c r="S101" s="353" t="s">
        <v>2281</v>
      </c>
      <c r="AA101" s="143"/>
      <c r="AO101" t="str">
        <f>IndependentGlobal[[#This Row],[Question]]&amp;"."&amp;IndependentGlobal[[#This Row],[Action Type]]&amp;IndependentGlobal[[#This Row],[Country]]</f>
        <v>GS6.RQ1.Response_RequiredUnited_States</v>
      </c>
      <c r="AP101" t="e">
        <f ca="1">IFERROR(VLOOKUP(IndependentGlobal[[#This Row],[Question]],Independent[#All],13,FALSE),VLOOKUP(IndependentGlobal[[#This Row],[Question]],INDIRECT("Independent_"&amp;'Gen Info'!$E$4&amp;"[#All]"),13,FALSE))</f>
        <v>#REF!</v>
      </c>
      <c r="AQ101" t="str" cm="1">
        <f t="array" ref="AQ101">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está registrado en el sistema E-Filing de FinCEN.</v>
      </c>
      <c r="AR101" t="s">
        <v>2603</v>
      </c>
      <c r="AV101" t="str" cm="1">
        <f t="array" ref="AV101">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Proporcione a Western Union una captura de pantalla que muestre que ha iniciado sesión en el sitio web del BSA E-Filing de forma exitosa. Si no puede brindar una captura de pantalla, el correo electrónico de confirmación del BSA será suficiente, pero se prefiere una captura de pantalla.</v>
      </c>
      <c r="AW101" t="s">
        <v>2793</v>
      </c>
      <c r="AX101" t="s">
        <v>3211</v>
      </c>
      <c r="AY101" t="s">
        <v>3223</v>
      </c>
      <c r="AZ101" t="s">
        <v>3213</v>
      </c>
      <c r="BA101" t="s">
        <v>3224</v>
      </c>
      <c r="BB101" t="s">
        <v>3325</v>
      </c>
      <c r="BC101" t="s">
        <v>3334</v>
      </c>
      <c r="BD101" t="s">
        <v>2215</v>
      </c>
      <c r="BE101" t="s">
        <v>579</v>
      </c>
      <c r="BF101" t="s">
        <v>2581</v>
      </c>
    </row>
    <row r="102" spans="2:58">
      <c r="B102" s="353" t="str">
        <f>Network_AgentGlobal[[#This Row],[Question]]&amp;"."&amp;Network_AgentGlobal[[#This Row],[Action Type]]&amp;Network_AgentGlobal[[#This Row],[Country]]</f>
        <v>GS5.RQ1.Resolved_OnsiteIndia</v>
      </c>
      <c r="C102" s="353" t="e">
        <f ca="1">IFERROR(VLOOKUP(Network_AgentGlobal[[#This Row],[Question]],INDIRECT('Gen Info'!$D$4&amp;"[#All]"),13,FALSE),VLOOKUP(Network_AgentGlobal[[#This Row],[Question]],INDIRECT('Gen Info'!$D$4&amp;"_"&amp;'Gen Info'!$E$4&amp;"[#All]"),13,FALSE))</f>
        <v>#REF!</v>
      </c>
      <c r="D102" s="353" cm="1">
        <f t="array" aca="1" ref="D102"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102" s="353" t="s">
        <v>3335</v>
      </c>
      <c r="F102" s="353"/>
      <c r="G102" s="353"/>
      <c r="H102" s="353"/>
      <c r="I102" s="353" cm="1">
        <f t="array" ref="I102">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102" s="353" t="s">
        <v>2570</v>
      </c>
      <c r="K102" s="353"/>
      <c r="L102" s="353"/>
      <c r="M102" s="353"/>
      <c r="N102" s="353"/>
      <c r="O102" s="353"/>
      <c r="P102" s="353"/>
      <c r="Q102" s="353" t="s">
        <v>2195</v>
      </c>
      <c r="R102" s="353" t="s">
        <v>823</v>
      </c>
      <c r="S102" s="353" t="s">
        <v>3162</v>
      </c>
      <c r="AA102" s="143"/>
      <c r="AO102" t="str">
        <f>IndependentGlobal[[#This Row],[Question]]&amp;"."&amp;IndependentGlobal[[#This Row],[Action Type]]&amp;IndependentGlobal[[#This Row],[Country]]</f>
        <v>GS6.RQ1.Resolved_OnsiteCanada</v>
      </c>
      <c r="AP102" t="e">
        <f ca="1">IFERROR(VLOOKUP(IndependentGlobal[[#This Row],[Question]],Independent[#All],13,FALSE),VLOOKUP(IndependentGlobal[[#This Row],[Question]],INDIRECT("Independent_"&amp;'Gen Info'!$E$4&amp;"[#All]"),13,FALSE))</f>
        <v>#REF!</v>
      </c>
      <c r="AQ102" t="str" cm="1">
        <f t="array" ref="AQ102">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sabe describir los pasos apropiados para completar los LCTRs.</v>
      </c>
      <c r="AR102" t="s">
        <v>3336</v>
      </c>
      <c r="AV102" t="str" cm="1">
        <f t="array" ref="AV102">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El agente ha sido debidamente entrenado en este tema durante la revisión.</v>
      </c>
      <c r="AW102" t="s">
        <v>2224</v>
      </c>
      <c r="AX102" t="s">
        <v>3337</v>
      </c>
      <c r="AY102" t="s">
        <v>2226</v>
      </c>
      <c r="AZ102" t="s">
        <v>3338</v>
      </c>
      <c r="BA102" t="s">
        <v>2749</v>
      </c>
      <c r="BB102" t="s">
        <v>3339</v>
      </c>
      <c r="BC102" t="s">
        <v>2230</v>
      </c>
      <c r="BD102" t="s">
        <v>2195</v>
      </c>
      <c r="BE102" t="s">
        <v>579</v>
      </c>
      <c r="BF102" t="s">
        <v>2281</v>
      </c>
    </row>
    <row r="103" spans="2:58">
      <c r="B103" s="353" t="str">
        <f>Network_AgentGlobal[[#This Row],[Question]]&amp;"."&amp;Network_AgentGlobal[[#This Row],[Action Type]]&amp;Network_AgentGlobal[[#This Row],[Country]]</f>
        <v>GS8.RQ1.Resolved_OnsiteCanada</v>
      </c>
      <c r="C103" s="353" t="e">
        <f ca="1">IFERROR(VLOOKUP(Network_AgentGlobal[[#This Row],[Question]],INDIRECT('Gen Info'!$D$4&amp;"[#All]"),13,FALSE),VLOOKUP(Network_AgentGlobal[[#This Row],[Question]],INDIRECT('Gen Info'!$D$4&amp;"_"&amp;'Gen Info'!$E$4&amp;"[#All]"),13,FALSE))</f>
        <v>#REF!</v>
      </c>
      <c r="D103" s="353" t="str" cm="1">
        <f t="array" aca="1" ref="D103"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El agente no completa ni conserva registros de MO para identificar ventas de $3,000 o más.</v>
      </c>
      <c r="E103" s="353" t="s">
        <v>3281</v>
      </c>
      <c r="F103" s="353"/>
      <c r="G103" s="353"/>
      <c r="H103" s="353"/>
      <c r="I103" s="353" t="str" cm="1">
        <f t="array" ref="I103">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Brinde a Western Union evidencia o confirmación que todos los operadores han sido entrenados en el tema. Asegúrese que la confirmación incluya el tema cubierto, el nombre de las personas que asistieron a la sesión y la fecha de la capacitación.</v>
      </c>
      <c r="J103" s="353" t="s">
        <v>2388</v>
      </c>
      <c r="K103" s="353" t="s">
        <v>3340</v>
      </c>
      <c r="L103" s="353" t="s">
        <v>2389</v>
      </c>
      <c r="M103" s="353" t="s">
        <v>3341</v>
      </c>
      <c r="N103" s="353" t="s">
        <v>2390</v>
      </c>
      <c r="O103" s="353" t="s">
        <v>3342</v>
      </c>
      <c r="P103" s="353" t="s">
        <v>2391</v>
      </c>
      <c r="Q103" s="353" t="s">
        <v>2195</v>
      </c>
      <c r="R103" s="353" t="s">
        <v>731</v>
      </c>
      <c r="S103" s="353" t="s">
        <v>2281</v>
      </c>
      <c r="AA103" s="143"/>
      <c r="AO103" t="str">
        <f>IndependentGlobal[[#This Row],[Question]]&amp;"."&amp;IndependentGlobal[[#This Row],[Action Type]]&amp;IndependentGlobal[[#This Row],[Country]]</f>
        <v>GS6.RQ2.Resolved_OnsiteCanada</v>
      </c>
      <c r="AP103" t="e">
        <f ca="1">IFERROR(VLOOKUP(IndependentGlobal[[#This Row],[Question]],Independent[#All],13,FALSE),VLOOKUP(IndependentGlobal[[#This Row],[Question]],INDIRECT("Independent_"&amp;'Gen Info'!$E$4&amp;"[#All]"),13,FALSE))</f>
        <v>#REF!</v>
      </c>
      <c r="AQ103" t="str" cm="1">
        <f t="array" ref="AQ103">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está completando los LCTRs para los Money Order de Western Union.</v>
      </c>
      <c r="AR103" t="s">
        <v>3289</v>
      </c>
      <c r="AV103" t="str" cm="1">
        <f t="array" ref="AV103">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El agente ha sido debidamente entrenado en este tema durante la revisión.</v>
      </c>
      <c r="AW103" t="s">
        <v>2224</v>
      </c>
      <c r="AX103" t="s">
        <v>3343</v>
      </c>
      <c r="AY103" t="s">
        <v>2226</v>
      </c>
      <c r="AZ103" t="s">
        <v>3344</v>
      </c>
      <c r="BA103" t="s">
        <v>2749</v>
      </c>
      <c r="BB103" t="s">
        <v>3345</v>
      </c>
      <c r="BC103" t="s">
        <v>2230</v>
      </c>
      <c r="BD103" t="s">
        <v>2195</v>
      </c>
      <c r="BE103" t="s">
        <v>592</v>
      </c>
      <c r="BF103" t="s">
        <v>2281</v>
      </c>
    </row>
    <row r="104" spans="2:58">
      <c r="B104" s="353" t="str">
        <f>Network_AgentGlobal[[#This Row],[Question]]&amp;"."&amp;Network_AgentGlobal[[#This Row],[Action Type]]&amp;Network_AgentGlobal[[#This Row],[Country]]</f>
        <v>GS5.RQ2.Resolved_OnsiteIndia</v>
      </c>
      <c r="C104" s="353" t="e">
        <f ca="1">IFERROR(VLOOKUP(Network_AgentGlobal[[#This Row],[Question]],INDIRECT('Gen Info'!$D$4&amp;"[#All]"),13,FALSE),VLOOKUP(Network_AgentGlobal[[#This Row],[Question]],INDIRECT('Gen Info'!$D$4&amp;"_"&amp;'Gen Info'!$E$4&amp;"[#All]"),13,FALSE))</f>
        <v>#REF!</v>
      </c>
      <c r="D104" s="353" cm="1">
        <f t="array" aca="1" ref="D104"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104" s="353" t="s">
        <v>3346</v>
      </c>
      <c r="F104" s="353"/>
      <c r="G104" s="353"/>
      <c r="H104" s="353"/>
      <c r="I104" s="353" cm="1">
        <f t="array" ref="I104">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104" s="353" t="s">
        <v>2570</v>
      </c>
      <c r="K104" s="353"/>
      <c r="L104" s="353"/>
      <c r="M104" s="353"/>
      <c r="N104" s="353"/>
      <c r="O104" s="353"/>
      <c r="P104" s="353"/>
      <c r="Q104" s="353" t="s">
        <v>2195</v>
      </c>
      <c r="R104" s="353" t="s">
        <v>1591</v>
      </c>
      <c r="S104" s="353" t="s">
        <v>3162</v>
      </c>
      <c r="AA104" s="143"/>
      <c r="AO104" t="str">
        <f>IndependentGlobal[[#This Row],[Question]]&amp;"."&amp;IndependentGlobal[[#This Row],[Action Type]]&amp;IndependentGlobal[[#This Row],[Country]]</f>
        <v>GS7.GQ1.Resolved_Onsite</v>
      </c>
      <c r="AP104" t="str">
        <f ca="1">IFERROR(VLOOKUP(IndependentGlobal[[#This Row],[Question]],Independent[#All],13,FALSE),VLOOKUP(IndependentGlobal[[#This Row],[Question]],INDIRECT("Independent_"&amp;'Gen Info'!$E$4&amp;"[#All]"),13,FALSE))</f>
        <v>Programa de Capacitación</v>
      </c>
      <c r="AQ104" t="str" cm="1">
        <f t="array" ref="AQ104">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tiene un programa de capacitación debidamente documentado.</v>
      </c>
      <c r="AR104" t="s">
        <v>2505</v>
      </c>
      <c r="AV104" t="str" cm="1">
        <f t="array" ref="AV104">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requiere acción. Se le ha brindado material de capacitación al agente durante la revisión.</v>
      </c>
      <c r="AW104" t="s">
        <v>2506</v>
      </c>
      <c r="AX104" t="s">
        <v>2507</v>
      </c>
      <c r="AY104" t="s">
        <v>2508</v>
      </c>
      <c r="AZ104" t="s">
        <v>2509</v>
      </c>
      <c r="BA104" t="s">
        <v>2510</v>
      </c>
      <c r="BB104" t="s">
        <v>2511</v>
      </c>
      <c r="BC104" t="s">
        <v>2512</v>
      </c>
      <c r="BD104" t="s">
        <v>2195</v>
      </c>
      <c r="BE104" t="s">
        <v>906</v>
      </c>
    </row>
    <row r="105" spans="2:58">
      <c r="B105" s="353" t="str">
        <f>Network_AgentGlobal[[#This Row],[Question]]&amp;"."&amp;Network_AgentGlobal[[#This Row],[Action Type]]&amp;Network_AgentGlobal[[#This Row],[Country]]</f>
        <v>GS5.RQ2.Response_RequiredIndia</v>
      </c>
      <c r="C105" s="353" t="e">
        <f ca="1">IFERROR(VLOOKUP(Network_AgentGlobal[[#This Row],[Question]],INDIRECT('Gen Info'!$D$4&amp;"[#All]"),13,FALSE),VLOOKUP(Network_AgentGlobal[[#This Row],[Question]],INDIRECT('Gen Info'!$D$4&amp;"_"&amp;'Gen Info'!$E$4&amp;"[#All]"),13,FALSE))</f>
        <v>#REF!</v>
      </c>
      <c r="D105" s="353" cm="1">
        <f t="array" aca="1" ref="D105"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105" s="353" t="s">
        <v>3346</v>
      </c>
      <c r="F105" s="353"/>
      <c r="G105" s="353"/>
      <c r="H105" s="353"/>
      <c r="I105" s="353" cm="1">
        <f t="array" ref="I105">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105" s="353" t="s">
        <v>3347</v>
      </c>
      <c r="K105" s="353"/>
      <c r="L105" s="353"/>
      <c r="M105" s="353"/>
      <c r="N105" s="353"/>
      <c r="O105" s="353"/>
      <c r="P105" s="353"/>
      <c r="Q105" s="353" t="s">
        <v>2215</v>
      </c>
      <c r="R105" s="353" t="s">
        <v>1591</v>
      </c>
      <c r="S105" s="353" t="s">
        <v>3162</v>
      </c>
      <c r="AO105" t="str">
        <f>IndependentGlobal[[#This Row],[Question]]&amp;"."&amp;IndependentGlobal[[#This Row],[Action Type]]&amp;IndependentGlobal[[#This Row],[Country]]</f>
        <v>GS7.GQ1.Response_Required</v>
      </c>
      <c r="AP105" t="str">
        <f ca="1">IFERROR(VLOOKUP(IndependentGlobal[[#This Row],[Question]],Independent[#All],13,FALSE),VLOOKUP(IndependentGlobal[[#This Row],[Question]],INDIRECT("Independent_"&amp;'Gen Info'!$E$4&amp;"[#All]"),13,FALSE))</f>
        <v>Programa de Capacitación</v>
      </c>
      <c r="AQ105" t="str" cm="1">
        <f t="array" ref="AQ105">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tiene un programa de capacitación debidamente documentado.</v>
      </c>
      <c r="AR105" t="s">
        <v>2505</v>
      </c>
      <c r="AV105" t="str" cm="1">
        <f t="array" ref="AV105">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evidencia del programa de capacitación del agente.</v>
      </c>
      <c r="AW105" t="s">
        <v>2949</v>
      </c>
      <c r="AX105" t="s">
        <v>2507</v>
      </c>
      <c r="AY105" t="s">
        <v>2950</v>
      </c>
      <c r="AZ105" t="s">
        <v>2509</v>
      </c>
      <c r="BA105" t="s">
        <v>3348</v>
      </c>
      <c r="BB105" t="s">
        <v>2511</v>
      </c>
      <c r="BC105" t="s">
        <v>3349</v>
      </c>
      <c r="BD105" t="s">
        <v>2215</v>
      </c>
      <c r="BE105" t="s">
        <v>906</v>
      </c>
    </row>
    <row r="106" spans="2:58">
      <c r="B106" s="353" t="str">
        <f>Network_AgentGlobal[[#This Row],[Question]]&amp;"."&amp;Network_AgentGlobal[[#This Row],[Action Type]]&amp;Network_AgentGlobal[[#This Row],[Country]]</f>
        <v>GS5.RQ3.Resolved_OnsiteIndia</v>
      </c>
      <c r="C106" s="353" t="e">
        <f ca="1">IFERROR(VLOOKUP(Network_AgentGlobal[[#This Row],[Question]],INDIRECT('Gen Info'!$D$4&amp;"[#All]"),13,FALSE),VLOOKUP(Network_AgentGlobal[[#This Row],[Question]],INDIRECT('Gen Info'!$D$4&amp;"_"&amp;'Gen Info'!$E$4&amp;"[#All]"),13,FALSE))</f>
        <v>#REF!</v>
      </c>
      <c r="D106" s="353" cm="1">
        <f t="array" aca="1" ref="D106"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106" s="353" t="s">
        <v>3350</v>
      </c>
      <c r="F106" s="353"/>
      <c r="G106" s="353"/>
      <c r="H106" s="353"/>
      <c r="I106" s="353" cm="1">
        <f t="array" ref="I106">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106" s="353" t="s">
        <v>2570</v>
      </c>
      <c r="K106" s="353"/>
      <c r="L106" s="353"/>
      <c r="M106" s="353"/>
      <c r="N106" s="353"/>
      <c r="O106" s="353"/>
      <c r="P106" s="353"/>
      <c r="Q106" s="353" t="s">
        <v>2195</v>
      </c>
      <c r="R106" s="353" t="s">
        <v>1859</v>
      </c>
      <c r="S106" s="353" t="s">
        <v>3162</v>
      </c>
      <c r="AO106" t="str">
        <f>IndependentGlobal[[#This Row],[Question]]&amp;"."&amp;IndependentGlobal[[#This Row],[Action Type]]&amp;IndependentGlobal[[#This Row],[Country]]</f>
        <v>GS7.GQ2.Resolved_Onsite</v>
      </c>
      <c r="AP106" t="str">
        <f ca="1">IFERROR(VLOOKUP(IndependentGlobal[[#This Row],[Question]],Independent[#All],13,FALSE),VLOOKUP(IndependentGlobal[[#This Row],[Question]],INDIRECT("Independent_"&amp;'Gen Info'!$E$4&amp;"[#All]"),13,FALSE))</f>
        <v>Programa de Capacitación</v>
      </c>
      <c r="AQ106" t="e" cm="1">
        <f t="array" ref="AQ106">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#N/A</v>
      </c>
      <c r="AR106" s="167" t="e" cm="1">
        <f t="array" ref="AR106">_xlfn.IFS(INDEX(CallTb[#All],MATCH(IndependentGlobal[[#This Row],[QNumber]],CallTb[[#All],[QNumber]],0),7)="No_AML/CFT","Agent training material does not include AML/CFT topics.",INDEX(CallTb[#All],MATCH(IndependentGlobal[[#This Row],[QNumber]],CallTb[[#All],[QNumber]],0),7)="No_AntiFraud","Agent training material does not include guidance on detecting fraud and handling of fraud-induced money transfers.",INDEX(CallTb[#All],MATCH(IndependentGlobal[[#This Row],[QNumber]],CallTb[[#All],[QNumber]],0),7)="No_AML/CFT/AntiFraud","Agent training material does not include AML/CFT topics and guidance on detecting fraud and handling of fraud-induced money transfers.")</f>
        <v>#N/A</v>
      </c>
      <c r="AV106" t="str" cm="1">
        <f t="array" ref="AV106">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El Agente brindó la evidencia correspondiente durante la revisión.</v>
      </c>
      <c r="AW106" t="s">
        <v>2523</v>
      </c>
      <c r="AX106" s="167" t="e" cm="1">
        <f t="array" ref="AX106">_xlfn.IFS(INDEX(CallTb[#All],MATCH(IndependentGlobal[[#This Row],[QNumber]],CallTb[[#All],[QNumber]],0),7)="No_AML/CFT","El material de capacitación del agente no contiene los temas de AML/CFT.",INDEX(CallTb[#All],MATCH(IndependentGlobal[[#This Row],[QNumber]],CallTb[[#All],[QNumber]],0),7)="No_AntiFraud","El material de capacitación del agente no incluye guías en cuanto en cuanto a la detección de fraude o transferencias fraudulentas.",INDEX(CallTb[#All],MATCH(IndependentGlobal[[#This Row],[QNumber]],CallTb[[#All],[QNumber]],0),7)="No_AML/CFT/AntiFraud","El material de capacitación del agente no contiene los temas de AML/CFT ni incluye guías en cuanto a la detección de fraude o transferencias fraudulentas.")</f>
        <v>#N/A</v>
      </c>
      <c r="AY106" t="s">
        <v>3351</v>
      </c>
      <c r="AZ106" s="167" t="e" cm="1">
        <f t="array" ref="AZ106">_xlfn.IFS(INDEX(CallTb[#All],MATCH(IndependentGlobal[[#This Row],[QNumber]],CallTb[[#All],[QNumber]],0),7)="No_AML/CFT","Le matériel de formation de l'Agent ne contient pas les sujets relatifs à la LAB/CFT.",INDEX(CallTb[#All],MATCH(IndependentGlobal[[#This Row],[QNumber]],CallTb[[#All],[QNumber]],0),7)="No_AntiFraud","le matériel de formation de l'Agent ne contient pas une guide pour la détection de la fraude et le traitement des transferts d'argent frauduleux.",INDEX(CallTb[#All],MATCH(IndependentGlobal[[#This Row],[QNumber]],CallTb[[#All],[QNumber]],0),7)="No_AML/CFT/AntiFraud","le matériel de formation de l'Agent ne contient pas les sujets relatifs à la LAB/CFT et une guide pour le traitement des transferts d'argent frauduleux.")</f>
        <v>#N/A</v>
      </c>
      <c r="BA106" t="s">
        <v>2525</v>
      </c>
      <c r="BB106" s="167" t="e" cm="1">
        <f t="array" ref="BB106">_xlfn.IFS(INDEX(CallTb[#All],MATCH(IndependentGlobal[[#This Row],[QNumber]],CallTb[[#All],[QNumber]],0),7)="No_AML/CFT","O material de treinamento de agentes não inclui tópicos PLD (Prevenção à Lavagem de Dinheiro), CFT (Combate ao Financiamento do Terrorismo).",INDEX(CallTb[#All],MATCH(IndependentGlobal[[#This Row],[QNumber]],CallTb[[#All],[QNumber]],0),7)="No_AntiFraud","O material de treinamento de agentes não inclui orientação sobre detecção de fraude e gestão de transferências de dinheiro induzidas por fraude.",INDEX(CallTb[#All],MATCH(IndependentGlobal[[#This Row],[QNumber]],CallTb[[#All],[QNumber]],0),7)="No_AML/CFT/AntiFraud","O material de treinamento de agentes não inclui tópicos PLD (Prevenção à Lavagem de Dinheiro), CFT (Combate ao Financiamento do Terrorismo) e orientação sobre detecção de fraude e gestão de transferências de dinheiro induzidas por fraude.")</f>
        <v>#N/A</v>
      </c>
      <c r="BC106" t="s">
        <v>2526</v>
      </c>
      <c r="BD106" t="s">
        <v>2195</v>
      </c>
      <c r="BE106" t="s">
        <v>914</v>
      </c>
    </row>
    <row r="107" spans="2:58">
      <c r="B107" s="353" t="str">
        <f>Network_AgentGlobal[[#This Row],[Question]]&amp;"."&amp;Network_AgentGlobal[[#This Row],[Action Type]]&amp;Network_AgentGlobal[[#This Row],[Country]]</f>
        <v>GS5.RQ4.Resolved_OnsiteIndia</v>
      </c>
      <c r="C107" s="353" t="e">
        <f ca="1">IFERROR(VLOOKUP(Network_AgentGlobal[[#This Row],[Question]],INDIRECT('Gen Info'!$D$4&amp;"[#All]"),13,FALSE),VLOOKUP(Network_AgentGlobal[[#This Row],[Question]],INDIRECT('Gen Info'!$D$4&amp;"_"&amp;'Gen Info'!$E$4&amp;"[#All]"),13,FALSE))</f>
        <v>#REF!</v>
      </c>
      <c r="D107" s="353" cm="1">
        <f t="array" aca="1" ref="D107"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107" s="353" t="s">
        <v>2858</v>
      </c>
      <c r="F107" s="353"/>
      <c r="G107" s="353"/>
      <c r="H107" s="353"/>
      <c r="I107" s="353" cm="1">
        <f t="array" ref="I107">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107" s="353" t="s">
        <v>2570</v>
      </c>
      <c r="K107" s="353"/>
      <c r="L107" s="353"/>
      <c r="M107" s="353"/>
      <c r="N107" s="353"/>
      <c r="O107" s="353"/>
      <c r="P107" s="353"/>
      <c r="Q107" s="353" t="s">
        <v>2195</v>
      </c>
      <c r="R107" s="353" t="s">
        <v>3352</v>
      </c>
      <c r="S107" s="353" t="s">
        <v>3162</v>
      </c>
      <c r="AO107" t="str">
        <f>IndependentGlobal[[#This Row],[Question]]&amp;"."&amp;IndependentGlobal[[#This Row],[Action Type]]&amp;IndependentGlobal[[#This Row],[Country]]</f>
        <v>GS7.GQ2.Response_Required</v>
      </c>
      <c r="AP107" t="str">
        <f ca="1">IFERROR(VLOOKUP(IndependentGlobal[[#This Row],[Question]],Independent[#All],13,FALSE),VLOOKUP(IndependentGlobal[[#This Row],[Question]],INDIRECT("Independent_"&amp;'Gen Info'!$E$4&amp;"[#All]"),13,FALSE))</f>
        <v>Programa de Capacitación</v>
      </c>
      <c r="AQ107" t="e" cm="1">
        <f t="array" ref="AQ107">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#N/A</v>
      </c>
      <c r="AR107" s="167" t="e" cm="1">
        <f t="array" ref="AR107">_xlfn.IFS(INDEX(CallTb[#All],MATCH(IndependentGlobal[[#This Row],[QNumber]],CallTb[[#All],[QNumber]],0),7)="No_AML/CFT","Agent training material does not include AML/CFT topics.",INDEX(CallTb[#All],MATCH(IndependentGlobal[[#This Row],[QNumber]],CallTb[[#All],[QNumber]],0),7)="No_AntiFraud","Agent training material does not include guidance on detecting fraud and handling of fraud-induced money transfers.",INDEX(CallTb[#All],MATCH(IndependentGlobal[[#This Row],[QNumber]],CallTb[[#All],[QNumber]],0),7)="No_AML/CFT/AntiFraud","Agent training material does not include AML/CFT topics and guidance on detecting fraud and handling of fraud-induced money transfers.")</f>
        <v>#N/A</v>
      </c>
      <c r="AV107" t="str" cm="1">
        <f t="array" ref="AV107">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
      </c>
      <c r="AW107" s="167" t="e" cm="1">
        <f t="array" ref="AW107">_xlfn.IFS(INDEX(CallTb[#All],MATCH(IndependentGlobal[[#This Row],[QNumber]],CallTb[[#All],[QNumber]],0),7)="No_AML/CFT","Provide Western Union with AML/CFT training materials.",INDEX(CallTb[#All],MATCH(IndependentGlobal[[#This Row],[QNumber]],CallTb[[#All],[QNumber]],0),7)="No_AntiFraud","Provide Western Union with training material that includes guidance on detecting fraud and handling of fraud-induced money transfers.",INDEX(CallTb[#All],MATCH(IndependentGlobal[[#This Row],[QNumber]],CallTb[[#All],[QNumber]],0),7)="No_AML/CFT/AntiFraud","Provide Western Union with AML/CFT training materials and also guidance on detecting fraud and handling of fraud-induced money transfers.")</f>
        <v>#N/A</v>
      </c>
      <c r="AX107" s="167" t="e" cm="1">
        <f t="array" ref="AX107">_xlfn.IFS(INDEX(CallTb[#All],MATCH(IndependentGlobal[[#This Row],[QNumber]],CallTb[[#All],[QNumber]],0),7)="No_AML/CFT","El material de capacitación del agente no contiene los temas de AML/CFT.",INDEX(CallTb[#All],MATCH(IndependentGlobal[[#This Row],[QNumber]],CallTb[[#All],[QNumber]],0),7)="No_AntiFraud","El material de capacitación del agente no incluye guías en cuanto en cuanto a la detección de fraude o transferencias fraudulentas.",INDEX(CallTb[#All],MATCH(IndependentGlobal[[#This Row],[QNumber]],CallTb[[#All],[QNumber]],0),7)="No_AML/CFT/AntiFraud","El material de capacitación del agente no contiene los temas de AML/CFT ni incluye guías en cuanto a la detección de fraude o transferencias fraudulentas.")</f>
        <v>#N/A</v>
      </c>
      <c r="AY107" s="167" t="e" cm="1">
        <f t="array" ref="AY107">_xlfn.IFS(INDEX(CallTb[#All],MATCH(IndependentGlobal[[#This Row],[QNumber]],CallTb[[#All],[QNumber]],0),7)="No_AML/CFT","Brinde a Western Union material de entrenamiento de AML/CFT.",INDEX(CallTb[#All],MATCH(IndependentGlobal[[#This Row],[QNumber]],CallTb[[#All],[QNumber]],0),7)="No_AntiFraud","Brinde a Western Union material de entrenamiento de Anti-Fraude que incluya guías para la detección de fraude y el manejo de transferencias fraudulentas.",INDEX(CallTb[#All],MATCH(IndependentGlobal[[#This Row],[QNumber]],CallTb[[#All],[QNumber]],0),7)="No_AML/CFT/AntiFraud","Brinde a Western Union material de entrenamiento de AML/CFT y Anti-Fraude. El documento además debe incluir guías para la detección de fraude y el manejo de transferencias fraudulentas.")</f>
        <v>#N/A</v>
      </c>
      <c r="AZ107" s="167" t="e" cm="1">
        <f t="array" ref="AZ107">_xlfn.IFS(INDEX(CallTb[#All],MATCH(IndependentGlobal[[#This Row],[QNumber]],CallTb[[#All],[QNumber]],0),7)="No_AML/CFT","Le matériel de formation de l'Agent ne contient pas les sujets relatifs à la LAB/CFT.",INDEX(CallTb[#All],MATCH(IndependentGlobal[[#This Row],[QNumber]],CallTb[[#All],[QNumber]],0),7)="No_AntiFraud","le matériel de formation de l'Agent ne contient pas une guide pour la détection de la fraude et le traitement des transferts d'argent frauduleux.",INDEX(CallTb[#All],MATCH(IndependentGlobal[[#This Row],[QNumber]],CallTb[[#All],[QNumber]],0),7)="No_AML/CFT/AntiFraud","le matériel de formation de l'Agent ne contient pas les sujets relatifs à la LAB/CFT et une guide pour le traitement des transferts d'argent frauduleux.")</f>
        <v>#N/A</v>
      </c>
      <c r="BA107" s="167" t="e" cm="1">
        <f t="array" ref="BA107">_xlfn.IFS(INDEX(CallTb[#All],MATCH(IndependentGlobal[[#This Row],[QNumber]],CallTb[[#All],[QNumber]],0),7)="No_AML/CFT","Fournir Western Union avec matériel de formation sur les sujets LAB/CFT.",INDEX(CallTb[#All],MATCH(IndependentGlobal[[#This Row],[QNumber]],CallTb[[#All],[QNumber]],0),7)="No_AntiFraud","Fournir Western Union avec matériel de formation incluant une guide pour la détection de la fraude et le traitement des transferts d'argent frauduleux.",INDEX(CallTb[#All],MATCH(IndependentGlobal[[#This Row],[QNumber]],CallTb[[#All],[QNumber]],0),7)="No_AML/CFT/AntiFraud","Fournir Western Union avec matériel de formation sur les sujets LAB/CFT et une guide pour la détection de la fraude et le traitement des transferts d'argent frauduleux.")</f>
        <v>#N/A</v>
      </c>
      <c r="BB107" s="167" t="e" cm="1">
        <f t="array" ref="BB107">_xlfn.IFS(INDEX(CallTb[#All],MATCH(IndependentGlobal[[#This Row],[QNumber]],CallTb[[#All],[QNumber]],0),7)="No_AML/CFT","O material de treinamento de agentes não inclui tópicos PLD (Prevenção à Lavagem de Dinheiro), CFT (Combate ao Financiamento do Terrorismo).",INDEX(CallTb[#All],MATCH(IndependentGlobal[[#This Row],[QNumber]],CallTb[[#All],[QNumber]],0),7)="No_AntiFraud","O material de treinamento de agentes não inclui orientação sobre detecção de fraude e gestão de transferências de dinheiro induzidas por fraude.",INDEX(CallTb[#All],MATCH(IndependentGlobal[[#This Row],[QNumber]],CallTb[[#All],[QNumber]],0),7)="No_AML/CFT/AntiFraud","O material de treinamento de agentes não inclui tópicos PLD (Prevenção à Lavagem de Dinheiro), CFT (Combate ao Financiamento do Terrorismo) e orientação sobre detecção de fraude e gestão de transferências de dinheiro induzidas por fraude.")</f>
        <v>#N/A</v>
      </c>
      <c r="BC107" s="167" t="e" cm="1">
        <f t="array" ref="BC107">_xlfn.IFS(INDEX(CallTb[#All],MATCH(IndependentGlobal[[#This Row],[QNumber]],CallTb[[#All],[QNumber]],0),7)="No_AML/CFT","Fornecer à Western Union material de treinamento sobre PLD (Prevenção à Lavagem de Dinheiro), CFT (Combate ao Financiamento do Terrorismo) e Prevenção à Fraude.",INDEX(CallTb[#All],MATCH(IndependentGlobal[[#This Row],[QNumber]],CallTb[[#All],[QNumber]],0),7)="No_AntiFraud","Fornecer à Western Union material de treinamento que inclua orientação sobre detecção de fraude e gestão de transferências de dinheiro induzidas por fraude.",INDEX(CallTb[#All],MATCH(IndependentGlobal[[#This Row],[QNumber]],CallTb[[#All],[QNumber]],0),7)="No_AML/CFT/AntiFraud","Fornecer à WU materiais de treinamento PLD (Prevenção à Lavagem de Dinheiro), CFT (Combate ao Financiamento do Terrorismo) e Prevenção à Fraude além de orientação sobre detecção de fraudes e gestão de transferências de dinheiro induzidas por fraudes.")</f>
        <v>#N/A</v>
      </c>
      <c r="BD107" t="s">
        <v>2215</v>
      </c>
      <c r="BE107" t="s">
        <v>914</v>
      </c>
    </row>
    <row r="108" spans="2:58">
      <c r="B108" s="353" t="str">
        <f>Network_AgentGlobal[[#This Row],[Question]]&amp;"."&amp;Network_AgentGlobal[[#This Row],[Action Type]]&amp;Network_AgentGlobal[[#This Row],[Country]]</f>
        <v>GS6.GQ1.Resolved_Onsite</v>
      </c>
      <c r="C108" s="353" t="str">
        <f ca="1">IFERROR(VLOOKUP(Network_AgentGlobal[[#This Row],[Question]],INDIRECT('Gen Info'!$D$4&amp;"[#All]"),13,FALSE),VLOOKUP(Network_AgentGlobal[[#This Row],[Question]],INDIRECT('Gen Info'!$D$4&amp;"_"&amp;'Gen Info'!$E$4&amp;"[#All]"),13,FALSE))</f>
        <v>Protección del Consumidor</v>
      </c>
      <c r="D108" s="353" t="str" cm="1">
        <f t="array" aca="1" ref="D108"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El agente está cobrando cargos no autorizados por las transferencias.</v>
      </c>
      <c r="E108" s="353" t="s">
        <v>3353</v>
      </c>
      <c r="F108" s="353"/>
      <c r="G108" s="353"/>
      <c r="H108" s="353"/>
      <c r="I108" s="353" t="str" cm="1">
        <f t="array" ref="I108">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No se requiere acción. Se ha enviado al Agente material de capacitación específico sobre este tema. Todos los "FLAs" han recibido realimentación/capacitación sobre este tema en el transcurso de la revisión.</v>
      </c>
      <c r="J108" s="353" t="s">
        <v>2362</v>
      </c>
      <c r="K108" s="353" t="s">
        <v>2225</v>
      </c>
      <c r="L108" s="353" t="s">
        <v>2824</v>
      </c>
      <c r="M108" s="353" t="s">
        <v>3354</v>
      </c>
      <c r="N108" s="353" t="s">
        <v>2826</v>
      </c>
      <c r="O108" s="353" t="s">
        <v>2677</v>
      </c>
      <c r="P108" s="353" t="s">
        <v>2896</v>
      </c>
      <c r="Q108" s="353" t="s">
        <v>2195</v>
      </c>
      <c r="R108" s="353" t="s">
        <v>881</v>
      </c>
      <c r="S108" s="353"/>
      <c r="AO108" t="str">
        <f>IndependentGlobal[[#This Row],[Question]]&amp;"."&amp;IndependentGlobal[[#This Row],[Action Type]]&amp;IndependentGlobal[[#This Row],[Country]]</f>
        <v>GS7.GQ3.Resolved_Onsite</v>
      </c>
      <c r="AP108" t="str">
        <f ca="1">IFERROR(VLOOKUP(IndependentGlobal[[#This Row],[Question]],Independent[#All],13,FALSE),VLOOKUP(IndependentGlobal[[#This Row],[Question]],INDIRECT("Independent_"&amp;'Gen Info'!$E$4&amp;"[#All]"),13,FALSE))</f>
        <v>Programa de Capacitación</v>
      </c>
      <c r="AQ108" t="str" cm="1">
        <f t="array" ref="AQ108">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ha impartido entrenamiento inicial de AML/CFT y Anti-Fraude a los empleados previo a permitirles interactuar con el sistema de transferencias.</v>
      </c>
      <c r="AR108" t="s">
        <v>2582</v>
      </c>
      <c r="AV108" t="str" cm="1">
        <f t="array" ref="AV108">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requiere acción. Todos los operadores han sido entrenados en el tema durante la revisión.</v>
      </c>
      <c r="AW108" t="s">
        <v>2583</v>
      </c>
      <c r="AX108" t="s">
        <v>2584</v>
      </c>
      <c r="AY108" t="s">
        <v>2585</v>
      </c>
      <c r="AZ108" t="s">
        <v>2586</v>
      </c>
      <c r="BA108" t="s">
        <v>2587</v>
      </c>
      <c r="BB108" t="s">
        <v>2588</v>
      </c>
      <c r="BC108" t="s">
        <v>2589</v>
      </c>
      <c r="BD108" t="s">
        <v>2195</v>
      </c>
      <c r="BE108" t="s">
        <v>918</v>
      </c>
    </row>
    <row r="109" spans="2:58">
      <c r="B109" s="353" t="str">
        <f>Network_AgentGlobal[[#This Row],[Question]]&amp;"."&amp;Network_AgentGlobal[[#This Row],[Action Type]]&amp;Network_AgentGlobal[[#This Row],[Country]]</f>
        <v>GS6.GQ2.Resolved_Onsite</v>
      </c>
      <c r="C109" s="353" t="str">
        <f ca="1">IFERROR(VLOOKUP(Network_AgentGlobal[[#This Row],[Question]],INDIRECT('Gen Info'!$D$4&amp;"[#All]"),13,FALSE),VLOOKUP(Network_AgentGlobal[[#This Row],[Question]],INDIRECT('Gen Info'!$D$4&amp;"_"&amp;'Gen Info'!$E$4&amp;"[#All]"),13,FALSE))</f>
        <v>Protección del Consumidor</v>
      </c>
      <c r="D109" s="353" t="str" cm="1">
        <f t="array" aca="1" ref="D109"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El agente no paga el monto principal exacto indicado en el sistema de Western Union.</v>
      </c>
      <c r="E109" s="353" t="s">
        <v>2244</v>
      </c>
      <c r="F109" s="353"/>
      <c r="G109" s="353"/>
      <c r="H109" s="353"/>
      <c r="I109" s="353" t="str" cm="1">
        <f t="array" ref="I109">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No se requiere acción. Se ha enviado al Agente material de capacitación específico sobre este tema. Todos los "FLAs" han recibido realimentación/capacitación sobre este tema en el transcurso de la revisión.</v>
      </c>
      <c r="J109" s="353" t="s">
        <v>2362</v>
      </c>
      <c r="K109" s="353" t="s">
        <v>2245</v>
      </c>
      <c r="L109" s="353" t="s">
        <v>2824</v>
      </c>
      <c r="M109" s="353" t="s">
        <v>2246</v>
      </c>
      <c r="N109" s="353" t="s">
        <v>2826</v>
      </c>
      <c r="O109" s="353" t="s">
        <v>2693</v>
      </c>
      <c r="P109" s="353" t="s">
        <v>2896</v>
      </c>
      <c r="Q109" s="353" t="s">
        <v>2195</v>
      </c>
      <c r="R109" s="353" t="s">
        <v>893</v>
      </c>
      <c r="S109" s="353"/>
      <c r="AO109" t="str">
        <f>IndependentGlobal[[#This Row],[Question]]&amp;"."&amp;IndependentGlobal[[#This Row],[Action Type]]&amp;IndependentGlobal[[#This Row],[Country]]</f>
        <v>GS7.GQ3.Response_Required</v>
      </c>
      <c r="AP109" t="str">
        <f ca="1">IFERROR(VLOOKUP(IndependentGlobal[[#This Row],[Question]],Independent[#All],13,FALSE),VLOOKUP(IndependentGlobal[[#This Row],[Question]],INDIRECT("Independent_"&amp;'Gen Info'!$E$4&amp;"[#All]"),13,FALSE))</f>
        <v>Programa de Capacitación</v>
      </c>
      <c r="AQ109" t="str" cm="1">
        <f t="array" ref="AQ109">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ha impartido entrenamiento inicial de AML/CFT y Anti-Fraude a los empleados previo a permitirles interactuar con el sistema de transferencias.</v>
      </c>
      <c r="AR109" t="s">
        <v>2582</v>
      </c>
      <c r="AV109" t="str" cm="1">
        <f t="array" ref="AV109">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evidencia donde se indique que todos los empleados han recibido la capacitación adecuada de AML/CFT y Anti-Fraude. Asegúrese que la confirmación incluya el tema cubierto, el nombre de las personas que asistieron a la sesión y la fecha de la capacitación.</v>
      </c>
      <c r="AW109" t="s">
        <v>2990</v>
      </c>
      <c r="AX109" t="s">
        <v>2584</v>
      </c>
      <c r="AY109" t="s">
        <v>3355</v>
      </c>
      <c r="AZ109" t="s">
        <v>2586</v>
      </c>
      <c r="BA109" t="s">
        <v>2992</v>
      </c>
      <c r="BB109" t="s">
        <v>2588</v>
      </c>
      <c r="BC109" t="s">
        <v>2993</v>
      </c>
      <c r="BD109" t="s">
        <v>2215</v>
      </c>
      <c r="BE109" t="s">
        <v>918</v>
      </c>
    </row>
    <row r="110" spans="2:58">
      <c r="B110" s="353" t="str">
        <f>Network_AgentGlobal[[#This Row],[Question]]&amp;"."&amp;Network_AgentGlobal[[#This Row],[Action Type]]&amp;Network_AgentGlobal[[#This Row],[Country]]</f>
        <v>GS6.RQ1.Resolved_OnsiteUnited_States</v>
      </c>
      <c r="C110" s="353" t="e">
        <f ca="1">IFERROR(VLOOKUP(Network_AgentGlobal[[#This Row],[Question]],INDIRECT('Gen Info'!$D$4&amp;"[#All]"),13,FALSE),VLOOKUP(Network_AgentGlobal[[#This Row],[Question]],INDIRECT('Gen Info'!$D$4&amp;"_"&amp;'Gen Info'!$E$4&amp;"[#All]"),13,FALSE))</f>
        <v>#REF!</v>
      </c>
      <c r="D110" s="353" t="str" cm="1">
        <f t="array" aca="1" ref="D110"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 xml:space="preserve"> </v>
      </c>
      <c r="E110" s="353" t="s">
        <v>3356</v>
      </c>
      <c r="F110" s="353"/>
      <c r="G110" s="353"/>
      <c r="H110" s="353"/>
      <c r="I110" s="353" cm="1">
        <f t="array" ref="I110">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110" s="353" t="s">
        <v>2574</v>
      </c>
      <c r="K110" s="353" t="s">
        <v>42</v>
      </c>
      <c r="L110" s="353"/>
      <c r="M110" s="353"/>
      <c r="N110" s="353"/>
      <c r="O110" s="353"/>
      <c r="P110" s="353"/>
      <c r="Q110" s="353" t="s">
        <v>2195</v>
      </c>
      <c r="R110" s="353" t="s">
        <v>579</v>
      </c>
      <c r="S110" s="353" t="s">
        <v>2581</v>
      </c>
      <c r="AO110" t="str">
        <f>IndependentGlobal[[#This Row],[Question]]&amp;"."&amp;IndependentGlobal[[#This Row],[Action Type]]&amp;IndependentGlobal[[#This Row],[Country]]</f>
        <v>GS7.GQ4.Resolved_Onsite</v>
      </c>
      <c r="AP110" t="str">
        <f ca="1">IFERROR(VLOOKUP(IndependentGlobal[[#This Row],[Question]],Independent[#All],13,FALSE),VLOOKUP(IndependentGlobal[[#This Row],[Question]],INDIRECT("Independent_"&amp;'Gen Info'!$E$4&amp;"[#All]"),13,FALSE))</f>
        <v>Programa de Capacitación</v>
      </c>
      <c r="AQ110" t="str" cm="1">
        <f t="array" ref="AQ110">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ha impartido entrenamiento anual de AML/CFT y Anti-Fraude a los empleados.</v>
      </c>
      <c r="AR110" t="s">
        <v>2599</v>
      </c>
      <c r="AV110" t="str" cm="1">
        <f t="array" ref="AV110">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requiere acción. Todos los operadores han sido entrenados en el tema durante la revisión.</v>
      </c>
      <c r="AW110" t="s">
        <v>2583</v>
      </c>
      <c r="AX110" t="s">
        <v>2600</v>
      </c>
      <c r="AY110" t="s">
        <v>2585</v>
      </c>
      <c r="AZ110" t="s">
        <v>2601</v>
      </c>
      <c r="BA110" t="s">
        <v>2587</v>
      </c>
      <c r="BB110" t="s">
        <v>2602</v>
      </c>
      <c r="BC110" t="s">
        <v>2589</v>
      </c>
      <c r="BD110" t="s">
        <v>2195</v>
      </c>
      <c r="BE110" t="s">
        <v>920</v>
      </c>
    </row>
    <row r="111" spans="2:58">
      <c r="B111" s="353" t="str">
        <f>Network_AgentGlobal[[#This Row],[Question]]&amp;"."&amp;Network_AgentGlobal[[#This Row],[Action Type]]&amp;Network_AgentGlobal[[#This Row],[Country]]</f>
        <v>GS6.RQ2.Resolved_OnsiteUnited_States</v>
      </c>
      <c r="C111" s="353" t="e">
        <f ca="1">IFERROR(VLOOKUP(Network_AgentGlobal[[#This Row],[Question]],INDIRECT('Gen Info'!$D$4&amp;"[#All]"),13,FALSE),VLOOKUP(Network_AgentGlobal[[#This Row],[Question]],INDIRECT('Gen Info'!$D$4&amp;"_"&amp;'Gen Info'!$E$4&amp;"[#All]"),13,FALSE))</f>
        <v>#REF!</v>
      </c>
      <c r="D111" s="353" t="str" cm="1">
        <f t="array" aca="1" ref="D111"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 xml:space="preserve"> </v>
      </c>
      <c r="E111" s="353" t="s">
        <v>3357</v>
      </c>
      <c r="F111" s="353"/>
      <c r="G111" s="353"/>
      <c r="H111" s="353"/>
      <c r="I111" s="353" cm="1">
        <f t="array" ref="I111">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111" s="353" t="s">
        <v>2574</v>
      </c>
      <c r="K111" s="353" t="s">
        <v>42</v>
      </c>
      <c r="L111" s="353"/>
      <c r="M111" s="353"/>
      <c r="N111" s="353"/>
      <c r="O111" s="353"/>
      <c r="P111" s="353"/>
      <c r="Q111" s="353" t="s">
        <v>2195</v>
      </c>
      <c r="R111" s="353" t="s">
        <v>592</v>
      </c>
      <c r="S111" s="353" t="s">
        <v>2581</v>
      </c>
      <c r="AO111" t="str">
        <f>IndependentGlobal[[#This Row],[Question]]&amp;"."&amp;IndependentGlobal[[#This Row],[Action Type]]&amp;IndependentGlobal[[#This Row],[Country]]</f>
        <v>GS7.GQ4.Response_Required</v>
      </c>
      <c r="AP111" t="str">
        <f ca="1">IFERROR(VLOOKUP(IndependentGlobal[[#This Row],[Question]],Independent[#All],13,FALSE),VLOOKUP(IndependentGlobal[[#This Row],[Question]],INDIRECT("Independent_"&amp;'Gen Info'!$E$4&amp;"[#All]"),13,FALSE))</f>
        <v>Programa de Capacitación</v>
      </c>
      <c r="AQ111" t="str" cm="1">
        <f t="array" ref="AQ111">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ha impartido entrenamiento anual de AML/CFT y Anti-Fraude a los empleados.</v>
      </c>
      <c r="AR111" t="s">
        <v>2599</v>
      </c>
      <c r="AV111" t="str" cm="1">
        <f t="array" ref="AV111">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evidencia donde se indique que todos los empleados han recibido la capacitación adecuada de AML/CFT y Anti-Fraude. Asegúrese que la confirmación incluya el tema cubierto, el nombre de las personas que asistieron a la sesión y la fecha de la capacitación.</v>
      </c>
      <c r="AW111" t="s">
        <v>2990</v>
      </c>
      <c r="AX111" t="s">
        <v>2600</v>
      </c>
      <c r="AY111" t="s">
        <v>3355</v>
      </c>
      <c r="AZ111" t="s">
        <v>2601</v>
      </c>
      <c r="BA111" t="s">
        <v>2992</v>
      </c>
      <c r="BB111" t="s">
        <v>2602</v>
      </c>
      <c r="BC111" t="s">
        <v>2993</v>
      </c>
      <c r="BD111" t="s">
        <v>2215</v>
      </c>
      <c r="BE111" t="s">
        <v>920</v>
      </c>
    </row>
    <row r="112" spans="2:58">
      <c r="B112" s="353" t="str">
        <f>Network_AgentGlobal[[#This Row],[Question]]&amp;"."&amp;Network_AgentGlobal[[#This Row],[Action Type]]&amp;Network_AgentGlobal[[#This Row],[Country]]</f>
        <v>GS6.RQ3.Resolved_OnsiteUnited_States</v>
      </c>
      <c r="C112" s="353" t="e">
        <f ca="1">IFERROR(VLOOKUP(Network_AgentGlobal[[#This Row],[Question]],INDIRECT('Gen Info'!$D$4&amp;"[#All]"),13,FALSE),VLOOKUP(Network_AgentGlobal[[#This Row],[Question]],INDIRECT('Gen Info'!$D$4&amp;"_"&amp;'Gen Info'!$E$4&amp;"[#All]"),13,FALSE))</f>
        <v>#REF!</v>
      </c>
      <c r="D112" s="353" t="str" cm="1">
        <f t="array" aca="1" ref="D112"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 xml:space="preserve"> </v>
      </c>
      <c r="E112" s="353" t="s">
        <v>3358</v>
      </c>
      <c r="F112" s="353"/>
      <c r="G112" s="353"/>
      <c r="H112" s="353"/>
      <c r="I112" s="353" cm="1">
        <f t="array" ref="I112">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112" s="353" t="s">
        <v>2574</v>
      </c>
      <c r="K112" s="353" t="s">
        <v>42</v>
      </c>
      <c r="L112" s="353"/>
      <c r="M112" s="353"/>
      <c r="N112" s="353"/>
      <c r="O112" s="353"/>
      <c r="P112" s="353"/>
      <c r="Q112" s="353" t="s">
        <v>2195</v>
      </c>
      <c r="R112" s="353" t="s">
        <v>601</v>
      </c>
      <c r="S112" s="353" t="s">
        <v>2581</v>
      </c>
      <c r="AO112" t="str">
        <f>IndependentGlobal[[#This Row],[Question]]&amp;"."&amp;IndependentGlobal[[#This Row],[Action Type]]&amp;IndependentGlobal[[#This Row],[Country]]</f>
        <v>GS8.GQ1.Resolved_Onsite</v>
      </c>
      <c r="AP112" t="str">
        <f ca="1">IFERROR(VLOOKUP(IndependentGlobal[[#This Row],[Question]],Independent[#All],13,FALSE),VLOOKUP(IndependentGlobal[[#This Row],[Question]],INDIRECT("Independent_"&amp;'Gen Info'!$E$4&amp;"[#All]"),13,FALSE))</f>
        <v>Conocimiento de Operador - Actividad Sospechosa y Fraude</v>
      </c>
      <c r="AQ112" t="str" cm="1">
        <f t="array" ref="AQ112">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Los operadores no pueden demostrar que han sido debidamente entrenados en cuanto a las características de cumplimiento de AML y CFT.</v>
      </c>
      <c r="AR112" t="s">
        <v>2320</v>
      </c>
      <c r="AV112" t="str" cm="1">
        <f t="array" ref="AV112">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Todos los operadores han sido debidamente entrenados en este tema durante la revisión.</v>
      </c>
      <c r="AW112" t="s">
        <v>2378</v>
      </c>
      <c r="AX112" t="s">
        <v>3359</v>
      </c>
      <c r="AY112" t="s">
        <v>2380</v>
      </c>
      <c r="AZ112" t="s">
        <v>3360</v>
      </c>
      <c r="BA112" t="s">
        <v>2382</v>
      </c>
      <c r="BB112" t="s">
        <v>3361</v>
      </c>
      <c r="BC112" t="s">
        <v>2384</v>
      </c>
      <c r="BD112" t="s">
        <v>2195</v>
      </c>
      <c r="BE112" t="s">
        <v>932</v>
      </c>
    </row>
    <row r="113" spans="2:58">
      <c r="B113" s="353" t="str">
        <f>Network_AgentGlobal[[#This Row],[Question]]&amp;"."&amp;Network_AgentGlobal[[#This Row],[Action Type]]&amp;Network_AgentGlobal[[#This Row],[Country]]</f>
        <v>GS6.RQ4.Resolved_OnsiteUnited_States</v>
      </c>
      <c r="C113" s="353" t="e">
        <f ca="1">IFERROR(VLOOKUP(Network_AgentGlobal[[#This Row],[Question]],INDIRECT('Gen Info'!$D$4&amp;"[#All]"),13,FALSE),VLOOKUP(Network_AgentGlobal[[#This Row],[Question]],INDIRECT('Gen Info'!$D$4&amp;"_"&amp;'Gen Info'!$E$4&amp;"[#All]"),13,FALSE))</f>
        <v>#REF!</v>
      </c>
      <c r="D113" s="353" t="str" cm="1">
        <f t="array" aca="1" ref="D113"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 xml:space="preserve"> </v>
      </c>
      <c r="E113" s="353" t="s">
        <v>3362</v>
      </c>
      <c r="F113" s="353"/>
      <c r="G113" s="353"/>
      <c r="H113" s="353"/>
      <c r="I113" s="353" cm="1">
        <f t="array" ref="I113">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113" s="353" t="s">
        <v>2574</v>
      </c>
      <c r="K113" s="353" t="s">
        <v>42</v>
      </c>
      <c r="L113" s="353"/>
      <c r="M113" s="353"/>
      <c r="N113" s="353"/>
      <c r="O113" s="353"/>
      <c r="P113" s="353"/>
      <c r="Q113" s="353" t="s">
        <v>2195</v>
      </c>
      <c r="R113" s="353" t="s">
        <v>612</v>
      </c>
      <c r="S113" s="353" t="s">
        <v>2581</v>
      </c>
      <c r="AO113" t="str">
        <f>IndependentGlobal[[#This Row],[Question]]&amp;"."&amp;IndependentGlobal[[#This Row],[Action Type]]&amp;IndependentGlobal[[#This Row],[Country]]</f>
        <v>GS8.GQ1.Response_Required</v>
      </c>
      <c r="AP113" t="str">
        <f ca="1">IFERROR(VLOOKUP(IndependentGlobal[[#This Row],[Question]],Independent[#All],13,FALSE),VLOOKUP(IndependentGlobal[[#This Row],[Question]],INDIRECT("Independent_"&amp;'Gen Info'!$E$4&amp;"[#All]"),13,FALSE))</f>
        <v>Conocimiento de Operador - Actividad Sospechosa y Fraude</v>
      </c>
      <c r="AQ113" t="str" cm="1">
        <f t="array" ref="AQ113">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Los operadores no pueden demostrar que han sido debidamente entrenados en cuanto a las características de cumplimiento de AML y CFT.</v>
      </c>
      <c r="AR113" t="s">
        <v>2320</v>
      </c>
      <c r="AV113" t="str" cm="1">
        <f t="array" ref="AV113">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confirmación donde se evidencie que todos los empleados han sido entrenados en este tema. Asegúrese que la confirmación incluya el tema cubierto, el nombre de las personas que asistieron a la sesión y la fecha de la capacitación.</v>
      </c>
      <c r="AW113" t="s">
        <v>2400</v>
      </c>
      <c r="AX113" t="s">
        <v>3359</v>
      </c>
      <c r="AY113" t="s">
        <v>2401</v>
      </c>
      <c r="AZ113" t="s">
        <v>3360</v>
      </c>
      <c r="BA113" t="s">
        <v>2402</v>
      </c>
      <c r="BB113" t="s">
        <v>3361</v>
      </c>
      <c r="BC113" t="s">
        <v>2403</v>
      </c>
      <c r="BD113" t="s">
        <v>2215</v>
      </c>
      <c r="BE113" t="s">
        <v>932</v>
      </c>
    </row>
    <row r="114" spans="2:58">
      <c r="B114" s="353" t="str">
        <f>Network_AgentGlobal[[#This Row],[Question]]&amp;"."&amp;Network_AgentGlobal[[#This Row],[Action Type]]&amp;Network_AgentGlobal[[#This Row],[Country]]</f>
        <v>GS6.RQ5.Resolved_OnsiteUnited_States</v>
      </c>
      <c r="C114" s="353" t="e">
        <f ca="1">IFERROR(VLOOKUP(Network_AgentGlobal[[#This Row],[Question]],INDIRECT('Gen Info'!$D$4&amp;"[#All]"),13,FALSE),VLOOKUP(Network_AgentGlobal[[#This Row],[Question]],INDIRECT('Gen Info'!$D$4&amp;"_"&amp;'Gen Info'!$E$4&amp;"[#All]"),13,FALSE))</f>
        <v>#REF!</v>
      </c>
      <c r="D114" s="353" t="str" cm="1">
        <f t="array" aca="1" ref="D114"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 xml:space="preserve"> </v>
      </c>
      <c r="E114" s="353" t="s">
        <v>2800</v>
      </c>
      <c r="F114" s="353"/>
      <c r="G114" s="353"/>
      <c r="H114" s="353"/>
      <c r="I114" s="353" cm="1">
        <f t="array" ref="I114">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114" s="353" t="s">
        <v>2574</v>
      </c>
      <c r="K114" s="353" t="s">
        <v>42</v>
      </c>
      <c r="L114" s="353"/>
      <c r="M114" s="353"/>
      <c r="N114" s="353"/>
      <c r="O114" s="353"/>
      <c r="P114" s="353"/>
      <c r="Q114" s="353" t="s">
        <v>2195</v>
      </c>
      <c r="R114" s="353" t="s">
        <v>621</v>
      </c>
      <c r="S114" s="353" t="s">
        <v>2581</v>
      </c>
      <c r="AO114" t="str">
        <f>IndependentGlobal[[#This Row],[Question]]&amp;"."&amp;IndependentGlobal[[#This Row],[Action Type]]&amp;IndependentGlobal[[#This Row],[Country]]</f>
        <v>GS8.GQ8.Resolved_Onsite</v>
      </c>
      <c r="AP114" t="str">
        <f ca="1">IFERROR(VLOOKUP(IndependentGlobal[[#This Row],[Question]],Independent[#All],13,FALSE),VLOOKUP(IndependentGlobal[[#This Row],[Question]],INDIRECT("Independent_"&amp;'Gen Info'!$E$4&amp;"[#All]"),13,FALSE))</f>
        <v>Conocimiento de Operador - Actividad Sospechosa y Fraude</v>
      </c>
      <c r="AQ114" t="str" cm="1">
        <f t="array" ref="AQ114">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sabe que no deben referir a los clientes a otras locaciones cuando existe fraude al consumidor.</v>
      </c>
      <c r="AR114" t="s">
        <v>3002</v>
      </c>
      <c r="AV114" t="str" cm="1">
        <f t="array" ref="AV114">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Todos los operadores han sido debidamente entrenados en este tema durante la revisión.</v>
      </c>
      <c r="AW114" t="s">
        <v>2378</v>
      </c>
      <c r="AX114" t="s">
        <v>3363</v>
      </c>
      <c r="AY114" t="s">
        <v>2380</v>
      </c>
      <c r="AZ114" t="s">
        <v>3364</v>
      </c>
      <c r="BA114" t="s">
        <v>3365</v>
      </c>
      <c r="BB114" t="s">
        <v>3366</v>
      </c>
      <c r="BC114" t="s">
        <v>2384</v>
      </c>
      <c r="BD114" t="s">
        <v>2195</v>
      </c>
      <c r="BE114" t="s">
        <v>1414</v>
      </c>
    </row>
    <row r="115" spans="2:58">
      <c r="B115" s="353" t="str">
        <f>Network_AgentGlobal[[#This Row],[Question]]&amp;"."&amp;Network_AgentGlobal[[#This Row],[Action Type]]&amp;Network_AgentGlobal[[#This Row],[Country]]</f>
        <v>GS8.GQ1.Resolved_Onsite</v>
      </c>
      <c r="C115" s="353" t="str">
        <f ca="1">IFERROR(VLOOKUP(Network_AgentGlobal[[#This Row],[Question]],INDIRECT('Gen Info'!$D$4&amp;"[#All]"),13,FALSE),VLOOKUP(Network_AgentGlobal[[#This Row],[Question]],INDIRECT('Gen Info'!$D$4&amp;"_"&amp;'Gen Info'!$E$4&amp;"[#All]"),13,FALSE))</f>
        <v>Conservación de Registros</v>
      </c>
      <c r="D115" s="353" t="str" cm="1">
        <f t="array" aca="1" ref="D115"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El Agente no cumple con los requisitos del período de retención para los registros en papel (ej: recibos) bajo la regulación local o de acuerdo con los estándares de WU, lo que sea más estricto.</v>
      </c>
      <c r="E115" s="353" t="s">
        <v>3367</v>
      </c>
      <c r="F115" s="353"/>
      <c r="G115" s="353"/>
      <c r="H115" s="353"/>
      <c r="I115" s="353" t="str" cm="1">
        <f t="array" ref="I115">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No se requiere acción. Se ha enviado al Agente material de capacitación específico sobre este tema. Todos los "FLAs" han recibido realimentación/capacitación sobre este tema en el transcurso de la revisión.</v>
      </c>
      <c r="J115" s="353" t="s">
        <v>2362</v>
      </c>
      <c r="K115" s="353" t="s">
        <v>2823</v>
      </c>
      <c r="L115" s="353" t="s">
        <v>2824</v>
      </c>
      <c r="M115" s="353" t="s">
        <v>2825</v>
      </c>
      <c r="N115" s="353" t="s">
        <v>2826</v>
      </c>
      <c r="O115" s="353" t="s">
        <v>3368</v>
      </c>
      <c r="P115" s="353" t="s">
        <v>2896</v>
      </c>
      <c r="Q115" s="353" t="s">
        <v>2195</v>
      </c>
      <c r="R115" s="353" t="s">
        <v>932</v>
      </c>
      <c r="S115" s="353"/>
      <c r="AO115" t="str">
        <f>IndependentGlobal[[#This Row],[Question]]&amp;"."&amp;IndependentGlobal[[#This Row],[Action Type]]&amp;IndependentGlobal[[#This Row],[Country]]</f>
        <v>GS8.GQ8.Response_Required</v>
      </c>
      <c r="AP115" t="str">
        <f ca="1">IFERROR(VLOOKUP(IndependentGlobal[[#This Row],[Question]],Independent[#All],13,FALSE),VLOOKUP(IndependentGlobal[[#This Row],[Question]],INDIRECT("Independent_"&amp;'Gen Info'!$E$4&amp;"[#All]"),13,FALSE))</f>
        <v>Conocimiento de Operador - Actividad Sospechosa y Fraude</v>
      </c>
      <c r="AQ115" t="str" cm="1">
        <f t="array" ref="AQ115">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sabe que no deben referir a los clientes a otras locaciones cuando existe fraude al consumidor.</v>
      </c>
      <c r="AR115" t="s">
        <v>3002</v>
      </c>
      <c r="AV115" t="str" cm="1">
        <f t="array" ref="AV115">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confirmación donde se evidencie que todos los empleados han sido entrenados en este tema. Asegúrese que la confirmación incluya el tema cubierto, el nombre de las personas que asistieron a la sesión y la fecha de la capacitación.</v>
      </c>
      <c r="AW115" t="s">
        <v>2400</v>
      </c>
      <c r="AX115" t="s">
        <v>3363</v>
      </c>
      <c r="AY115" t="s">
        <v>2401</v>
      </c>
      <c r="AZ115" t="s">
        <v>3364</v>
      </c>
      <c r="BA115" t="s">
        <v>2402</v>
      </c>
      <c r="BB115" t="s">
        <v>3366</v>
      </c>
      <c r="BC115" t="s">
        <v>2403</v>
      </c>
      <c r="BD115" t="s">
        <v>2215</v>
      </c>
      <c r="BE115" t="s">
        <v>1414</v>
      </c>
    </row>
    <row r="116" spans="2:58">
      <c r="B116" s="353" t="str">
        <f>Network_AgentGlobal[[#This Row],[Question]]&amp;"."&amp;Network_AgentGlobal[[#This Row],[Action Type]]&amp;Network_AgentGlobal[[#This Row],[Country]]</f>
        <v>GS8.GQ1.Response_Required</v>
      </c>
      <c r="C116" s="353" t="str">
        <f ca="1">IFERROR(VLOOKUP(Network_AgentGlobal[[#This Row],[Question]],INDIRECT('Gen Info'!$D$4&amp;"[#All]"),13,FALSE),VLOOKUP(Network_AgentGlobal[[#This Row],[Question]],INDIRECT('Gen Info'!$D$4&amp;"_"&amp;'Gen Info'!$E$4&amp;"[#All]"),13,FALSE))</f>
        <v>Conservación de Registros</v>
      </c>
      <c r="D116" s="353" t="str" cm="1">
        <f t="array" aca="1" ref="D116"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El Agente no cumple con los requisitos del período de retención para los registros en papel (ej: recibos) bajo la regulación local o de acuerdo con los estándares de WU, lo que sea más estricto.</v>
      </c>
      <c r="E116" s="353" t="s">
        <v>3367</v>
      </c>
      <c r="F116" s="353"/>
      <c r="G116" s="353"/>
      <c r="H116" s="353"/>
      <c r="I116" s="353" t="str" cm="1">
        <f t="array" ref="I116">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Brinde a Western Union evidencia o confirmación que todos los operadores han sido entrenados en el tema. Asegúrese que la confirmación incluya el tema cubierto, el nombre de las personas que asistieron a la sesión y la fecha de la capacitación.</v>
      </c>
      <c r="J116" s="353" t="s">
        <v>2388</v>
      </c>
      <c r="K116" s="353" t="s">
        <v>2823</v>
      </c>
      <c r="L116" s="353" t="s">
        <v>2389</v>
      </c>
      <c r="M116" s="353" t="s">
        <v>2825</v>
      </c>
      <c r="N116" s="353" t="s">
        <v>2390</v>
      </c>
      <c r="O116" s="353" t="s">
        <v>3368</v>
      </c>
      <c r="P116" s="353" t="s">
        <v>2391</v>
      </c>
      <c r="Q116" s="353" t="s">
        <v>2215</v>
      </c>
      <c r="R116" s="353" t="s">
        <v>932</v>
      </c>
      <c r="S116" s="353"/>
      <c r="AO116" t="str">
        <f>IndependentGlobal[[#This Row],[Question]]&amp;"."&amp;IndependentGlobal[[#This Row],[Action Type]]&amp;IndependentGlobal[[#This Row],[Country]]</f>
        <v>GS8.GQ2.Resolved_Onsite</v>
      </c>
      <c r="AP116" t="str">
        <f ca="1">IFERROR(VLOOKUP(IndependentGlobal[[#This Row],[Question]],Independent[#All],13,FALSE),VLOOKUP(IndependentGlobal[[#This Row],[Question]],INDIRECT("Independent_"&amp;'Gen Info'!$E$4&amp;"[#All]"),13,FALSE))</f>
        <v>Conocimiento de Operador - Actividad Sospechosa y Fraude</v>
      </c>
      <c r="AQ116" t="str" cm="1">
        <f t="array" ref="AQ116">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Los operadores no saben identificar las señales de alerta de actividades sospechosas.</v>
      </c>
      <c r="AR116" t="s">
        <v>3369</v>
      </c>
      <c r="AV116" t="str" cm="1">
        <f t="array" ref="AV116">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Todos los operadores han sido debidamente entrenados en este tema durante la revisión.</v>
      </c>
      <c r="AW116" t="s">
        <v>2378</v>
      </c>
      <c r="AX116" t="s">
        <v>3370</v>
      </c>
      <c r="AY116" t="s">
        <v>2380</v>
      </c>
      <c r="AZ116" t="s">
        <v>3371</v>
      </c>
      <c r="BA116" t="s">
        <v>2382</v>
      </c>
      <c r="BB116" t="s">
        <v>3372</v>
      </c>
      <c r="BC116" t="s">
        <v>2384</v>
      </c>
      <c r="BD116" t="s">
        <v>2195</v>
      </c>
      <c r="BE116" t="s">
        <v>941</v>
      </c>
    </row>
    <row r="117" spans="2:58">
      <c r="B117" s="353" t="str">
        <f>Network_AgentGlobal[[#This Row],[Question]]&amp;"."&amp;Network_AgentGlobal[[#This Row],[Action Type]]&amp;Network_AgentGlobal[[#This Row],[Country]]</f>
        <v>GS8.GQ3.Resolved_Onsite</v>
      </c>
      <c r="C117" s="353" t="str">
        <f ca="1">IFERROR(VLOOKUP(Network_AgentGlobal[[#This Row],[Question]],INDIRECT('Gen Info'!$D$4&amp;"[#All]"),13,FALSE),VLOOKUP(Network_AgentGlobal[[#This Row],[Question]],INDIRECT('Gen Info'!$D$4&amp;"_"&amp;'Gen Info'!$E$4&amp;"[#All]"),13,FALSE))</f>
        <v>Conservación de Registros</v>
      </c>
      <c r="D117" s="353" t="str" cm="1">
        <f t="array" aca="1" ref="D117"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La tienda no puede producir copias claras de los documentos de la transacción.</v>
      </c>
      <c r="E117" s="353" t="s">
        <v>2695</v>
      </c>
      <c r="F117" s="353"/>
      <c r="G117" s="353"/>
      <c r="H117" s="353"/>
      <c r="I117" s="353" t="str" cm="1">
        <f t="array" ref="I117">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No se requiere acción. Se ha enviado al Agente material de capacitación específico sobre este tema. Todos los "FLAs" han recibido realimentación/capacitación sobre este tema en el transcurso de la revisión.</v>
      </c>
      <c r="J117" s="353" t="s">
        <v>2362</v>
      </c>
      <c r="K117" s="353" t="s">
        <v>3373</v>
      </c>
      <c r="L117" s="353" t="s">
        <v>2824</v>
      </c>
      <c r="M117" s="353" t="s">
        <v>2264</v>
      </c>
      <c r="N117" s="353" t="s">
        <v>2826</v>
      </c>
      <c r="O117" s="353" t="s">
        <v>3374</v>
      </c>
      <c r="P117" s="353" t="s">
        <v>2896</v>
      </c>
      <c r="Q117" s="353" t="s">
        <v>2195</v>
      </c>
      <c r="R117" s="353" t="s">
        <v>950</v>
      </c>
      <c r="S117" s="353"/>
      <c r="AO117" t="str">
        <f>IndependentGlobal[[#This Row],[Question]]&amp;"."&amp;IndependentGlobal[[#This Row],[Action Type]]&amp;IndependentGlobal[[#This Row],[Country]]</f>
        <v>GS8.GQ2.Response_Required</v>
      </c>
      <c r="AP117" t="str">
        <f ca="1">IFERROR(VLOOKUP(IndependentGlobal[[#This Row],[Question]],Independent[#All],13,FALSE),VLOOKUP(IndependentGlobal[[#This Row],[Question]],INDIRECT("Independent_"&amp;'Gen Info'!$E$4&amp;"[#All]"),13,FALSE))</f>
        <v>Conocimiento de Operador - Actividad Sospechosa y Fraude</v>
      </c>
      <c r="AQ117" t="str" cm="1">
        <f t="array" ref="AQ117">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Los operadores no saben identificar las señales de alerta de actividades sospechosas.</v>
      </c>
      <c r="AR117" t="s">
        <v>3369</v>
      </c>
      <c r="AV117" t="str" cm="1">
        <f t="array" ref="AV117">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confirmación donde se evidencie que todos los empleados han sido entrenados en este tema. Asegúrese que la confirmación incluya el tema cubierto, el nombre de las personas que asistieron a la sesión y la fecha de la capacitación.</v>
      </c>
      <c r="AW117" t="s">
        <v>2400</v>
      </c>
      <c r="AX117" t="s">
        <v>3370</v>
      </c>
      <c r="AY117" t="s">
        <v>2401</v>
      </c>
      <c r="AZ117" t="s">
        <v>3371</v>
      </c>
      <c r="BA117" t="s">
        <v>2402</v>
      </c>
      <c r="BB117" t="s">
        <v>3372</v>
      </c>
      <c r="BC117" t="s">
        <v>2403</v>
      </c>
      <c r="BD117" t="s">
        <v>2215</v>
      </c>
      <c r="BE117" t="s">
        <v>941</v>
      </c>
    </row>
    <row r="118" spans="2:58">
      <c r="B118" s="353" t="str">
        <f>Network_AgentGlobal[[#This Row],[Question]]&amp;"."&amp;Network_AgentGlobal[[#This Row],[Action Type]]&amp;Network_AgentGlobal[[#This Row],[Country]]</f>
        <v>GS8.GQ3.Response_Required</v>
      </c>
      <c r="C118" s="353" t="str">
        <f ca="1">IFERROR(VLOOKUP(Network_AgentGlobal[[#This Row],[Question]],INDIRECT('Gen Info'!$D$4&amp;"[#All]"),13,FALSE),VLOOKUP(Network_AgentGlobal[[#This Row],[Question]],INDIRECT('Gen Info'!$D$4&amp;"_"&amp;'Gen Info'!$E$4&amp;"[#All]"),13,FALSE))</f>
        <v>Conservación de Registros</v>
      </c>
      <c r="D118" s="353" t="str" cm="1">
        <f t="array" aca="1" ref="D118"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La tienda no puede producir copias claras de los documentos de la transacción.</v>
      </c>
      <c r="E118" s="353" t="s">
        <v>2695</v>
      </c>
      <c r="F118" s="353"/>
      <c r="G118" s="353"/>
      <c r="H118" s="353"/>
      <c r="I118" s="353" t="str" cm="1">
        <f t="array" ref="I118">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Brinde a Western Union evidencia o confirmación que todos los operadores han sido entrenados en el tema. Asegúrese que la confirmación incluya el tema cubierto, el nombre de las personas que asistieron a la sesión y la fecha de la capacitación.</v>
      </c>
      <c r="J118" s="353" t="s">
        <v>2388</v>
      </c>
      <c r="K118" s="353" t="s">
        <v>3373</v>
      </c>
      <c r="L118" s="353" t="s">
        <v>2389</v>
      </c>
      <c r="M118" s="353" t="s">
        <v>3375</v>
      </c>
      <c r="N118" s="353" t="s">
        <v>2390</v>
      </c>
      <c r="O118" s="353" t="s">
        <v>3374</v>
      </c>
      <c r="P118" s="353" t="s">
        <v>2391</v>
      </c>
      <c r="Q118" s="353" t="s">
        <v>2215</v>
      </c>
      <c r="R118" s="353" t="s">
        <v>950</v>
      </c>
      <c r="S118" s="353"/>
      <c r="AO118" t="str">
        <f>IndependentGlobal[[#This Row],[Question]]&amp;"."&amp;IndependentGlobal[[#This Row],[Action Type]]&amp;IndependentGlobal[[#This Row],[Country]]</f>
        <v>GS8.GQ3.Resolved_Onsite</v>
      </c>
      <c r="AP118" t="str">
        <f ca="1">IFERROR(VLOOKUP(IndependentGlobal[[#This Row],[Question]],Independent[#All],13,FALSE),VLOOKUP(IndependentGlobal[[#This Row],[Question]],INDIRECT("Independent_"&amp;'Gen Info'!$E$4&amp;"[#All]"),13,FALSE))</f>
        <v>Conocimiento de Operador - Actividad Sospechosa y Fraude</v>
      </c>
      <c r="AQ118" t="str" cm="1">
        <f t="array" ref="AQ118">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Los operadores no conocen los pasos a seguir para reportar actividades o transferencias sospechosas.</v>
      </c>
      <c r="AR118" t="s">
        <v>3376</v>
      </c>
      <c r="AV118" t="str" cm="1">
        <f t="array" ref="AV118">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Todos los operadores han sido debidamente entrenados en este tema durante la revisión.</v>
      </c>
      <c r="AW118" t="s">
        <v>2378</v>
      </c>
      <c r="AX118" t="s">
        <v>3377</v>
      </c>
      <c r="AY118" t="s">
        <v>2380</v>
      </c>
      <c r="AZ118" t="s">
        <v>3378</v>
      </c>
      <c r="BA118" t="s">
        <v>2382</v>
      </c>
      <c r="BB118" t="s">
        <v>3379</v>
      </c>
      <c r="BC118" t="s">
        <v>2384</v>
      </c>
      <c r="BD118" t="s">
        <v>2195</v>
      </c>
      <c r="BE118" t="s">
        <v>950</v>
      </c>
    </row>
    <row r="119" spans="2:58">
      <c r="B119" s="353" t="str">
        <f>Network_AgentGlobal[[#This Row],[Question]]&amp;"."&amp;Network_AgentGlobal[[#This Row],[Action Type]]&amp;Network_AgentGlobal[[#This Row],[Country]]</f>
        <v>GS8.GQ4.Resolved_Onsite</v>
      </c>
      <c r="C119" s="353" t="str">
        <f ca="1">IFERROR(VLOOKUP(Network_AgentGlobal[[#This Row],[Question]],INDIRECT('Gen Info'!$D$4&amp;"[#All]"),13,FALSE),VLOOKUP(Network_AgentGlobal[[#This Row],[Question]],INDIRECT('Gen Info'!$D$4&amp;"_"&amp;'Gen Info'!$E$4&amp;"[#All]"),13,FALSE))</f>
        <v>Conservación de Registros</v>
      </c>
      <c r="D119" s="353" t="str" cm="1">
        <f t="array" aca="1" ref="D119"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La tienda no mantiene los registros en un lugar seguro o protegido.</v>
      </c>
      <c r="E119" s="353" t="s">
        <v>3380</v>
      </c>
      <c r="F119" s="353"/>
      <c r="G119" s="353"/>
      <c r="H119" s="353"/>
      <c r="I119" s="353" t="str" cm="1">
        <f t="array" ref="I119">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No se requiere acción. Se ha enviado al Agente material de capacitación específico sobre este tema. Todos los "FLAs" han recibido realimentación/capacitación sobre este tema en el transcurso de la revisión.</v>
      </c>
      <c r="J119" s="353" t="s">
        <v>2362</v>
      </c>
      <c r="K119" s="353" t="s">
        <v>3381</v>
      </c>
      <c r="L119" s="353" t="s">
        <v>2824</v>
      </c>
      <c r="M119" s="353" t="s">
        <v>2264</v>
      </c>
      <c r="N119" s="353" t="s">
        <v>2826</v>
      </c>
      <c r="O119" s="353" t="s">
        <v>3382</v>
      </c>
      <c r="P119" s="353" t="s">
        <v>2896</v>
      </c>
      <c r="Q119" s="353" t="s">
        <v>2195</v>
      </c>
      <c r="R119" s="353" t="s">
        <v>958</v>
      </c>
      <c r="S119" s="353"/>
      <c r="AO119" t="str">
        <f>IndependentGlobal[[#This Row],[Question]]&amp;"."&amp;IndependentGlobal[[#This Row],[Action Type]]&amp;IndependentGlobal[[#This Row],[Country]]</f>
        <v>GS8.GQ3.Response_Required</v>
      </c>
      <c r="AP119" t="str">
        <f ca="1">IFERROR(VLOOKUP(IndependentGlobal[[#This Row],[Question]],Independent[#All],13,FALSE),VLOOKUP(IndependentGlobal[[#This Row],[Question]],INDIRECT("Independent_"&amp;'Gen Info'!$E$4&amp;"[#All]"),13,FALSE))</f>
        <v>Conocimiento de Operador - Actividad Sospechosa y Fraude</v>
      </c>
      <c r="AQ119" t="str" cm="1">
        <f t="array" ref="AQ119">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Los operadores no conocen los pasos a seguir para reportar actividades o transferencias sospechosas.</v>
      </c>
      <c r="AR119" t="s">
        <v>3376</v>
      </c>
      <c r="AV119" t="str" cm="1">
        <f t="array" ref="AV119">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confirmación donde se evidencie que todos los empleados han sido entrenados en este tema. Asegúrese que la confirmación incluya el tema cubierto, el nombre de las personas que asistieron a la sesión y la fecha de la capacitación.</v>
      </c>
      <c r="AW119" t="s">
        <v>2400</v>
      </c>
      <c r="AX119" t="s">
        <v>3377</v>
      </c>
      <c r="AY119" t="s">
        <v>2401</v>
      </c>
      <c r="AZ119" t="s">
        <v>3378</v>
      </c>
      <c r="BA119" t="s">
        <v>2402</v>
      </c>
      <c r="BB119" t="s">
        <v>3379</v>
      </c>
      <c r="BC119" t="s">
        <v>2403</v>
      </c>
      <c r="BD119" t="s">
        <v>2215</v>
      </c>
      <c r="BE119" t="s">
        <v>950</v>
      </c>
    </row>
    <row r="120" spans="2:58">
      <c r="B120" s="353" t="str">
        <f>Network_AgentGlobal[[#This Row],[Question]]&amp;"."&amp;Network_AgentGlobal[[#This Row],[Action Type]]&amp;Network_AgentGlobal[[#This Row],[Country]]</f>
        <v>GS8.GQ4.Response_Required</v>
      </c>
      <c r="C120" s="353" t="str">
        <f ca="1">IFERROR(VLOOKUP(Network_AgentGlobal[[#This Row],[Question]],INDIRECT('Gen Info'!$D$4&amp;"[#All]"),13,FALSE),VLOOKUP(Network_AgentGlobal[[#This Row],[Question]],INDIRECT('Gen Info'!$D$4&amp;"_"&amp;'Gen Info'!$E$4&amp;"[#All]"),13,FALSE))</f>
        <v>Conservación de Registros</v>
      </c>
      <c r="D120" s="353" t="str" cm="1">
        <f t="array" aca="1" ref="D120"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La tienda no mantiene los registros en un lugar seguro o protegido.</v>
      </c>
      <c r="E120" s="353" t="s">
        <v>3380</v>
      </c>
      <c r="F120" s="353"/>
      <c r="G120" s="353"/>
      <c r="H120" s="353"/>
      <c r="I120" s="353" t="str" cm="1">
        <f t="array" ref="I120">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Brinde a Western Union evidencia o confirmación que todos los operadores han sido entrenados en el tema. Asegúrese que la confirmación incluya el tema cubierto, el nombre de las personas que asistieron a la sesión y la fecha de la capacitación.</v>
      </c>
      <c r="J120" s="353" t="s">
        <v>2388</v>
      </c>
      <c r="K120" s="353" t="s">
        <v>3381</v>
      </c>
      <c r="L120" s="353" t="s">
        <v>2389</v>
      </c>
      <c r="M120" s="353" t="s">
        <v>3383</v>
      </c>
      <c r="N120" s="353" t="s">
        <v>2390</v>
      </c>
      <c r="O120" s="353" t="s">
        <v>3382</v>
      </c>
      <c r="P120" s="353" t="s">
        <v>2391</v>
      </c>
      <c r="Q120" s="353" t="s">
        <v>2215</v>
      </c>
      <c r="R120" s="353" t="s">
        <v>958</v>
      </c>
      <c r="S120" s="353"/>
      <c r="AO120" t="str">
        <f>IndependentGlobal[[#This Row],[Question]]&amp;"."&amp;IndependentGlobal[[#This Row],[Action Type]]&amp;IndependentGlobal[[#This Row],[Country]]</f>
        <v>GS8.GQ4.Resolved_Onsite</v>
      </c>
      <c r="AP120" t="str">
        <f ca="1">IFERROR(VLOOKUP(IndependentGlobal[[#This Row],[Question]],Independent[#All],13,FALSE),VLOOKUP(IndependentGlobal[[#This Row],[Question]],INDIRECT("Independent_"&amp;'Gen Info'!$E$4&amp;"[#All]"),13,FALSE))</f>
        <v>Conocimiento de Operador - Actividad Sospechosa y Fraude</v>
      </c>
      <c r="AQ120" t="str" cm="1">
        <f t="array" ref="AQ120">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Los operadores no saben identificar actividades relacionadas a fraude encontra del agente.</v>
      </c>
      <c r="AR120" t="s">
        <v>3384</v>
      </c>
      <c r="AV120" t="str" cm="1">
        <f t="array" ref="AV120">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Todos los operadores han sido debidamente entrenados en este tema durante la revisión.</v>
      </c>
      <c r="AW120" t="s">
        <v>2378</v>
      </c>
      <c r="AX120" t="s">
        <v>3385</v>
      </c>
      <c r="AY120" t="s">
        <v>2380</v>
      </c>
      <c r="AZ120" t="s">
        <v>3386</v>
      </c>
      <c r="BA120" t="s">
        <v>2382</v>
      </c>
      <c r="BB120" t="s">
        <v>3387</v>
      </c>
      <c r="BC120" t="s">
        <v>2384</v>
      </c>
      <c r="BD120" t="s">
        <v>2195</v>
      </c>
      <c r="BE120" t="s">
        <v>958</v>
      </c>
    </row>
    <row r="121" spans="2:58">
      <c r="B121" s="353" t="str">
        <f>Network_AgentGlobal[[#This Row],[Question]]&amp;"."&amp;Network_AgentGlobal[[#This Row],[Action Type]]&amp;Network_AgentGlobal[[#This Row],[Country]]</f>
        <v>GS8.RQ1.Resolved_OnsiteUnited_States</v>
      </c>
      <c r="C121" s="353" t="e">
        <f ca="1">IFERROR(VLOOKUP(Network_AgentGlobal[[#This Row],[Question]],INDIRECT('Gen Info'!$D$4&amp;"[#All]"),13,FALSE),VLOOKUP(Network_AgentGlobal[[#This Row],[Question]],INDIRECT('Gen Info'!$D$4&amp;"_"&amp;'Gen Info'!$E$4&amp;"[#All]"),13,FALSE))</f>
        <v>#REF!</v>
      </c>
      <c r="D121" s="353" t="str" cm="1">
        <f t="array" aca="1" ref="D121"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El Agente no está completando correctamente los registros de giros postales (MO).</v>
      </c>
      <c r="E121" s="353" t="s">
        <v>2791</v>
      </c>
      <c r="F121" s="353"/>
      <c r="G121" s="353"/>
      <c r="H121" s="353"/>
      <c r="I121" s="353" t="str" cm="1">
        <f t="array" ref="I121">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No se requiere accion. Agente capacitado sobre este tema durante la revisión. Se notificó al agente a través de una carta de hallazgo/violación del agente.</v>
      </c>
      <c r="J121" s="353" t="s">
        <v>2574</v>
      </c>
      <c r="K121" s="353" t="s">
        <v>3388</v>
      </c>
      <c r="L121" s="353" t="s">
        <v>3389</v>
      </c>
      <c r="M121" s="353" t="s">
        <v>3390</v>
      </c>
      <c r="N121" s="353" t="s">
        <v>3391</v>
      </c>
      <c r="O121" s="353" t="s">
        <v>3392</v>
      </c>
      <c r="P121" s="353" t="s">
        <v>2391</v>
      </c>
      <c r="Q121" s="353" t="s">
        <v>2195</v>
      </c>
      <c r="R121" s="353" t="s">
        <v>731</v>
      </c>
      <c r="S121" s="353" t="s">
        <v>2581</v>
      </c>
      <c r="AO121" t="str">
        <f>IndependentGlobal[[#This Row],[Question]]&amp;"."&amp;IndependentGlobal[[#This Row],[Action Type]]&amp;IndependentGlobal[[#This Row],[Country]]</f>
        <v>GS8.GQ4.Response_Required</v>
      </c>
      <c r="AP121" t="str">
        <f ca="1">IFERROR(VLOOKUP(IndependentGlobal[[#This Row],[Question]],Independent[#All],13,FALSE),VLOOKUP(IndependentGlobal[[#This Row],[Question]],INDIRECT("Independent_"&amp;'Gen Info'!$E$4&amp;"[#All]"),13,FALSE))</f>
        <v>Conocimiento de Operador - Actividad Sospechosa y Fraude</v>
      </c>
      <c r="AQ121" t="str" cm="1">
        <f t="array" ref="AQ121">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Los operadores no saben identificar actividades relacionadas a fraude encontra del agente.</v>
      </c>
      <c r="AR121" t="s">
        <v>3384</v>
      </c>
      <c r="AV121" t="str" cm="1">
        <f t="array" ref="AV121">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confirmación donde se evidencie que todos los empleados han sido entrenados en este tema. Asegúrese que la confirmación incluya el tema cubierto, el nombre de las personas que asistieron a la sesión y la fecha de la capacitación.</v>
      </c>
      <c r="AW121" t="s">
        <v>2400</v>
      </c>
      <c r="AX121" t="s">
        <v>3385</v>
      </c>
      <c r="AY121" t="s">
        <v>2401</v>
      </c>
      <c r="AZ121" t="s">
        <v>3386</v>
      </c>
      <c r="BA121" t="s">
        <v>2402</v>
      </c>
      <c r="BB121" t="s">
        <v>3387</v>
      </c>
      <c r="BC121" t="s">
        <v>2403</v>
      </c>
      <c r="BD121" t="s">
        <v>2215</v>
      </c>
      <c r="BE121" t="s">
        <v>958</v>
      </c>
    </row>
    <row r="122" spans="2:58">
      <c r="B122" s="353" t="str">
        <f>Network_AgentGlobal[[#This Row],[Question]]&amp;"."&amp;Network_AgentGlobal[[#This Row],[Action Type]]&amp;Network_AgentGlobal[[#This Row],[Country]]</f>
        <v>GS8.RQ1.Response_RequiredUnited_States</v>
      </c>
      <c r="C122" s="353" t="e">
        <f ca="1">IFERROR(VLOOKUP(Network_AgentGlobal[[#This Row],[Question]],INDIRECT('Gen Info'!$D$4&amp;"[#All]"),13,FALSE),VLOOKUP(Network_AgentGlobal[[#This Row],[Question]],INDIRECT('Gen Info'!$D$4&amp;"_"&amp;'Gen Info'!$E$4&amp;"[#All]"),13,FALSE))</f>
        <v>#REF!</v>
      </c>
      <c r="D122" s="353" t="str" cm="1">
        <f t="array" aca="1" ref="D122"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El Agente no está completando correctamente los registros de giros postales (MO).</v>
      </c>
      <c r="E122" s="353" t="s">
        <v>2791</v>
      </c>
      <c r="F122" s="353"/>
      <c r="G122" s="353"/>
      <c r="H122" s="353"/>
      <c r="I122" s="353" t="str" cm="1">
        <f t="array" ref="I122">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Brinde a Western Union evidencia de capacitación o confirmación de que todos los FLA han completado la capacitación sobre el tema. Asegúrate de que la confirmación incluya el tema tratado, el nombre de los asistentes y la fecha.</v>
      </c>
      <c r="J122" s="353" t="s">
        <v>2388</v>
      </c>
      <c r="K122" s="353" t="s">
        <v>3388</v>
      </c>
      <c r="L122" s="353" t="s">
        <v>3393</v>
      </c>
      <c r="M122" s="353" t="s">
        <v>3390</v>
      </c>
      <c r="N122" s="353" t="s">
        <v>3394</v>
      </c>
      <c r="O122" s="353" t="s">
        <v>3392</v>
      </c>
      <c r="P122" s="353" t="s">
        <v>3395</v>
      </c>
      <c r="Q122" s="353" t="s">
        <v>2215</v>
      </c>
      <c r="R122" s="353" t="s">
        <v>731</v>
      </c>
      <c r="S122" s="353" t="s">
        <v>2581</v>
      </c>
      <c r="AO122" t="str">
        <f>IndependentGlobal[[#This Row],[Question]]&amp;"."&amp;IndependentGlobal[[#This Row],[Action Type]]&amp;IndependentGlobal[[#This Row],[Country]]</f>
        <v>GS8.GQ5.Resolved_Onsite</v>
      </c>
      <c r="AP122" t="str">
        <f ca="1">IFERROR(VLOOKUP(IndependentGlobal[[#This Row],[Question]],Independent[#All],13,FALSE),VLOOKUP(IndependentGlobal[[#This Row],[Question]],INDIRECT("Independent_"&amp;'Gen Info'!$E$4&amp;"[#All]"),13,FALSE))</f>
        <v>Conocimiento de Operador - Actividad Sospechosa y Fraude</v>
      </c>
      <c r="AQ122" t="str" cm="1">
        <f t="array" ref="AQ122">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Los operadores no saben describir las acciones adecuadas que deben tomarse ante situaciones de fraude en contra del agente.</v>
      </c>
      <c r="AR122" t="s">
        <v>3396</v>
      </c>
      <c r="AV122" t="str" cm="1">
        <f t="array" ref="AV122">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Todos los operadores han sido debidamente entrenados en este tema durante la revisión.</v>
      </c>
      <c r="AW122" t="s">
        <v>2378</v>
      </c>
      <c r="AX122" t="s">
        <v>3397</v>
      </c>
      <c r="AY122" t="s">
        <v>2380</v>
      </c>
      <c r="AZ122" t="s">
        <v>3398</v>
      </c>
      <c r="BA122" t="s">
        <v>2382</v>
      </c>
      <c r="BB122" t="s">
        <v>3399</v>
      </c>
      <c r="BC122" t="s">
        <v>2384</v>
      </c>
      <c r="BD122" t="s">
        <v>2195</v>
      </c>
      <c r="BE122" t="s">
        <v>967</v>
      </c>
    </row>
    <row r="123" spans="2:58">
      <c r="B123" s="353" t="str">
        <f>Network_AgentGlobal[[#This Row],[Question]]&amp;"."&amp;Network_AgentGlobal[[#This Row],[Action Type]]&amp;Network_AgentGlobal[[#This Row],[Country]]</f>
        <v>GS8.RQ2.Response_RequiredUnited_States</v>
      </c>
      <c r="C123" s="353" t="e">
        <f ca="1">IFERROR(VLOOKUP(Network_AgentGlobal[[#This Row],[Question]],INDIRECT('Gen Info'!$D$4&amp;"[#All]"),13,FALSE),VLOOKUP(Network_AgentGlobal[[#This Row],[Question]],INDIRECT('Gen Info'!$D$4&amp;"_"&amp;'Gen Info'!$E$4&amp;"[#All]"),13,FALSE))</f>
        <v>#REF!</v>
      </c>
      <c r="D123" s="353" t="str" cm="1">
        <f t="array" aca="1" ref="D123"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El agente no está cumpliendo con las regulaciones de Conservación de Registros.</v>
      </c>
      <c r="E123" s="353" t="s">
        <v>2971</v>
      </c>
      <c r="F123" s="353"/>
      <c r="G123" s="353"/>
      <c r="H123" s="353"/>
      <c r="I123" s="353" t="str" cm="1">
        <f t="array" ref="I123">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Tanto una evidencia de entrenamiento como un documento que indique las medidas a tomar por parte del agente para garantizar el cumplimiento de esta medida. Enviar confirmación por escrito a Western Union.</v>
      </c>
      <c r="J123" s="353" t="s">
        <v>3400</v>
      </c>
      <c r="K123" s="353" t="s">
        <v>3401</v>
      </c>
      <c r="L123" s="353" t="s">
        <v>3402</v>
      </c>
      <c r="M123" s="353" t="s">
        <v>3403</v>
      </c>
      <c r="N123" s="353" t="s">
        <v>3404</v>
      </c>
      <c r="O123" s="353" t="s">
        <v>3405</v>
      </c>
      <c r="P123" s="353" t="s">
        <v>3406</v>
      </c>
      <c r="Q123" s="353" t="s">
        <v>2215</v>
      </c>
      <c r="R123" s="353" t="s">
        <v>746</v>
      </c>
      <c r="S123" s="353" t="s">
        <v>2581</v>
      </c>
      <c r="AO123" t="str">
        <f>IndependentGlobal[[#This Row],[Question]]&amp;"."&amp;IndependentGlobal[[#This Row],[Action Type]]&amp;IndependentGlobal[[#This Row],[Country]]</f>
        <v>GS8.GQ5.Response_Required</v>
      </c>
      <c r="AP123" t="str">
        <f ca="1">IFERROR(VLOOKUP(IndependentGlobal[[#This Row],[Question]],Independent[#All],13,FALSE),VLOOKUP(IndependentGlobal[[#This Row],[Question]],INDIRECT("Independent_"&amp;'Gen Info'!$E$4&amp;"[#All]"),13,FALSE))</f>
        <v>Conocimiento de Operador - Actividad Sospechosa y Fraude</v>
      </c>
      <c r="AQ123" t="str" cm="1">
        <f t="array" ref="AQ123">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Los operadores no saben describir las acciones adecuadas que deben tomarse ante situaciones de fraude en contra del agente.</v>
      </c>
      <c r="AR123" t="s">
        <v>3396</v>
      </c>
      <c r="AV123" t="str" cm="1">
        <f t="array" ref="AV123">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confirmación donde se evidencie que todos los empleados han sido entrenados en este tema. Asegúrese que la confirmación incluya el tema cubierto, el nombre de las personas que asistieron a la sesión y la fecha de la capacitación.</v>
      </c>
      <c r="AW123" t="s">
        <v>2400</v>
      </c>
      <c r="AX123" t="s">
        <v>3397</v>
      </c>
      <c r="AY123" t="s">
        <v>2401</v>
      </c>
      <c r="AZ123" t="s">
        <v>3398</v>
      </c>
      <c r="BA123" t="s">
        <v>2402</v>
      </c>
      <c r="BB123" t="s">
        <v>3399</v>
      </c>
      <c r="BC123" t="s">
        <v>3407</v>
      </c>
      <c r="BD123" t="s">
        <v>2215</v>
      </c>
      <c r="BE123" t="s">
        <v>967</v>
      </c>
    </row>
    <row r="124" spans="2:58">
      <c r="B124" s="353" t="str">
        <f>Network_AgentGlobal[[#This Row],[Question]]&amp;"."&amp;Network_AgentGlobal[[#This Row],[Action Type]]&amp;Network_AgentGlobal[[#This Row],[Country]]</f>
        <v>GS8.RQ3.Resolved_OnsiteUnited_States</v>
      </c>
      <c r="C124" s="353" t="e">
        <f ca="1">IFERROR(VLOOKUP(Network_AgentGlobal[[#This Row],[Question]],INDIRECT('Gen Info'!$D$4&amp;"[#All]"),13,FALSE),VLOOKUP(Network_AgentGlobal[[#This Row],[Question]],INDIRECT('Gen Info'!$D$4&amp;"_"&amp;'Gen Info'!$E$4&amp;"[#All]"),13,FALSE))</f>
        <v>#REF!</v>
      </c>
      <c r="D124" s="353" t="str" cm="1">
        <f t="array" aca="1" ref="D124"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El Agente no sabe a quién contactar en caso de pérdida o robo de documentación, acceso no autorizado o si se produce una violación del sistema.</v>
      </c>
      <c r="E124" s="353" t="s">
        <v>2820</v>
      </c>
      <c r="F124" s="353"/>
      <c r="G124" s="353"/>
      <c r="H124" s="353"/>
      <c r="I124" s="353" t="str" cm="1">
        <f t="array" ref="I124">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No se requiere accion. Agente capacitado sobre este tema durante la revisión. Se notificó a la sede central a través de una carta de hallazgo/violación del agente.</v>
      </c>
      <c r="J124" s="353" t="s">
        <v>2574</v>
      </c>
      <c r="K124" s="353" t="s">
        <v>3408</v>
      </c>
      <c r="L124" s="353" t="s">
        <v>3409</v>
      </c>
      <c r="M124" s="353" t="s">
        <v>2987</v>
      </c>
      <c r="N124" s="353" t="s">
        <v>3391</v>
      </c>
      <c r="O124" s="353" t="s">
        <v>3410</v>
      </c>
      <c r="P124" s="353" t="s">
        <v>3411</v>
      </c>
      <c r="Q124" s="353" t="s">
        <v>2195</v>
      </c>
      <c r="R124" s="353" t="s">
        <v>646</v>
      </c>
      <c r="S124" s="353" t="s">
        <v>2581</v>
      </c>
      <c r="AO124" t="str">
        <f>IndependentGlobal[[#This Row],[Question]]&amp;"."&amp;IndependentGlobal[[#This Row],[Action Type]]&amp;IndependentGlobal[[#This Row],[Country]]</f>
        <v>GS8.GQ6.Resolved_Onsite</v>
      </c>
      <c r="AP124" t="str">
        <f ca="1">IFERROR(VLOOKUP(IndependentGlobal[[#This Row],[Question]],Independent[#All],13,FALSE),VLOOKUP(IndependentGlobal[[#This Row],[Question]],INDIRECT("Independent_"&amp;'Gen Info'!$E$4&amp;"[#All]"),13,FALSE))</f>
        <v>Conocimiento de Operador - Actividad Sospechosa y Fraude</v>
      </c>
      <c r="AQ124" t="str" cm="1">
        <f t="array" ref="AQ124">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Los operadores no saben identificar actividades relacionadas a fraude al consumidor.</v>
      </c>
      <c r="AR124" t="s">
        <v>3412</v>
      </c>
      <c r="AV124" t="str" cm="1">
        <f t="array" ref="AV124">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Todos los operadores han sido debidamente entrenados en este tema durante la revisión.</v>
      </c>
      <c r="AW124" t="s">
        <v>2378</v>
      </c>
      <c r="AX124" t="s">
        <v>3413</v>
      </c>
      <c r="AY124" t="s">
        <v>2380</v>
      </c>
      <c r="AZ124" t="s">
        <v>3414</v>
      </c>
      <c r="BA124" t="s">
        <v>2382</v>
      </c>
      <c r="BB124" t="s">
        <v>3415</v>
      </c>
      <c r="BC124" t="s">
        <v>2384</v>
      </c>
      <c r="BD124" t="s">
        <v>2195</v>
      </c>
      <c r="BE124" t="s">
        <v>1394</v>
      </c>
    </row>
    <row r="125" spans="2:58">
      <c r="B125" s="353" t="str">
        <f>Network_AgentGlobal[[#This Row],[Question]]&amp;"."&amp;Network_AgentGlobal[[#This Row],[Action Type]]&amp;Network_AgentGlobal[[#This Row],[Country]]</f>
        <v>GS8.RQ3.Response_RequiredUnited_States</v>
      </c>
      <c r="C125" s="353" t="e">
        <f ca="1">IFERROR(VLOOKUP(Network_AgentGlobal[[#This Row],[Question]],INDIRECT('Gen Info'!$D$4&amp;"[#All]"),13,FALSE),VLOOKUP(Network_AgentGlobal[[#This Row],[Question]],INDIRECT('Gen Info'!$D$4&amp;"_"&amp;'Gen Info'!$E$4&amp;"[#All]"),13,FALSE))</f>
        <v>#REF!</v>
      </c>
      <c r="D125" s="353" t="str" cm="1">
        <f t="array" aca="1" ref="D125"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El Agente no sabe a quién contactar en caso de pérdida o robo de documentación, acceso no autorizado o si se produce una violación del sistema.</v>
      </c>
      <c r="E125" s="353" t="s">
        <v>2820</v>
      </c>
      <c r="F125" s="353"/>
      <c r="G125" s="353"/>
      <c r="H125" s="353"/>
      <c r="I125" s="353" t="str" cm="1">
        <f t="array" ref="I125">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Brinde a Western Union evidencia de capacitación o confirmación de que todos los FLA han completado la capacitación sobre el tema. Asegúrate de que la confirmación incluya el tema tratado, el nombre de los asistentes y la fecha.</v>
      </c>
      <c r="J125" s="353" t="s">
        <v>2388</v>
      </c>
      <c r="K125" s="353" t="s">
        <v>3408</v>
      </c>
      <c r="L125" s="353" t="s">
        <v>3393</v>
      </c>
      <c r="M125" s="353" t="s">
        <v>2987</v>
      </c>
      <c r="N125" s="353" t="s">
        <v>3394</v>
      </c>
      <c r="O125" s="353" t="s">
        <v>3410</v>
      </c>
      <c r="P125" s="353" t="s">
        <v>3395</v>
      </c>
      <c r="Q125" s="353" t="s">
        <v>2215</v>
      </c>
      <c r="R125" s="353" t="s">
        <v>646</v>
      </c>
      <c r="S125" s="353" t="s">
        <v>2581</v>
      </c>
      <c r="AO125" t="str">
        <f>IndependentGlobal[[#This Row],[Question]]&amp;"."&amp;IndependentGlobal[[#This Row],[Action Type]]&amp;IndependentGlobal[[#This Row],[Country]]</f>
        <v>GS8.GQ6.Response_Required</v>
      </c>
      <c r="AP125" t="str">
        <f ca="1">IFERROR(VLOOKUP(IndependentGlobal[[#This Row],[Question]],Independent[#All],13,FALSE),VLOOKUP(IndependentGlobal[[#This Row],[Question]],INDIRECT("Independent_"&amp;'Gen Info'!$E$4&amp;"[#All]"),13,FALSE))</f>
        <v>Conocimiento de Operador - Actividad Sospechosa y Fraude</v>
      </c>
      <c r="AQ125" t="str" cm="1">
        <f t="array" ref="AQ125">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Los operadores no saben identificar actividades relacionadas a fraude al consumidor.</v>
      </c>
      <c r="AR125" t="s">
        <v>3412</v>
      </c>
      <c r="AV125" t="str" cm="1">
        <f t="array" ref="AV125">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confirmación donde se evidencie que todos los empleados han sido entrenados en este tema.</v>
      </c>
      <c r="AW125" t="s">
        <v>3416</v>
      </c>
      <c r="AX125" t="s">
        <v>3413</v>
      </c>
      <c r="AY125" t="s">
        <v>3417</v>
      </c>
      <c r="AZ125" t="s">
        <v>3414</v>
      </c>
      <c r="BA125" t="s">
        <v>3418</v>
      </c>
      <c r="BB125" t="s">
        <v>3415</v>
      </c>
      <c r="BC125" t="s">
        <v>2403</v>
      </c>
      <c r="BD125" t="s">
        <v>2215</v>
      </c>
      <c r="BE125" t="s">
        <v>1394</v>
      </c>
    </row>
    <row r="126" spans="2:58">
      <c r="B126" s="353" t="str">
        <f>Network_AgentGlobal[[#This Row],[Question]]&amp;"."&amp;Network_AgentGlobal[[#This Row],[Action Type]]&amp;Network_AgentGlobal[[#This Row],[Country]]</f>
        <v>GS8.RQ4.Resolved_OnsiteUnited_States</v>
      </c>
      <c r="C126" s="353" t="e">
        <f ca="1">IFERROR(VLOOKUP(Network_AgentGlobal[[#This Row],[Question]],INDIRECT('Gen Info'!$D$4&amp;"[#All]"),13,FALSE),VLOOKUP(Network_AgentGlobal[[#This Row],[Question]],INDIRECT('Gen Info'!$D$4&amp;"_"&amp;'Gen Info'!$E$4&amp;"[#All]"),13,FALSE))</f>
        <v>#REF!</v>
      </c>
      <c r="D126" s="353" t="str" cm="1">
        <f t="array" aca="1" ref="D126"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 xml:space="preserve"> El Agente no sabe a dónde dirigir a un cliente si tiene preguntas y/o consultas sobre privacidad.</v>
      </c>
      <c r="E126" s="353" t="s">
        <v>2832</v>
      </c>
      <c r="F126" s="353"/>
      <c r="G126" s="353"/>
      <c r="H126" s="353"/>
      <c r="I126" s="353" t="str" cm="1">
        <f t="array" ref="I126">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No se requiere accion. Agente capacitado sobre este tema durante la revisión. Se notificó al agente a través de una carta de hallazgo/violación del agente.</v>
      </c>
      <c r="J126" s="353" t="s">
        <v>2574</v>
      </c>
      <c r="K126" s="353" t="s">
        <v>3419</v>
      </c>
      <c r="L126" s="353" t="s">
        <v>3389</v>
      </c>
      <c r="M126" s="353" t="s">
        <v>3420</v>
      </c>
      <c r="N126" s="353" t="s">
        <v>3391</v>
      </c>
      <c r="O126" s="353" t="s">
        <v>3421</v>
      </c>
      <c r="P126" s="353" t="s">
        <v>2391</v>
      </c>
      <c r="Q126" s="353" t="s">
        <v>2195</v>
      </c>
      <c r="R126" s="353" t="s">
        <v>655</v>
      </c>
      <c r="S126" s="353" t="s">
        <v>2581</v>
      </c>
      <c r="AO126" t="str">
        <f>IndependentGlobal[[#This Row],[Question]]&amp;"."&amp;IndependentGlobal[[#This Row],[Action Type]]&amp;IndependentGlobal[[#This Row],[Country]]</f>
        <v>GS8.GQ7.Resolved_Onsite</v>
      </c>
      <c r="AP126" t="str">
        <f ca="1">IFERROR(VLOOKUP(IndependentGlobal[[#This Row],[Question]],Independent[#All],13,FALSE),VLOOKUP(IndependentGlobal[[#This Row],[Question]],INDIRECT("Independent_"&amp;'Gen Info'!$E$4&amp;"[#All]"),13,FALSE))</f>
        <v>Conocimiento de Operador - Actividad Sospechosa y Fraude</v>
      </c>
      <c r="AQ126" t="str" cm="1">
        <f t="array" ref="AQ126">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Los operadores no saben tomar las medidas adecuadas relacionadas a fraude al consumidor.</v>
      </c>
      <c r="AR126" t="s">
        <v>2997</v>
      </c>
      <c r="AV126" t="str" cm="1">
        <f t="array" ref="AV126">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Todos los operadores han sido debidamente entrenados en este tema durante la revisión.</v>
      </c>
      <c r="AW126" t="s">
        <v>2378</v>
      </c>
      <c r="AX126" t="s">
        <v>3422</v>
      </c>
      <c r="AY126" t="s">
        <v>2380</v>
      </c>
      <c r="AZ126" t="s">
        <v>3423</v>
      </c>
      <c r="BA126" t="s">
        <v>2382</v>
      </c>
      <c r="BB126" t="s">
        <v>3424</v>
      </c>
      <c r="BC126" t="s">
        <v>2384</v>
      </c>
      <c r="BD126" t="s">
        <v>2195</v>
      </c>
      <c r="BE126" t="s">
        <v>1404</v>
      </c>
    </row>
    <row r="127" spans="2:58">
      <c r="B127" s="353" t="str">
        <f>Network_AgentGlobal[[#This Row],[Question]]&amp;"."&amp;Network_AgentGlobal[[#This Row],[Action Type]]&amp;Network_AgentGlobal[[#This Row],[Country]]</f>
        <v>GS8.RQ4.Response_RequiredUnited_States</v>
      </c>
      <c r="C127" s="353" t="e">
        <f ca="1">IFERROR(VLOOKUP(Network_AgentGlobal[[#This Row],[Question]],INDIRECT('Gen Info'!$D$4&amp;"[#All]"),13,FALSE),VLOOKUP(Network_AgentGlobal[[#This Row],[Question]],INDIRECT('Gen Info'!$D$4&amp;"_"&amp;'Gen Info'!$E$4&amp;"[#All]"),13,FALSE))</f>
        <v>#REF!</v>
      </c>
      <c r="D127" s="353" t="str" cm="1">
        <f t="array" aca="1" ref="D127"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 xml:space="preserve"> El Agente no sabe a dónde dirigir a un cliente si tiene preguntas y/o consultas sobre privacidad.</v>
      </c>
      <c r="E127" s="353" t="s">
        <v>2832</v>
      </c>
      <c r="F127" s="353"/>
      <c r="G127" s="353"/>
      <c r="H127" s="353"/>
      <c r="I127" s="353" t="str" cm="1">
        <f t="array" ref="I127">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Brinde a Western Union evidencia o confirmación que todos los operadores han sido entrenados en el tema. Asegúrese que la confirmación incluya el tema cubierto, el nombre de las personas que asistieron a la sesión y la fecha de la capacitación.</v>
      </c>
      <c r="J127" s="353" t="s">
        <v>2388</v>
      </c>
      <c r="K127" s="353" t="s">
        <v>3419</v>
      </c>
      <c r="L127" s="353" t="s">
        <v>2389</v>
      </c>
      <c r="M127" s="353" t="s">
        <v>3420</v>
      </c>
      <c r="N127" s="353" t="s">
        <v>2390</v>
      </c>
      <c r="O127" s="353" t="s">
        <v>3421</v>
      </c>
      <c r="P127" s="353" t="s">
        <v>2391</v>
      </c>
      <c r="Q127" s="353" t="s">
        <v>2215</v>
      </c>
      <c r="R127" s="353" t="s">
        <v>655</v>
      </c>
      <c r="S127" s="353" t="s">
        <v>2581</v>
      </c>
      <c r="AO127" t="str">
        <f>IndependentGlobal[[#This Row],[Question]]&amp;"."&amp;IndependentGlobal[[#This Row],[Action Type]]&amp;IndependentGlobal[[#This Row],[Country]]</f>
        <v>GS8.GQ7.Response_Required</v>
      </c>
      <c r="AP127" t="str">
        <f ca="1">IFERROR(VLOOKUP(IndependentGlobal[[#This Row],[Question]],Independent[#All],13,FALSE),VLOOKUP(IndependentGlobal[[#This Row],[Question]],INDIRECT("Independent_"&amp;'Gen Info'!$E$4&amp;"[#All]"),13,FALSE))</f>
        <v>Conocimiento de Operador - Actividad Sospechosa y Fraude</v>
      </c>
      <c r="AQ127" t="str" cm="1">
        <f t="array" ref="AQ127">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Los operadores no saben tomar las medidas adecuadas relacionadas a fraude al consumidor.</v>
      </c>
      <c r="AR127" t="s">
        <v>2997</v>
      </c>
      <c r="AV127" t="str" cm="1">
        <f t="array" ref="AV127">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confirmación donde se evidencie que todos los empleados han sido entrenados en este tema. Asegúrese que la confirmación incluya el tema cubierto, el nombre de las personas que asistieron a la sesión y la fecha de la capacitación.</v>
      </c>
      <c r="AW127" t="s">
        <v>2400</v>
      </c>
      <c r="AX127" t="s">
        <v>3422</v>
      </c>
      <c r="AY127" t="s">
        <v>2401</v>
      </c>
      <c r="AZ127" t="s">
        <v>3423</v>
      </c>
      <c r="BA127" t="s">
        <v>2402</v>
      </c>
      <c r="BB127" t="s">
        <v>3424</v>
      </c>
      <c r="BC127" t="s">
        <v>2403</v>
      </c>
      <c r="BD127" t="s">
        <v>2215</v>
      </c>
      <c r="BE127" t="s">
        <v>1404</v>
      </c>
    </row>
    <row r="128" spans="2:58">
      <c r="B128" s="353" t="str">
        <f>Network_AgentGlobal[[#This Row],[Question]]&amp;"."&amp;Network_AgentGlobal[[#This Row],[Action Type]]&amp;Network_AgentGlobal[[#This Row],[Country]]</f>
        <v>GS8.GQ2.Resolved_Onsite</v>
      </c>
      <c r="C128" s="353" t="str">
        <f ca="1">IFERROR(VLOOKUP(Network_AgentGlobal[[#This Row],[Question]],INDIRECT('Gen Info'!$D$4&amp;"[#All]"),13,FALSE),VLOOKUP(Network_AgentGlobal[[#This Row],[Question]],INDIRECT('Gen Info'!$D$4&amp;"_"&amp;'Gen Info'!$E$4&amp;"[#All]"),13,FALSE))</f>
        <v>Conservación de Registros</v>
      </c>
      <c r="D128" s="353" t="str" cm="1">
        <f t="array" aca="1" ref="D128"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El Agente no desecha de forma segura todos los registros en papel después de alcanzar el período de retención.</v>
      </c>
      <c r="E128" s="353" t="s">
        <v>2678</v>
      </c>
      <c r="F128" s="353"/>
      <c r="G128" s="353"/>
      <c r="H128" s="353"/>
      <c r="I128" s="353" t="str" cm="1">
        <f t="array" ref="I128">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No se requiere acción. Se ha enviado al Agente material de capacitación específico sobre este tema. Todos los "FLAs" han recibido realimentación/capacitación sobre este tema en el transcurso de la revisión.</v>
      </c>
      <c r="J128" s="353" t="s">
        <v>2362</v>
      </c>
      <c r="K128" s="353" t="s">
        <v>3265</v>
      </c>
      <c r="L128" s="353" t="s">
        <v>2824</v>
      </c>
      <c r="M128" s="353" t="s">
        <v>3266</v>
      </c>
      <c r="N128" s="353" t="s">
        <v>2826</v>
      </c>
      <c r="O128" s="353" t="s">
        <v>3425</v>
      </c>
      <c r="P128" s="353" t="s">
        <v>2896</v>
      </c>
      <c r="Q128" s="353" t="s">
        <v>2195</v>
      </c>
      <c r="R128" s="353" t="s">
        <v>941</v>
      </c>
      <c r="S128" s="353"/>
      <c r="AO128" t="str">
        <f>IndependentGlobal[[#This Row],[Question]]&amp;"."&amp;IndependentGlobal[[#This Row],[Action Type]]&amp;IndependentGlobal[[#This Row],[Country]]</f>
        <v>GS8.RQ1.Resolved_OnsiteUnited_States</v>
      </c>
      <c r="AP128" t="e">
        <f ca="1">IFERROR(VLOOKUP(IndependentGlobal[[#This Row],[Question]],Independent[#All],13,FALSE),VLOOKUP(IndependentGlobal[[#This Row],[Question]],INDIRECT("Independent_"&amp;'Gen Info'!$E$4&amp;"[#All]"),13,FALSE))</f>
        <v>#REF!</v>
      </c>
      <c r="AQ128" t="str" cm="1">
        <f t="array" ref="AQ128">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Los operadores no saben como identificar o responder a los casos relacionados al abuso financiero de personas adultas mayores.</v>
      </c>
      <c r="AR128" t="s">
        <v>3426</v>
      </c>
      <c r="AV128" t="str" cm="1">
        <f t="array" ref="AV128">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Todos los operadores han sido debidamente entrenados en este tema durante la revisión.</v>
      </c>
      <c r="AW128" t="s">
        <v>2378</v>
      </c>
      <c r="AX128" t="s">
        <v>3427</v>
      </c>
      <c r="AY128" t="s">
        <v>2380</v>
      </c>
      <c r="AZ128" t="s">
        <v>3428</v>
      </c>
      <c r="BA128" t="s">
        <v>2382</v>
      </c>
      <c r="BB128" t="s">
        <v>3429</v>
      </c>
      <c r="BC128" t="s">
        <v>2384</v>
      </c>
      <c r="BD128" t="s">
        <v>2195</v>
      </c>
      <c r="BE128" t="s">
        <v>731</v>
      </c>
      <c r="BF128" t="s">
        <v>2581</v>
      </c>
    </row>
    <row r="129" spans="2:58">
      <c r="B129" s="353" t="str">
        <f>Network_AgentGlobal[[#This Row],[Question]]&amp;"."&amp;Network_AgentGlobal[[#This Row],[Action Type]]&amp;Network_AgentGlobal[[#This Row],[Country]]</f>
        <v>GS8.GQ2.Response_Required</v>
      </c>
      <c r="C129" s="353" t="str">
        <f ca="1">IFERROR(VLOOKUP(Network_AgentGlobal[[#This Row],[Question]],INDIRECT('Gen Info'!$D$4&amp;"[#All]"),13,FALSE),VLOOKUP(Network_AgentGlobal[[#This Row],[Question]],INDIRECT('Gen Info'!$D$4&amp;"_"&amp;'Gen Info'!$E$4&amp;"[#All]"),13,FALSE))</f>
        <v>Conservación de Registros</v>
      </c>
      <c r="D129" s="353" t="str" cm="1">
        <f t="array" aca="1" ref="D129"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El Agente no desecha de forma segura todos los registros en papel después de alcanzar el período de retención.</v>
      </c>
      <c r="E129" s="353" t="s">
        <v>2678</v>
      </c>
      <c r="F129" s="353"/>
      <c r="G129" s="353"/>
      <c r="H129" s="353"/>
      <c r="I129" s="353" t="str" cm="1">
        <f t="array" ref="I129">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Brinde a Western Union evidencia o confirmación que todos los operadores han sido entrenados en el tema. Asegúrese que la confirmación incluya el tema cubierto, el nombre de las personas que asistieron a la sesión y la fecha de la capacitación.</v>
      </c>
      <c r="J129" s="353" t="s">
        <v>2388</v>
      </c>
      <c r="K129" s="353" t="s">
        <v>3265</v>
      </c>
      <c r="L129" s="353" t="s">
        <v>2389</v>
      </c>
      <c r="M129" s="353" t="s">
        <v>3266</v>
      </c>
      <c r="N129" s="353" t="s">
        <v>2390</v>
      </c>
      <c r="O129" s="353" t="s">
        <v>3425</v>
      </c>
      <c r="P129" s="353" t="s">
        <v>2391</v>
      </c>
      <c r="Q129" s="353" t="s">
        <v>2215</v>
      </c>
      <c r="R129" s="353" t="s">
        <v>941</v>
      </c>
      <c r="S129" s="353"/>
      <c r="AO129" t="str">
        <f>IndependentGlobal[[#This Row],[Question]]&amp;"."&amp;IndependentGlobal[[#This Row],[Action Type]]&amp;IndependentGlobal[[#This Row],[Country]]</f>
        <v>GS8.RQ1.Response_RequiredUnited_States</v>
      </c>
      <c r="AP129" t="e">
        <f ca="1">IFERROR(VLOOKUP(IndependentGlobal[[#This Row],[Question]],Independent[#All],13,FALSE),VLOOKUP(IndependentGlobal[[#This Row],[Question]],INDIRECT("Independent_"&amp;'Gen Info'!$E$4&amp;"[#All]"),13,FALSE))</f>
        <v>#REF!</v>
      </c>
      <c r="AQ129" t="str" cm="1">
        <f t="array" ref="AQ129">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Los operadores no saben como identificar o responder a los casos relacionados al abuso financiero de personas adultas mayores.</v>
      </c>
      <c r="AR129" t="s">
        <v>3426</v>
      </c>
      <c r="AV129" t="str" cm="1">
        <f t="array" ref="AV129">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confirmación donde se evidencie que todos los empleados han sido entrenados en este tema. Asegúrese que la confirmación incluya el tema cubierto, el nombre de las personas que asistieron a la sesión y la fecha de la capacitación.</v>
      </c>
      <c r="AW129" t="s">
        <v>2400</v>
      </c>
      <c r="AX129" t="s">
        <v>3427</v>
      </c>
      <c r="AY129" t="s">
        <v>2401</v>
      </c>
      <c r="AZ129" t="s">
        <v>3428</v>
      </c>
      <c r="BA129" t="s">
        <v>2402</v>
      </c>
      <c r="BB129" t="s">
        <v>3429</v>
      </c>
      <c r="BC129" t="s">
        <v>2403</v>
      </c>
      <c r="BD129" t="s">
        <v>2215</v>
      </c>
      <c r="BE129" t="s">
        <v>731</v>
      </c>
      <c r="BF129" t="s">
        <v>2581</v>
      </c>
    </row>
    <row r="130" spans="2:58">
      <c r="B130" s="353" t="str">
        <f>Network_AgentGlobal[[#This Row],[Question]]&amp;"."&amp;Network_AgentGlobal[[#This Row],[Action Type]]&amp;Network_AgentGlobal[[#This Row],[Country]]</f>
        <v>GS8.GQ5.Resolved_Onsite</v>
      </c>
      <c r="C130" s="353" t="str">
        <f ca="1">IFERROR(VLOOKUP(Network_AgentGlobal[[#This Row],[Question]],INDIRECT('Gen Info'!$D$4&amp;"[#All]"),13,FALSE),VLOOKUP(Network_AgentGlobal[[#This Row],[Question]],INDIRECT('Gen Info'!$D$4&amp;"_"&amp;'Gen Info'!$E$4&amp;"[#All]"),13,FALSE))</f>
        <v>Conservación de Registros</v>
      </c>
      <c r="D130" s="353" t="str" cm="1">
        <f t="array" aca="1" ref="D130"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El Agente no elimina los registros electrónicos después de alcanzar el período de retención.</v>
      </c>
      <c r="E130" s="353" t="s">
        <v>2765</v>
      </c>
      <c r="F130" s="353"/>
      <c r="G130" s="353"/>
      <c r="H130" s="353"/>
      <c r="I130" s="353" t="str" cm="1">
        <f t="array" ref="I130">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No se requiere acción. Se ha enviado al Agente material de capacitación específico sobre este tema. Todos los "FLAs" han recibido realimentación/capacitación sobre este tema en el transcurso de la revisión.</v>
      </c>
      <c r="J130" s="353" t="s">
        <v>2362</v>
      </c>
      <c r="K130" s="353" t="s">
        <v>2935</v>
      </c>
      <c r="L130" s="353" t="s">
        <v>2824</v>
      </c>
      <c r="M130" s="353" t="s">
        <v>2936</v>
      </c>
      <c r="N130" s="353" t="s">
        <v>2826</v>
      </c>
      <c r="O130" s="353" t="s">
        <v>3430</v>
      </c>
      <c r="P130" s="353" t="s">
        <v>2896</v>
      </c>
      <c r="Q130" s="353" t="s">
        <v>2195</v>
      </c>
      <c r="R130" s="353" t="s">
        <v>967</v>
      </c>
      <c r="S130" s="353"/>
      <c r="AO130" t="str">
        <f>IndependentGlobal[[#This Row],[Question]]&amp;"."&amp;IndependentGlobal[[#This Row],[Action Type]]&amp;IndependentGlobal[[#This Row],[Country]]</f>
        <v>GS8.RQ2.Resolved_OnsiteUnited_States</v>
      </c>
      <c r="AP130" t="e">
        <f ca="1">IFERROR(VLOOKUP(IndependentGlobal[[#This Row],[Question]],Independent[#All],13,FALSE),VLOOKUP(IndependentGlobal[[#This Row],[Question]],INDIRECT("Independent_"&amp;'Gen Info'!$E$4&amp;"[#All]"),13,FALSE))</f>
        <v>#REF!</v>
      </c>
      <c r="AQ130" t="str" cm="1">
        <f t="array" ref="AQ130">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Los operadores no están siguiendo el mensaje de alerta Telemercadeo que aparece en la pantalla de WUPOS.</v>
      </c>
      <c r="AR130" t="s">
        <v>3431</v>
      </c>
      <c r="AV130" t="str" cm="1">
        <f t="array" ref="AV130">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Todos los operadores han sido debidamente entrenados en este tema durante la revisión.</v>
      </c>
      <c r="AW130" t="s">
        <v>2378</v>
      </c>
      <c r="AX130" t="s">
        <v>3432</v>
      </c>
      <c r="AY130" t="s">
        <v>2380</v>
      </c>
      <c r="AZ130" t="s">
        <v>3433</v>
      </c>
      <c r="BA130" t="s">
        <v>2382</v>
      </c>
      <c r="BB130" t="s">
        <v>3434</v>
      </c>
      <c r="BC130" t="s">
        <v>2384</v>
      </c>
      <c r="BD130" t="s">
        <v>2195</v>
      </c>
      <c r="BE130" t="s">
        <v>746</v>
      </c>
      <c r="BF130" t="s">
        <v>2581</v>
      </c>
    </row>
    <row r="131" spans="2:58">
      <c r="B131" s="353" t="str">
        <f>Network_AgentGlobal[[#This Row],[Question]]&amp;"."&amp;Network_AgentGlobal[[#This Row],[Action Type]]&amp;Network_AgentGlobal[[#This Row],[Country]]</f>
        <v>GS8.GQ5.Response_Required</v>
      </c>
      <c r="C131" s="353" t="str">
        <f ca="1">IFERROR(VLOOKUP(Network_AgentGlobal[[#This Row],[Question]],INDIRECT('Gen Info'!$D$4&amp;"[#All]"),13,FALSE),VLOOKUP(Network_AgentGlobal[[#This Row],[Question]],INDIRECT('Gen Info'!$D$4&amp;"_"&amp;'Gen Info'!$E$4&amp;"[#All]"),13,FALSE))</f>
        <v>Conservación de Registros</v>
      </c>
      <c r="D131" s="353" t="str" cm="1">
        <f t="array" aca="1" ref="D131"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El Agente no elimina los registros electrónicos después de alcanzar el período de retención.</v>
      </c>
      <c r="E131" s="353" t="s">
        <v>2765</v>
      </c>
      <c r="F131" s="353"/>
      <c r="G131" s="353"/>
      <c r="H131" s="353"/>
      <c r="I131" s="353" t="str" cm="1">
        <f t="array" ref="I131">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Brinde a Western Union evidencia o confirmación que todos los operadores han sido entrenados en el tema. Asegúrese que la confirmación incluya el tema cubierto, el nombre de las personas que asistieron a la sesión y la fecha de la capacitación.</v>
      </c>
      <c r="J131" s="353" t="s">
        <v>2388</v>
      </c>
      <c r="K131" s="353" t="s">
        <v>2935</v>
      </c>
      <c r="L131" s="353" t="s">
        <v>2389</v>
      </c>
      <c r="M131" s="353" t="s">
        <v>2936</v>
      </c>
      <c r="N131" s="353" t="s">
        <v>2390</v>
      </c>
      <c r="O131" s="353" t="s">
        <v>3430</v>
      </c>
      <c r="P131" s="353" t="s">
        <v>2391</v>
      </c>
      <c r="Q131" s="353" t="s">
        <v>2215</v>
      </c>
      <c r="R131" s="353" t="s">
        <v>967</v>
      </c>
      <c r="S131" s="353"/>
      <c r="AO131" t="str">
        <f>IndependentGlobal[[#This Row],[Question]]&amp;"."&amp;IndependentGlobal[[#This Row],[Action Type]]&amp;IndependentGlobal[[#This Row],[Country]]</f>
        <v>GS8.RQ3.Resolved_OnsiteUnited_States</v>
      </c>
      <c r="AP131" t="e">
        <f ca="1">IFERROR(VLOOKUP(IndependentGlobal[[#This Row],[Question]],Independent[#All],13,FALSE),VLOOKUP(IndependentGlobal[[#This Row],[Question]],INDIRECT("Independent_"&amp;'Gen Info'!$E$4&amp;"[#All]"),13,FALSE))</f>
        <v>#REF!</v>
      </c>
      <c r="AQ131" t="str" cm="1">
        <f t="array" ref="AQ131">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Los operadores no están siguiendo el mensaje de alerta Telemercadeo que aparece en la pantalla de WUPOS.</v>
      </c>
      <c r="AR131" t="s">
        <v>3431</v>
      </c>
      <c r="AV131" t="str" cm="1">
        <f t="array" ref="AV131">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Todos los operadores han sido debidamente entrenados en este tema durante la revisión.</v>
      </c>
      <c r="AW131" t="s">
        <v>2378</v>
      </c>
      <c r="AX131" t="s">
        <v>3432</v>
      </c>
      <c r="AY131" t="s">
        <v>2380</v>
      </c>
      <c r="AZ131" t="s">
        <v>3433</v>
      </c>
      <c r="BA131" t="s">
        <v>2382</v>
      </c>
      <c r="BB131" t="s">
        <v>3434</v>
      </c>
      <c r="BC131" t="s">
        <v>2384</v>
      </c>
      <c r="BD131" t="s">
        <v>2195</v>
      </c>
      <c r="BE131" t="s">
        <v>646</v>
      </c>
      <c r="BF131" t="s">
        <v>2581</v>
      </c>
    </row>
    <row r="132" spans="2:58">
      <c r="B132" s="353" t="str">
        <f>Network_AgentGlobal[[#This Row],[Question]]&amp;"."&amp;Network_AgentGlobal[[#This Row],[Action Type]]&amp;Network_AgentGlobal[[#This Row],[Country]]</f>
        <v>GS3.RQ1.Response_RequiredAustralia</v>
      </c>
      <c r="C132" s="353" t="e">
        <f ca="1">IFERROR(VLOOKUP(Network_AgentGlobal[[#This Row],[Question]],INDIRECT('Gen Info'!$D$4&amp;"[#All]"),13,FALSE),VLOOKUP(Network_AgentGlobal[[#This Row],[Question]],INDIRECT('Gen Info'!$D$4&amp;"_"&amp;'Gen Info'!$E$4&amp;"[#All]"),13,FALSE))</f>
        <v>#REF!</v>
      </c>
      <c r="D132" s="353" cm="1">
        <f t="array" aca="1" ref="D132"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132" s="353" t="s">
        <v>3435</v>
      </c>
      <c r="F132" s="353"/>
      <c r="G132" s="353"/>
      <c r="H132" s="353"/>
      <c r="I132" s="353" cm="1">
        <f t="array" ref="I132">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132" s="353" t="s">
        <v>3436</v>
      </c>
      <c r="K132" s="353"/>
      <c r="L132" s="353"/>
      <c r="M132" s="353"/>
      <c r="N132" s="353"/>
      <c r="O132" s="353"/>
      <c r="P132" s="353"/>
      <c r="Q132" s="353" t="s">
        <v>2215</v>
      </c>
      <c r="R132" s="353" t="s">
        <v>630</v>
      </c>
      <c r="S132" s="353" t="s">
        <v>3437</v>
      </c>
      <c r="AO132" t="str">
        <f>IndependentGlobal[[#This Row],[Question]]&amp;"."&amp;IndependentGlobal[[#This Row],[Action Type]]&amp;IndependentGlobal[[#This Row],[Country]]</f>
        <v>GS8.RQ4.Resolved_OnsiteUnited_States</v>
      </c>
      <c r="AP132" t="e">
        <f ca="1">IFERROR(VLOOKUP(IndependentGlobal[[#This Row],[Question]],Independent[#All],13,FALSE),VLOOKUP(IndependentGlobal[[#This Row],[Question]],INDIRECT("Independent_"&amp;'Gen Info'!$E$4&amp;"[#All]"),13,FALSE))</f>
        <v>#REF!</v>
      </c>
      <c r="AQ132" t="str" cm="1">
        <f t="array" ref="AQ132">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Los operadores no han sido entrenados en cuanto a la prohibición de transacciones relacionadas con telemercadeo/telemarketing.</v>
      </c>
      <c r="AR132" t="s">
        <v>2573</v>
      </c>
      <c r="AV132" t="str" cm="1">
        <f t="array" ref="AV132">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Todos los operadores han sido debidamente entrenados en este tema durante la revisión.</v>
      </c>
      <c r="AW132" t="s">
        <v>2378</v>
      </c>
      <c r="AX132" t="s">
        <v>3438</v>
      </c>
      <c r="AY132" t="s">
        <v>2380</v>
      </c>
      <c r="AZ132" t="s">
        <v>3439</v>
      </c>
      <c r="BA132" t="s">
        <v>2382</v>
      </c>
      <c r="BB132" t="s">
        <v>3440</v>
      </c>
      <c r="BC132" t="s">
        <v>2384</v>
      </c>
      <c r="BD132" t="s">
        <v>2195</v>
      </c>
      <c r="BE132" t="s">
        <v>655</v>
      </c>
      <c r="BF132" t="s">
        <v>2581</v>
      </c>
    </row>
    <row r="133" spans="2:58">
      <c r="B133" s="353" t="str">
        <f>Network_AgentGlobal[[#This Row],[Question]]&amp;"."&amp;Network_AgentGlobal[[#This Row],[Action Type]]&amp;Network_AgentGlobal[[#This Row],[Country]]</f>
        <v>GS3.RQ3.Resolved_OnsiteAustralia</v>
      </c>
      <c r="C133" s="353" t="e">
        <f ca="1">IFERROR(VLOOKUP(Network_AgentGlobal[[#This Row],[Question]],INDIRECT('Gen Info'!$D$4&amp;"[#All]"),13,FALSE),VLOOKUP(Network_AgentGlobal[[#This Row],[Question]],INDIRECT('Gen Info'!$D$4&amp;"_"&amp;'Gen Info'!$E$4&amp;"[#All]"),13,FALSE))</f>
        <v>#REF!</v>
      </c>
      <c r="D133" s="353" cm="1">
        <f t="array" aca="1" ref="D133"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133" s="353" t="s">
        <v>3441</v>
      </c>
      <c r="F133" s="353"/>
      <c r="G133" s="353"/>
      <c r="H133" s="353"/>
      <c r="I133" s="353" cm="1">
        <f t="array" ref="I133">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133" t="s">
        <v>3442</v>
      </c>
      <c r="K133" s="353"/>
      <c r="L133" s="353"/>
      <c r="M133" s="353"/>
      <c r="N133" s="353"/>
      <c r="O133" s="353"/>
      <c r="P133" s="353"/>
      <c r="Q133" s="353" t="s">
        <v>2195</v>
      </c>
      <c r="R133" s="353" t="s">
        <v>810</v>
      </c>
      <c r="S133" s="353" t="s">
        <v>3437</v>
      </c>
      <c r="AO133" t="str">
        <f>IndependentGlobal[[#This Row],[Question]]&amp;"."&amp;IndependentGlobal[[#This Row],[Action Type]]&amp;IndependentGlobal[[#This Row],[Country]]</f>
        <v>GS8.RQ4.Response_RequiredUnited_States</v>
      </c>
      <c r="AP133" t="e">
        <f ca="1">IFERROR(VLOOKUP(IndependentGlobal[[#This Row],[Question]],Independent[#All],13,FALSE),VLOOKUP(IndependentGlobal[[#This Row],[Question]],INDIRECT("Independent_"&amp;'Gen Info'!$E$4&amp;"[#All]"),13,FALSE))</f>
        <v>#REF!</v>
      </c>
      <c r="AQ133" t="str" cm="1">
        <f t="array" ref="AQ133">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Los operadores no han sido entrenados en cuanto a la prohibición de transacciones relacionadas con telemercadeo/telemarketing.</v>
      </c>
      <c r="AR133" t="s">
        <v>2573</v>
      </c>
      <c r="AV133" t="str" cm="1">
        <f t="array" ref="AV133">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confirmación donde se evidencie que todos los empleados han sido entrenados en este tema. Asegúrese que la confirmación incluya el tema cubierto, el nombre de las personas que asistieron a la sesión y la fecha de la capacitación.</v>
      </c>
      <c r="AW133" t="s">
        <v>2400</v>
      </c>
      <c r="AX133" t="s">
        <v>3438</v>
      </c>
      <c r="AY133" t="s">
        <v>2401</v>
      </c>
      <c r="AZ133" t="s">
        <v>3439</v>
      </c>
      <c r="BA133" t="s">
        <v>2402</v>
      </c>
      <c r="BB133" t="s">
        <v>3440</v>
      </c>
      <c r="BC133" t="s">
        <v>2403</v>
      </c>
      <c r="BD133" t="s">
        <v>2215</v>
      </c>
      <c r="BE133" t="s">
        <v>655</v>
      </c>
      <c r="BF133" t="s">
        <v>2581</v>
      </c>
    </row>
    <row r="134" spans="2:58">
      <c r="B134" s="353" t="str">
        <f>Network_AgentGlobal[[#This Row],[Question]]&amp;"."&amp;Network_AgentGlobal[[#This Row],[Action Type]]&amp;Network_AgentGlobal[[#This Row],[Country]]</f>
        <v>GS3.RQ3.Response_RequiredAustralia</v>
      </c>
      <c r="C134" s="353" t="e">
        <f ca="1">IFERROR(VLOOKUP(Network_AgentGlobal[[#This Row],[Question]],INDIRECT('Gen Info'!$D$4&amp;"[#All]"),13,FALSE),VLOOKUP(Network_AgentGlobal[[#This Row],[Question]],INDIRECT('Gen Info'!$D$4&amp;"_"&amp;'Gen Info'!$E$4&amp;"[#All]"),13,FALSE))</f>
        <v>#REF!</v>
      </c>
      <c r="D134" s="353" cm="1">
        <f t="array" aca="1" ref="D134"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134" s="353" t="s">
        <v>3441</v>
      </c>
      <c r="F134" s="353"/>
      <c r="G134" s="353"/>
      <c r="H134" s="353"/>
      <c r="I134" s="353" cm="1">
        <f t="array" ref="I134">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134" t="s">
        <v>2990</v>
      </c>
      <c r="K134" s="353"/>
      <c r="L134" s="353"/>
      <c r="M134" s="353"/>
      <c r="N134" s="353"/>
      <c r="O134" s="353"/>
      <c r="P134" s="353"/>
      <c r="Q134" s="353" t="s">
        <v>2215</v>
      </c>
      <c r="R134" s="353" t="s">
        <v>810</v>
      </c>
      <c r="S134" s="353" t="s">
        <v>3437</v>
      </c>
      <c r="AO134" t="str">
        <f>IndependentGlobal[[#This Row],[Question]]&amp;"."&amp;IndependentGlobal[[#This Row],[Action Type]]&amp;IndependentGlobal[[#This Row],[Country]]</f>
        <v>GS9.GQ4.Resolved_Onsite</v>
      </c>
      <c r="AP134" t="str">
        <f ca="1">IFERROR(VLOOKUP(IndependentGlobal[[#This Row],[Question]],Independent[#All],13,FALSE),VLOOKUP(IndependentGlobal[[#This Row],[Question]],INDIRECT("Independent_"&amp;'Gen Info'!$E$4&amp;"[#All]"),13,FALSE))</f>
        <v>Supervisión</v>
      </c>
      <c r="AQ134" t="str" cm="1">
        <f t="array" ref="AQ134">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está monitoreando las transacciones para todos los productos de Western Union de manera regular.</v>
      </c>
      <c r="AR134" t="s">
        <v>2609</v>
      </c>
      <c r="AV134" t="str" cm="1">
        <f t="array" ref="AV134">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requiere acción. Se ha capacitado al agente en el tema. Los lineamientos de Monitoreo fueron recibidos.</v>
      </c>
      <c r="AW134" t="s">
        <v>3443</v>
      </c>
      <c r="AX134" t="s">
        <v>2610</v>
      </c>
      <c r="AY134" t="s">
        <v>3444</v>
      </c>
      <c r="AZ134" t="s">
        <v>2611</v>
      </c>
      <c r="BA134" t="s">
        <v>3445</v>
      </c>
      <c r="BB134" t="s">
        <v>2612</v>
      </c>
      <c r="BC134" t="s">
        <v>3446</v>
      </c>
      <c r="BD134" t="s">
        <v>2195</v>
      </c>
      <c r="BE134" t="s">
        <v>1216</v>
      </c>
    </row>
    <row r="135" spans="2:58">
      <c r="B135" s="353" t="str">
        <f>Network_AgentGlobal[[#This Row],[Question]]&amp;"."&amp;Network_AgentGlobal[[#This Row],[Action Type]]&amp;Network_AgentGlobal[[#This Row],[Country]]</f>
        <v>GS3.RQ4.Resolved_OnsiteAustralia</v>
      </c>
      <c r="C135" s="353" t="e">
        <f ca="1">IFERROR(VLOOKUP(Network_AgentGlobal[[#This Row],[Question]],INDIRECT('Gen Info'!$D$4&amp;"[#All]"),13,FALSE),VLOOKUP(Network_AgentGlobal[[#This Row],[Question]],INDIRECT('Gen Info'!$D$4&amp;"_"&amp;'Gen Info'!$E$4&amp;"[#All]"),13,FALSE))</f>
        <v>#REF!</v>
      </c>
      <c r="D135" s="353" cm="1">
        <f t="array" aca="1" ref="D135"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135" s="353" t="s">
        <v>3447</v>
      </c>
      <c r="F135" s="353"/>
      <c r="G135" s="353"/>
      <c r="H135" s="353"/>
      <c r="I135" s="353" cm="1">
        <f t="array" ref="I135">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135" t="s">
        <v>3448</v>
      </c>
      <c r="K135" s="353"/>
      <c r="L135" s="353"/>
      <c r="M135" s="353"/>
      <c r="N135" s="353"/>
      <c r="O135" s="353"/>
      <c r="P135" s="353"/>
      <c r="Q135" s="353" t="s">
        <v>2195</v>
      </c>
      <c r="R135" s="353" t="s">
        <v>902</v>
      </c>
      <c r="S135" s="353" t="s">
        <v>3437</v>
      </c>
      <c r="AO135" t="str">
        <f>IndependentGlobal[[#This Row],[Question]]&amp;"."&amp;IndependentGlobal[[#This Row],[Action Type]]&amp;IndependentGlobal[[#This Row],[Country]]</f>
        <v>GS9.GQ4.Response_Required</v>
      </c>
      <c r="AP135" t="str">
        <f ca="1">IFERROR(VLOOKUP(IndependentGlobal[[#This Row],[Question]],Independent[#All],13,FALSE),VLOOKUP(IndependentGlobal[[#This Row],[Question]],INDIRECT("Independent_"&amp;'Gen Info'!$E$4&amp;"[#All]"),13,FALSE))</f>
        <v>Supervisión</v>
      </c>
      <c r="AQ135" t="str" cm="1">
        <f t="array" ref="AQ135">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agente no está monitoreando las transacciones para todos los productos de Western Union de manera regular.</v>
      </c>
      <c r="AR135" t="s">
        <v>2609</v>
      </c>
      <c r="AV135" t="str" cm="1">
        <f t="array" ref="AV135">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un documento donde se evidencie que se está monitoreando las transferencias de forma adecuada y en el tiempo correcto. Brinde también una carta de compromiso donde se indique que se continuará realizando el proceso de monitoreo correctamente.</v>
      </c>
      <c r="AW135" t="s">
        <v>3449</v>
      </c>
      <c r="AX135" t="s">
        <v>2610</v>
      </c>
      <c r="AY135" t="s">
        <v>3450</v>
      </c>
      <c r="AZ135" t="s">
        <v>2611</v>
      </c>
      <c r="BA135" t="s">
        <v>3451</v>
      </c>
      <c r="BB135" t="s">
        <v>2612</v>
      </c>
      <c r="BC135" t="s">
        <v>3452</v>
      </c>
      <c r="BD135" t="s">
        <v>2215</v>
      </c>
      <c r="BE135" t="s">
        <v>1216</v>
      </c>
    </row>
    <row r="136" spans="2:58">
      <c r="B136" s="353" t="str">
        <f>Network_AgentGlobal[[#This Row],[Question]]&amp;"."&amp;Network_AgentGlobal[[#This Row],[Action Type]]&amp;Network_AgentGlobal[[#This Row],[Country]]</f>
        <v>GS3.RQ4.Response_RequiredAustralia</v>
      </c>
      <c r="C136" s="353" t="e">
        <f ca="1">IFERROR(VLOOKUP(Network_AgentGlobal[[#This Row],[Question]],INDIRECT('Gen Info'!$D$4&amp;"[#All]"),13,FALSE),VLOOKUP(Network_AgentGlobal[[#This Row],[Question]],INDIRECT('Gen Info'!$D$4&amp;"_"&amp;'Gen Info'!$E$4&amp;"[#All]"),13,FALSE))</f>
        <v>#REF!</v>
      </c>
      <c r="D136" s="353" cm="1">
        <f t="array" aca="1" ref="D136"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136" s="353" t="s">
        <v>3447</v>
      </c>
      <c r="F136" s="353"/>
      <c r="G136" s="353"/>
      <c r="H136" s="353"/>
      <c r="I136" s="353" cm="1">
        <f t="array" ref="I136">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136" t="s">
        <v>2990</v>
      </c>
      <c r="K136" s="353"/>
      <c r="L136" s="353"/>
      <c r="M136" s="353"/>
      <c r="N136" s="353"/>
      <c r="O136" s="353"/>
      <c r="P136" s="353"/>
      <c r="Q136" s="353" t="s">
        <v>2215</v>
      </c>
      <c r="R136" s="353" t="s">
        <v>902</v>
      </c>
      <c r="S136" s="353" t="s">
        <v>3437</v>
      </c>
      <c r="AO136" t="str">
        <f>IndependentGlobal[[#This Row],[Question]]&amp;"."&amp;IndependentGlobal[[#This Row],[Action Type]]&amp;IndependentGlobal[[#This Row],[Country]]</f>
        <v>GS9.GQ5.Resolved_Onsite</v>
      </c>
      <c r="AP136" t="str">
        <f ca="1">IFERROR(VLOOKUP(IndependentGlobal[[#This Row],[Question]],Independent[#All],13,FALSE),VLOOKUP(IndependentGlobal[[#This Row],[Question]],INDIRECT("Independent_"&amp;'Gen Info'!$E$4&amp;"[#All]"),13,FALSE))</f>
        <v>Supervisión</v>
      </c>
      <c r="AQ136" t="str" cm="1">
        <f t="array" ref="AQ136">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No se están monitoreando las transferencias de forma efectiva.</v>
      </c>
      <c r="AR136" t="s">
        <v>2625</v>
      </c>
      <c r="AV136" t="str" cm="1">
        <f t="array" ref="AV136">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El agente ha sido debidamente entrenado en este tema durante la revisión.</v>
      </c>
      <c r="AW136" t="s">
        <v>2224</v>
      </c>
      <c r="AX136" t="s">
        <v>2626</v>
      </c>
      <c r="AY136" t="s">
        <v>2226</v>
      </c>
      <c r="AZ136" t="s">
        <v>2627</v>
      </c>
      <c r="BA136" t="s">
        <v>2333</v>
      </c>
      <c r="BB136" t="s">
        <v>2628</v>
      </c>
      <c r="BC136" t="s">
        <v>2230</v>
      </c>
      <c r="BD136" t="s">
        <v>2195</v>
      </c>
      <c r="BE136" t="s">
        <v>1226</v>
      </c>
    </row>
    <row r="137" spans="2:58">
      <c r="B137" s="353" t="str">
        <f>Network_AgentGlobal[[#This Row],[Question]]&amp;"."&amp;Network_AgentGlobal[[#This Row],[Action Type]]&amp;Network_AgentGlobal[[#This Row],[Country]]</f>
        <v>GS5.RQ1.Resolved_OnsiteAustralia</v>
      </c>
      <c r="C137" s="353" t="e">
        <f ca="1">IFERROR(VLOOKUP(Network_AgentGlobal[[#This Row],[Question]],INDIRECT('Gen Info'!$D$4&amp;"[#All]"),13,FALSE),VLOOKUP(Network_AgentGlobal[[#This Row],[Question]],INDIRECT('Gen Info'!$D$4&amp;"_"&amp;'Gen Info'!$E$4&amp;"[#All]"),13,FALSE))</f>
        <v>#REF!</v>
      </c>
      <c r="D137" s="353" cm="1">
        <f t="array" aca="1" ref="D137"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137" s="353" t="s">
        <v>3453</v>
      </c>
      <c r="F137" s="353"/>
      <c r="G137" s="353"/>
      <c r="H137" s="353"/>
      <c r="I137" s="353" cm="1">
        <f t="array" ref="I137">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137" s="353" t="s">
        <v>2362</v>
      </c>
      <c r="K137" s="353"/>
      <c r="L137" s="353"/>
      <c r="M137" s="353"/>
      <c r="N137" s="353"/>
      <c r="O137" s="353"/>
      <c r="P137" s="353"/>
      <c r="Q137" s="353" t="s">
        <v>2195</v>
      </c>
      <c r="R137" s="353" t="s">
        <v>823</v>
      </c>
      <c r="S137" s="353" t="s">
        <v>3437</v>
      </c>
      <c r="AO137" t="str">
        <f>IndependentGlobal[[#This Row],[Question]]&amp;"."&amp;IndependentGlobal[[#This Row],[Action Type]]&amp;IndependentGlobal[[#This Row],[Country]]</f>
        <v>GS9.GQ5.Response_Required</v>
      </c>
      <c r="AP137" t="str">
        <f ca="1">IFERROR(VLOOKUP(IndependentGlobal[[#This Row],[Question]],Independent[#All],13,FALSE),VLOOKUP(IndependentGlobal[[#This Row],[Question]],INDIRECT("Independent_"&amp;'Gen Info'!$E$4&amp;"[#All]"),13,FALSE))</f>
        <v>Supervisión</v>
      </c>
      <c r="AQ137" t="str" cm="1">
        <f t="array" ref="AQ137">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No se están monitoreando las transferencias de forma efectiva.</v>
      </c>
      <c r="AR137" t="s">
        <v>2625</v>
      </c>
      <c r="AV137" t="str" cm="1">
        <f t="array" ref="AV137">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un documento donde se evidencie que se está monitoreando las transferencias de forma adecuada y en el tiempo correcto. Brinde también una carta de compromiso donde se indique que se continuará realizando el proceso de monitoreo correctamente.</v>
      </c>
      <c r="AW137" t="s">
        <v>3449</v>
      </c>
      <c r="AX137" t="s">
        <v>2626</v>
      </c>
      <c r="AY137" t="s">
        <v>3450</v>
      </c>
      <c r="AZ137" t="s">
        <v>2627</v>
      </c>
      <c r="BA137" t="s">
        <v>3454</v>
      </c>
      <c r="BB137" t="s">
        <v>2628</v>
      </c>
      <c r="BC137" t="s">
        <v>3455</v>
      </c>
      <c r="BD137" t="s">
        <v>2215</v>
      </c>
      <c r="BE137" t="s">
        <v>1226</v>
      </c>
    </row>
    <row r="138" spans="2:58">
      <c r="B138" s="353" t="str">
        <f>Network_AgentGlobal[[#This Row],[Question]]&amp;"."&amp;Network_AgentGlobal[[#This Row],[Action Type]]&amp;Network_AgentGlobal[[#This Row],[Country]]</f>
        <v>GS5.RQ1.Response_RequiredAustralia</v>
      </c>
      <c r="C138" s="353" t="e">
        <f ca="1">IFERROR(VLOOKUP(Network_AgentGlobal[[#This Row],[Question]],INDIRECT('Gen Info'!$D$4&amp;"[#All]"),13,FALSE),VLOOKUP(Network_AgentGlobal[[#This Row],[Question]],INDIRECT('Gen Info'!$D$4&amp;"_"&amp;'Gen Info'!$E$4&amp;"[#All]"),13,FALSE))</f>
        <v>#REF!</v>
      </c>
      <c r="D138" s="353" cm="1">
        <f t="array" aca="1" ref="D138" ca="1">_xlfn.IFS(LocationInfo[Select Letter Language]="English",_xlfn.IFS(VLOOKUP(Network_AgentGlobal[[#This Row],[Question]],CallTb[[#All],[iWatch '#]:[Finding Type]],6,FALSE)="","",VLOOKUP(Network_AgentGlobal[[#This Row],[Question]],CallTb[[#All],[iWatch '#]:[Finding Type]],6,FALSE)="No_AML",Network_AgentGlobal[[#This Row],[Finding English AML]],VLOOKUP(Network_AgentGlobal[[#This Row],[Question]],CallTb[[#All],[iWatch '#]:[Finding Type]],6,FALSE)="No",Network_AgentGlobal[[#This Row],[Finding English]]),LocationInfo[Select Letter Language]="Spanish",Network_AgentGlobal[[#This Row],[Finding Spanish]],LocationInfo[Select Letter Language]="French",Network_AgentGlobal[[#This Row],[Finding French]],LocationInfo[Select Letter Language]="Portuguese",Network_AgentGlobal[[#This Row],[Finding Portuguese]])</f>
        <v>0</v>
      </c>
      <c r="E138" s="353" t="s">
        <v>3453</v>
      </c>
      <c r="F138" s="353"/>
      <c r="G138" s="353"/>
      <c r="H138" s="353"/>
      <c r="I138" s="353" cm="1">
        <f t="array" ref="I138">IFERROR(_xlfn.IFS(LocationInfo[Select Letter Language]="English",Network_AgentGlobal[[#This Row],[Action Required English]],LocationInfo[Select Letter Language]="Spanish",Network_AgentGlobal[[#This Row],[Action Required Spanish]],LocationInfo[Select Letter Language]="French",Network_AgentGlobal[[#This Row],[Action Required French]],LocationInfo[Select Letter Language]="Portuguese",Network_AgentGlobal[[#This Row],[Action Required Portuguese]]),"")</f>
        <v>0</v>
      </c>
      <c r="J138" s="353" t="s">
        <v>2388</v>
      </c>
      <c r="K138" s="353"/>
      <c r="L138" s="353"/>
      <c r="M138" s="353"/>
      <c r="N138" s="353"/>
      <c r="O138" s="353"/>
      <c r="P138" s="353"/>
      <c r="Q138" s="353" t="s">
        <v>2215</v>
      </c>
      <c r="R138" s="353" t="s">
        <v>823</v>
      </c>
      <c r="S138" s="353" t="s">
        <v>3437</v>
      </c>
      <c r="AO138" t="str">
        <f>IndependentGlobal[[#This Row],[Question]]&amp;"."&amp;IndependentGlobal[[#This Row],[Action Type]]&amp;IndependentGlobal[[#This Row],[Country]]</f>
        <v>GS9.GQ6.Resolved_Onsite</v>
      </c>
      <c r="AP138" t="str">
        <f ca="1">IFERROR(VLOOKUP(IndependentGlobal[[#This Row],[Question]],Independent[#All],13,FALSE),VLOOKUP(IndependentGlobal[[#This Row],[Question]],INDIRECT("Independent_"&amp;'Gen Info'!$E$4&amp;"[#All]"),13,FALSE))</f>
        <v>Supervisión</v>
      </c>
      <c r="AQ138" t="str" cm="1">
        <f t="array" ref="AQ138">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proceso de monitoreo no está debidamente documentado.</v>
      </c>
      <c r="AR138" t="s">
        <v>2619</v>
      </c>
      <c r="AV138" t="str" cm="1">
        <f t="array" ref="AV138">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El agente ha sido debidamente entrenado en este tema durante la revisión.</v>
      </c>
      <c r="AW138" t="s">
        <v>2224</v>
      </c>
      <c r="AX138" t="s">
        <v>2643</v>
      </c>
      <c r="AY138" t="s">
        <v>2226</v>
      </c>
      <c r="AZ138" t="s">
        <v>2644</v>
      </c>
      <c r="BA138" t="s">
        <v>2333</v>
      </c>
      <c r="BB138" t="s">
        <v>2645</v>
      </c>
      <c r="BC138" t="s">
        <v>2230</v>
      </c>
      <c r="BD138" t="s">
        <v>2195</v>
      </c>
      <c r="BE138" t="s">
        <v>1237</v>
      </c>
    </row>
    <row r="139" spans="2:58">
      <c r="AO139" t="str">
        <f>IndependentGlobal[[#This Row],[Question]]&amp;"."&amp;IndependentGlobal[[#This Row],[Action Type]]&amp;IndependentGlobal[[#This Row],[Country]]</f>
        <v>GS9.GQ6.Response_Required</v>
      </c>
      <c r="AP139" t="str">
        <f ca="1">IFERROR(VLOOKUP(IndependentGlobal[[#This Row],[Question]],Independent[#All],13,FALSE),VLOOKUP(IndependentGlobal[[#This Row],[Question]],INDIRECT("Independent_"&amp;'Gen Info'!$E$4&amp;"[#All]"),13,FALSE))</f>
        <v>Supervisión</v>
      </c>
      <c r="AQ139" t="str" cm="1">
        <f t="array" ref="AQ139">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proceso de monitoreo no está debidamente documentado.</v>
      </c>
      <c r="AR139" t="s">
        <v>2619</v>
      </c>
      <c r="AV139" t="str" cm="1">
        <f t="array" ref="AV139">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Brinde a Western Union con la documentación respectiva donde se evidencie un proceso adecuado de monitoreo.</v>
      </c>
      <c r="AW139" t="s">
        <v>3026</v>
      </c>
      <c r="AX139" t="s">
        <v>2643</v>
      </c>
      <c r="AY139" t="s">
        <v>3027</v>
      </c>
      <c r="AZ139" t="s">
        <v>2644</v>
      </c>
      <c r="BA139" t="s">
        <v>3028</v>
      </c>
      <c r="BB139" t="s">
        <v>2645</v>
      </c>
      <c r="BC139" t="s">
        <v>3029</v>
      </c>
      <c r="BD139" t="s">
        <v>2215</v>
      </c>
      <c r="BE139" t="s">
        <v>1237</v>
      </c>
    </row>
    <row r="140" spans="2:58">
      <c r="AO140" t="str">
        <f>IndependentGlobal[[#This Row],[Question]]&amp;"."&amp;IndependentGlobal[[#This Row],[Action Type]]&amp;IndependentGlobal[[#This Row],[Country]]</f>
        <v>GS9.RQ1.Resolved_OnsiteUnited_States</v>
      </c>
      <c r="AP140" t="e">
        <f ca="1">IFERROR(VLOOKUP(IndependentGlobal[[#This Row],[Question]],Independent[#All],13,FALSE),VLOOKUP(IndependentGlobal[[#This Row],[Question]],INDIRECT("Independent_"&amp;'Gen Info'!$E$4&amp;"[#All]"),13,FALSE))</f>
        <v>#REF!</v>
      </c>
      <c r="AQ140" t="str" cm="1">
        <f t="array" ref="AQ140">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El Oficial de Cumplimiento no está realizando o revisando los monitoreos.</v>
      </c>
      <c r="AR140" t="s">
        <v>2596</v>
      </c>
      <c r="AV140" t="str" cm="1">
        <f t="array" ref="AV140">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No se require acción. El agente ha sido debidamente entrenado en este tema durante la revisión.</v>
      </c>
      <c r="AW140" t="s">
        <v>2224</v>
      </c>
      <c r="AX140" t="s">
        <v>3456</v>
      </c>
      <c r="AY140" t="s">
        <v>2226</v>
      </c>
      <c r="AZ140" t="s">
        <v>3457</v>
      </c>
      <c r="BA140" t="s">
        <v>2749</v>
      </c>
      <c r="BB140" t="s">
        <v>3458</v>
      </c>
      <c r="BC140" t="s">
        <v>2230</v>
      </c>
      <c r="BD140" t="s">
        <v>2195</v>
      </c>
      <c r="BE140" t="s">
        <v>1178</v>
      </c>
      <c r="BF140" t="s">
        <v>2581</v>
      </c>
    </row>
    <row r="141" spans="2:58">
      <c r="AO141" t="str">
        <f>IndependentGlobal[[#This Row],[Question]]&amp;"."&amp;IndependentGlobal[[#This Row],[Action Type]]&amp;IndependentGlobal[[#This Row],[Country]]</f>
        <v>GS3.RQ1.Response_RequiredAustralia</v>
      </c>
      <c r="AP141" t="e">
        <f ca="1">IFERROR(VLOOKUP(IndependentGlobal[[#This Row],[Question]],Independent[#All],13,FALSE),VLOOKUP(IndependentGlobal[[#This Row],[Question]],INDIRECT("Independent_"&amp;'Gen Info'!$E$4&amp;"[#All]"),13,FALSE))</f>
        <v>#REF!</v>
      </c>
      <c r="AQ141" cm="1">
        <f t="array" ref="AQ141">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0</v>
      </c>
      <c r="AR141" t="s">
        <v>3459</v>
      </c>
      <c r="AV141" cm="1">
        <f t="array" ref="AV141">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0</v>
      </c>
      <c r="AW141" s="353" t="s">
        <v>3436</v>
      </c>
      <c r="BD141" t="s">
        <v>2215</v>
      </c>
      <c r="BE141" s="101" t="s">
        <v>630</v>
      </c>
      <c r="BF141" t="s">
        <v>3437</v>
      </c>
    </row>
    <row r="142" spans="2:58">
      <c r="AO142" t="str">
        <f>IndependentGlobal[[#This Row],[Question]]&amp;"."&amp;IndependentGlobal[[#This Row],[Action Type]]&amp;IndependentGlobal[[#This Row],[Country]]</f>
        <v>GS3.RQ3.Response_RequiredAustralia</v>
      </c>
      <c r="AP142" t="e">
        <f ca="1">IFERROR(VLOOKUP(IndependentGlobal[[#This Row],[Question]],Independent[#All],13,FALSE),VLOOKUP(IndependentGlobal[[#This Row],[Question]],INDIRECT("Independent_"&amp;'Gen Info'!$E$4&amp;"[#All]"),13,FALSE))</f>
        <v>#REF!</v>
      </c>
      <c r="AQ142" cm="1">
        <f t="array" ref="AQ142">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0</v>
      </c>
      <c r="AR142" t="s">
        <v>3460</v>
      </c>
      <c r="AV142" cm="1">
        <f t="array" ref="AV142">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0</v>
      </c>
      <c r="AW142" t="s">
        <v>3461</v>
      </c>
      <c r="BD142" t="s">
        <v>2215</v>
      </c>
      <c r="BE142" s="101" t="s">
        <v>810</v>
      </c>
      <c r="BF142" t="s">
        <v>3437</v>
      </c>
    </row>
    <row r="143" spans="2:58">
      <c r="AO143" t="str">
        <f>IndependentGlobal[[#This Row],[Question]]&amp;"."&amp;IndependentGlobal[[#This Row],[Action Type]]&amp;IndependentGlobal[[#This Row],[Country]]</f>
        <v>GS3.RQ3.Resolved_OnsiteAustralia</v>
      </c>
      <c r="AP143" t="e">
        <f ca="1">IFERROR(VLOOKUP(IndependentGlobal[[#This Row],[Question]],Independent[#All],13,FALSE),VLOOKUP(IndependentGlobal[[#This Row],[Question]],INDIRECT("Independent_"&amp;'Gen Info'!$E$4&amp;"[#All]"),13,FALSE))</f>
        <v>#REF!</v>
      </c>
      <c r="AQ143" cm="1">
        <f t="array" ref="AQ143">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0</v>
      </c>
      <c r="AR143" t="s">
        <v>3460</v>
      </c>
      <c r="AV143" cm="1">
        <f t="array" ref="AV143">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0</v>
      </c>
      <c r="AW143" t="s">
        <v>2224</v>
      </c>
      <c r="BD143" t="s">
        <v>2195</v>
      </c>
      <c r="BE143" s="101" t="s">
        <v>810</v>
      </c>
      <c r="BF143" t="s">
        <v>3437</v>
      </c>
    </row>
    <row r="144" spans="2:58">
      <c r="AO144" t="str">
        <f>IndependentGlobal[[#This Row],[Question]]&amp;"."&amp;IndependentGlobal[[#This Row],[Action Type]]&amp;IndependentGlobal[[#This Row],[Country]]</f>
        <v>GS3.RQ4.Resolved_OnsiteAustralia</v>
      </c>
      <c r="AP144" t="e">
        <f ca="1">IFERROR(VLOOKUP(IndependentGlobal[[#This Row],[Question]],Independent[#All],13,FALSE),VLOOKUP(IndependentGlobal[[#This Row],[Question]],INDIRECT("Independent_"&amp;'Gen Info'!$E$4&amp;"[#All]"),13,FALSE))</f>
        <v>#REF!</v>
      </c>
      <c r="AQ144" cm="1">
        <f t="array" ref="AQ144">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0</v>
      </c>
      <c r="AR144" t="s">
        <v>3462</v>
      </c>
      <c r="AV144" cm="1">
        <f t="array" ref="AV144">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0</v>
      </c>
      <c r="AW144" t="s">
        <v>2224</v>
      </c>
      <c r="BD144" t="s">
        <v>2195</v>
      </c>
      <c r="BE144" s="101" t="s">
        <v>902</v>
      </c>
      <c r="BF144" t="s">
        <v>3437</v>
      </c>
    </row>
    <row r="145" spans="41:58">
      <c r="AO145" t="str">
        <f>IndependentGlobal[[#This Row],[Question]]&amp;"."&amp;IndependentGlobal[[#This Row],[Action Type]]&amp;IndependentGlobal[[#This Row],[Country]]</f>
        <v>GS3.RQ4.Response_RequiredAustralia</v>
      </c>
      <c r="AP145" t="e">
        <f ca="1">IFERROR(VLOOKUP(IndependentGlobal[[#This Row],[Question]],Independent[#All],13,FALSE),VLOOKUP(IndependentGlobal[[#This Row],[Question]],INDIRECT("Independent_"&amp;'Gen Info'!$E$4&amp;"[#All]"),13,FALSE))</f>
        <v>#REF!</v>
      </c>
      <c r="AQ145" cm="1">
        <f t="array" ref="AQ145">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0</v>
      </c>
      <c r="AR145" t="s">
        <v>3462</v>
      </c>
      <c r="AV145" cm="1">
        <f t="array" ref="AV145">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0</v>
      </c>
      <c r="AW145" t="s">
        <v>3463</v>
      </c>
      <c r="BD145" t="s">
        <v>2215</v>
      </c>
      <c r="BE145" s="101" t="s">
        <v>902</v>
      </c>
      <c r="BF145" t="s">
        <v>3437</v>
      </c>
    </row>
    <row r="146" spans="41:58">
      <c r="AO146" t="str">
        <f>IndependentGlobal[[#This Row],[Question]]&amp;"."&amp;IndependentGlobal[[#This Row],[Action Type]]&amp;IndependentGlobal[[#This Row],[Country]]</f>
        <v>GS4.RQ1.Response_RequiredAustralia</v>
      </c>
      <c r="AP146" t="e">
        <f ca="1">IFERROR(VLOOKUP(IndependentGlobal[[#This Row],[Question]],Independent[#All],13,FALSE),VLOOKUP(IndependentGlobal[[#This Row],[Question]],INDIRECT("Independent_"&amp;'Gen Info'!$E$4&amp;"[#All]"),13,FALSE))</f>
        <v>#REF!</v>
      </c>
      <c r="AQ146" cm="1">
        <f t="array" ref="AQ146">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0</v>
      </c>
      <c r="AR146" t="s">
        <v>3464</v>
      </c>
      <c r="AV146" cm="1">
        <f t="array" ref="AV146">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0</v>
      </c>
      <c r="AW146" t="s">
        <v>3465</v>
      </c>
      <c r="BD146" t="s">
        <v>2215</v>
      </c>
      <c r="BE146" s="101" t="s">
        <v>669</v>
      </c>
      <c r="BF146" t="s">
        <v>3437</v>
      </c>
    </row>
    <row r="147" spans="41:58">
      <c r="AO147" t="str">
        <f>IndependentGlobal[[#This Row],[Question]]&amp;"."&amp;IndependentGlobal[[#This Row],[Action Type]]&amp;IndependentGlobal[[#This Row],[Country]]</f>
        <v>GS10.RQ2.Response_RequiredAustralia</v>
      </c>
      <c r="AP147" t="e">
        <f ca="1">IFERROR(VLOOKUP(IndependentGlobal[[#This Row],[Question]],Independent[#All],13,FALSE),VLOOKUP(IndependentGlobal[[#This Row],[Question]],INDIRECT("Independent_"&amp;'Gen Info'!$E$4&amp;"[#All]"),13,FALSE))</f>
        <v>#REF!</v>
      </c>
      <c r="AQ147" cm="1">
        <f t="array" ref="AQ147">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0</v>
      </c>
      <c r="AR147" t="s">
        <v>3466</v>
      </c>
      <c r="AV147" cm="1">
        <f t="array" ref="AV147">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0</v>
      </c>
      <c r="AW147" t="s">
        <v>3467</v>
      </c>
      <c r="BD147" t="s">
        <v>2215</v>
      </c>
      <c r="BE147" s="101" t="s">
        <v>1454</v>
      </c>
      <c r="BF147" t="s">
        <v>3437</v>
      </c>
    </row>
    <row r="148" spans="41:58">
      <c r="AO148" t="str">
        <f>IndependentGlobal[[#This Row],[Question]]&amp;"."&amp;IndependentGlobal[[#This Row],[Action Type]]&amp;IndependentGlobal[[#This Row],[Country]]</f>
        <v>GS11.RQ1.Resolved_OnsiteAustralia</v>
      </c>
      <c r="AP148" t="e">
        <f ca="1">IFERROR(VLOOKUP(IndependentGlobal[[#This Row],[Question]],Independent[#All],13,FALSE),VLOOKUP(IndependentGlobal[[#This Row],[Question]],INDIRECT("Independent_"&amp;'Gen Info'!$E$4&amp;"[#All]"),13,FALSE))</f>
        <v>#REF!</v>
      </c>
      <c r="AQ148" cm="1">
        <f t="array" ref="AQ148">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0</v>
      </c>
      <c r="AR148" t="s">
        <v>3453</v>
      </c>
      <c r="AV148" cm="1">
        <f t="array" ref="AV148">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0</v>
      </c>
      <c r="AW148" t="s">
        <v>2224</v>
      </c>
      <c r="BD148" t="s">
        <v>2195</v>
      </c>
      <c r="BE148" s="101" t="s">
        <v>1290</v>
      </c>
      <c r="BF148" t="s">
        <v>3437</v>
      </c>
    </row>
    <row r="149" spans="41:58">
      <c r="AO149" t="str">
        <f>IndependentGlobal[[#This Row],[Question]]&amp;"."&amp;IndependentGlobal[[#This Row],[Action Type]]&amp;IndependentGlobal[[#This Row],[Country]]</f>
        <v>GS11.RQ1.Response_RequiredAustralia</v>
      </c>
      <c r="AP149" t="e">
        <f ca="1">IFERROR(VLOOKUP(IndependentGlobal[[#This Row],[Question]],Independent[#All],13,FALSE),VLOOKUP(IndependentGlobal[[#This Row],[Question]],INDIRECT("Independent_"&amp;'Gen Info'!$E$4&amp;"[#All]"),13,FALSE))</f>
        <v>#REF!</v>
      </c>
      <c r="AQ149" cm="1">
        <f t="array" ref="AQ149">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0</v>
      </c>
      <c r="AR149" t="s">
        <v>3453</v>
      </c>
      <c r="AV149" cm="1">
        <f t="array" ref="AV149">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0</v>
      </c>
      <c r="AW149" t="s">
        <v>2400</v>
      </c>
      <c r="BD149" t="s">
        <v>2215</v>
      </c>
      <c r="BE149" s="101" t="s">
        <v>1290</v>
      </c>
      <c r="BF149" t="s">
        <v>3437</v>
      </c>
    </row>
    <row r="150" spans="41:58">
      <c r="AO150" t="str">
        <f>IndependentGlobal[[#This Row],[Question]]&amp;"."&amp;IndependentGlobal[[#This Row],[Action Type]]&amp;IndependentGlobal[[#This Row],[Country]]</f>
        <v>GS12.RQ1.Resolved_OnsiteAustralia</v>
      </c>
      <c r="AP150" t="e">
        <f ca="1">IFERROR(VLOOKUP(IndependentGlobal[[#This Row],[Question]],Independent[#All],13,FALSE),VLOOKUP(IndependentGlobal[[#This Row],[Question]],INDIRECT("Independent_"&amp;'Gen Info'!$E$4&amp;"[#All]"),13,FALSE))</f>
        <v>#REF!</v>
      </c>
      <c r="AQ150" cm="1">
        <f t="array" ref="AQ150">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0</v>
      </c>
      <c r="AR150" t="s">
        <v>3468</v>
      </c>
      <c r="AV150" cm="1">
        <f t="array" ref="AV150">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0</v>
      </c>
      <c r="AW150" t="s">
        <v>2224</v>
      </c>
      <c r="BD150" t="s">
        <v>2195</v>
      </c>
      <c r="BE150" s="101" t="s">
        <v>991</v>
      </c>
      <c r="BF150" t="s">
        <v>3437</v>
      </c>
    </row>
    <row r="151" spans="41:58">
      <c r="AO151" t="str">
        <f>IndependentGlobal[[#This Row],[Question]]&amp;"."&amp;IndependentGlobal[[#This Row],[Action Type]]&amp;IndependentGlobal[[#This Row],[Country]]</f>
        <v>GS12.RQ1.Response_RequiredAustralia</v>
      </c>
      <c r="AP151" t="e">
        <f ca="1">IFERROR(VLOOKUP(IndependentGlobal[[#This Row],[Question]],Independent[#All],13,FALSE),VLOOKUP(IndependentGlobal[[#This Row],[Question]],INDIRECT("Independent_"&amp;'Gen Info'!$E$4&amp;"[#All]"),13,FALSE))</f>
        <v>#REF!</v>
      </c>
      <c r="AQ151" cm="1">
        <f t="array" ref="AQ151">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0</v>
      </c>
      <c r="AR151" t="s">
        <v>3468</v>
      </c>
      <c r="AV151" cm="1">
        <f t="array" ref="AV151">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0</v>
      </c>
      <c r="AW151" t="s">
        <v>2400</v>
      </c>
      <c r="BD151" t="s">
        <v>2215</v>
      </c>
      <c r="BE151" s="101" t="s">
        <v>991</v>
      </c>
      <c r="BF151" t="s">
        <v>3437</v>
      </c>
    </row>
    <row r="152" spans="41:58">
      <c r="AO152" t="str">
        <f>IndependentGlobal[[#This Row],[Question]]&amp;"."&amp;IndependentGlobal[[#This Row],[Action Type]]&amp;IndependentGlobal[[#This Row],[Country]]</f>
        <v>GS14.RQ1.Response_RequiredAustralia</v>
      </c>
      <c r="AP152" t="e">
        <f ca="1">IFERROR(VLOOKUP(IndependentGlobal[[#This Row],[Question]],Independent[#All],13,FALSE),VLOOKUP(IndependentGlobal[[#This Row],[Question]],INDIRECT("Independent_"&amp;'Gen Info'!$E$4&amp;"[#All]"),13,FALSE))</f>
        <v>#REF!</v>
      </c>
      <c r="AQ152" cm="1">
        <f t="array" ref="AQ152">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0</v>
      </c>
      <c r="AR152" t="s">
        <v>3469</v>
      </c>
      <c r="AV152" cm="1">
        <f t="array" ref="AV152">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0</v>
      </c>
      <c r="AW152" t="s">
        <v>3470</v>
      </c>
      <c r="BD152" t="s">
        <v>2215</v>
      </c>
      <c r="BE152" s="101" t="s">
        <v>1191</v>
      </c>
      <c r="BF152" t="s">
        <v>3437</v>
      </c>
    </row>
    <row r="153" spans="41:58">
      <c r="AO153" t="str">
        <f>IndependentGlobal[[#This Row],[Question]]&amp;"."&amp;IndependentGlobal[[#This Row],[Action Type]]&amp;IndependentGlobal[[#This Row],[Country]]</f>
        <v>GS14.RQ3.Resolved_OnsiteAustralia</v>
      </c>
      <c r="AP153" t="e">
        <f ca="1">IFERROR(VLOOKUP(IndependentGlobal[[#This Row],[Question]],Independent[#All],13,FALSE),VLOOKUP(IndependentGlobal[[#This Row],[Question]],INDIRECT("Independent_"&amp;'Gen Info'!$E$4&amp;"[#All]"),13,FALSE))</f>
        <v>#REF!</v>
      </c>
      <c r="AQ153" cm="1">
        <f t="array" ref="AQ153">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0</v>
      </c>
      <c r="AR153" t="s">
        <v>3471</v>
      </c>
      <c r="AV153" cm="1">
        <f t="array" ref="AV153">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0</v>
      </c>
      <c r="AW153" t="s">
        <v>2224</v>
      </c>
      <c r="BD153" t="s">
        <v>2195</v>
      </c>
      <c r="BE153" s="101" t="s">
        <v>1087</v>
      </c>
      <c r="BF153" t="s">
        <v>3437</v>
      </c>
    </row>
    <row r="154" spans="41:58">
      <c r="AO154" t="str">
        <f>IndependentGlobal[[#This Row],[Question]]&amp;"."&amp;IndependentGlobal[[#This Row],[Action Type]]&amp;IndependentGlobal[[#This Row],[Country]]</f>
        <v>GS14.RQ3.Response_RequiredAustralia</v>
      </c>
      <c r="AP154" t="e">
        <f ca="1">IFERROR(VLOOKUP(IndependentGlobal[[#This Row],[Question]],Independent[#All],13,FALSE),VLOOKUP(IndependentGlobal[[#This Row],[Question]],INDIRECT("Independent_"&amp;'Gen Info'!$E$4&amp;"[#All]"),13,FALSE))</f>
        <v>#REF!</v>
      </c>
      <c r="AQ154" cm="1">
        <f t="array" ref="AQ154">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0</v>
      </c>
      <c r="AR154" t="s">
        <v>3471</v>
      </c>
      <c r="AV154" cm="1">
        <f t="array" ref="AV154">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0</v>
      </c>
      <c r="AW154" t="s">
        <v>3472</v>
      </c>
      <c r="BD154" t="s">
        <v>2215</v>
      </c>
      <c r="BE154" s="101" t="s">
        <v>1087</v>
      </c>
      <c r="BF154" t="s">
        <v>3437</v>
      </c>
    </row>
    <row r="155" spans="41:58">
      <c r="AO155" t="str">
        <f>IndependentGlobal[[#This Row],[Question]]&amp;"."&amp;IndependentGlobal[[#This Row],[Action Type]]&amp;IndependentGlobal[[#This Row],[Country]]</f>
        <v>GS3.RQ1.New Zealand</v>
      </c>
      <c r="AP155" t="e">
        <f ca="1">IFERROR(VLOOKUP(IndependentGlobal[[#This Row],[Question]],Independent[#All],13,FALSE),VLOOKUP(IndependentGlobal[[#This Row],[Question]],INDIRECT("Independent_"&amp;'Gen Info'!$E$4&amp;"[#All]"),13,FALSE))</f>
        <v>#REF!</v>
      </c>
      <c r="AQ155" cm="1">
        <f t="array" ref="AQ155">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0</v>
      </c>
      <c r="AV155" cm="1">
        <f t="array" ref="AV155">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0</v>
      </c>
      <c r="BE155" t="s">
        <v>630</v>
      </c>
      <c r="BF155" t="s">
        <v>3473</v>
      </c>
    </row>
    <row r="156" spans="41:58">
      <c r="AO156" t="str">
        <f>IndependentGlobal[[#This Row],[Question]]&amp;"."&amp;IndependentGlobal[[#This Row],[Action Type]]&amp;IndependentGlobal[[#This Row],[Country]]</f>
        <v>GS3.RQ1.New Zealand</v>
      </c>
      <c r="AP156" t="e">
        <f ca="1">IFERROR(VLOOKUP(IndependentGlobal[[#This Row],[Question]],Independent[#All],13,FALSE),VLOOKUP(IndependentGlobal[[#This Row],[Question]],INDIRECT("Independent_"&amp;'Gen Info'!$E$4&amp;"[#All]"),13,FALSE))</f>
        <v>#REF!</v>
      </c>
      <c r="AQ156" cm="1">
        <f t="array" ref="AQ156">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0</v>
      </c>
      <c r="AV156" cm="1">
        <f t="array" ref="AV156">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0</v>
      </c>
      <c r="BE156" t="s">
        <v>630</v>
      </c>
      <c r="BF156" t="s">
        <v>3473</v>
      </c>
    </row>
    <row r="157" spans="41:58">
      <c r="AO157" t="str">
        <f>IndependentGlobal[[#This Row],[Question]]&amp;"."&amp;IndependentGlobal[[#This Row],[Action Type]]&amp;IndependentGlobal[[#This Row],[Country]]</f>
        <v>GS3.RQ2.New Zealand</v>
      </c>
      <c r="AP157" t="e">
        <f ca="1">IFERROR(VLOOKUP(IndependentGlobal[[#This Row],[Question]],Independent[#All],13,FALSE),VLOOKUP(IndependentGlobal[[#This Row],[Question]],INDIRECT("Independent_"&amp;'Gen Info'!$E$4&amp;"[#All]"),13,FALSE))</f>
        <v>#REF!</v>
      </c>
      <c r="AQ157" cm="1">
        <f t="array" ref="AQ157">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0</v>
      </c>
      <c r="AV157" cm="1">
        <f t="array" ref="AV157">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0</v>
      </c>
      <c r="BE157" t="s">
        <v>803</v>
      </c>
      <c r="BF157" t="s">
        <v>3473</v>
      </c>
    </row>
    <row r="158" spans="41:58">
      <c r="AO158" t="str">
        <f>IndependentGlobal[[#This Row],[Question]]&amp;"."&amp;IndependentGlobal[[#This Row],[Action Type]]&amp;IndependentGlobal[[#This Row],[Country]]</f>
        <v>GS3.RQ2.New Zealand</v>
      </c>
      <c r="AP158" t="e">
        <f ca="1">IFERROR(VLOOKUP(IndependentGlobal[[#This Row],[Question]],Independent[#All],13,FALSE),VLOOKUP(IndependentGlobal[[#This Row],[Question]],INDIRECT("Independent_"&amp;'Gen Info'!$E$4&amp;"[#All]"),13,FALSE))</f>
        <v>#REF!</v>
      </c>
      <c r="AQ158" cm="1">
        <f t="array" ref="AQ158">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0</v>
      </c>
      <c r="AV158" cm="1">
        <f t="array" ref="AV158">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0</v>
      </c>
      <c r="BE158" t="s">
        <v>803</v>
      </c>
      <c r="BF158" t="s">
        <v>3473</v>
      </c>
    </row>
    <row r="159" spans="41:58">
      <c r="AO159" t="str">
        <f>IndependentGlobal[[#This Row],[Question]]&amp;"."&amp;IndependentGlobal[[#This Row],[Action Type]]&amp;IndependentGlobal[[#This Row],[Country]]</f>
        <v>GS12.RQ1.New Zealand</v>
      </c>
      <c r="AP159" t="e">
        <f ca="1">IFERROR(VLOOKUP(IndependentGlobal[[#This Row],[Question]],Independent[#All],13,FALSE),VLOOKUP(IndependentGlobal[[#This Row],[Question]],INDIRECT("Independent_"&amp;'Gen Info'!$E$4&amp;"[#All]"),13,FALSE))</f>
        <v>#REF!</v>
      </c>
      <c r="AQ159" cm="1">
        <f t="array" ref="AQ159">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0</v>
      </c>
      <c r="AV159" cm="1">
        <f t="array" ref="AV159">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0</v>
      </c>
      <c r="BE159" t="s">
        <v>991</v>
      </c>
      <c r="BF159" t="s">
        <v>3473</v>
      </c>
    </row>
    <row r="160" spans="41:58">
      <c r="AO160" t="str">
        <f>IndependentGlobal[[#This Row],[Question]]&amp;"."&amp;IndependentGlobal[[#This Row],[Action Type]]&amp;IndependentGlobal[[#This Row],[Country]]</f>
        <v>GS12.RQ1.New Zealand</v>
      </c>
      <c r="AP160" t="e">
        <f ca="1">IFERROR(VLOOKUP(IndependentGlobal[[#This Row],[Question]],Independent[#All],13,FALSE),VLOOKUP(IndependentGlobal[[#This Row],[Question]],INDIRECT("Independent_"&amp;'Gen Info'!$E$4&amp;"[#All]"),13,FALSE))</f>
        <v>#REF!</v>
      </c>
      <c r="AQ160" cm="1">
        <f t="array" ref="AQ160">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0</v>
      </c>
      <c r="AV160" cm="1">
        <f t="array" ref="AV160">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0</v>
      </c>
      <c r="BE160" t="s">
        <v>991</v>
      </c>
      <c r="BF160" t="s">
        <v>3473</v>
      </c>
    </row>
    <row r="161" spans="41:58">
      <c r="AO161" t="str">
        <f>IndependentGlobal[[#This Row],[Question]]&amp;"."&amp;IndependentGlobal[[#This Row],[Action Type]]&amp;IndependentGlobal[[#This Row],[Country]]</f>
        <v>GS14.RQ1.New Zealand</v>
      </c>
      <c r="AP161" t="e">
        <f ca="1">IFERROR(VLOOKUP(IndependentGlobal[[#This Row],[Question]],Independent[#All],13,FALSE),VLOOKUP(IndependentGlobal[[#This Row],[Question]],INDIRECT("Independent_"&amp;'Gen Info'!$E$4&amp;"[#All]"),13,FALSE))</f>
        <v>#REF!</v>
      </c>
      <c r="AQ161" cm="1">
        <f t="array" ref="AQ161">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0</v>
      </c>
      <c r="AV161" cm="1">
        <f t="array" ref="AV161">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0</v>
      </c>
      <c r="BE161" t="s">
        <v>1191</v>
      </c>
      <c r="BF161" t="s">
        <v>3473</v>
      </c>
    </row>
    <row r="162" spans="41:58">
      <c r="AO162" t="str">
        <f>IndependentGlobal[[#This Row],[Question]]&amp;"."&amp;IndependentGlobal[[#This Row],[Action Type]]&amp;IndependentGlobal[[#This Row],[Country]]</f>
        <v>GS14.RQ1.New Zealand</v>
      </c>
      <c r="AP162" t="e">
        <f ca="1">IFERROR(VLOOKUP(IndependentGlobal[[#This Row],[Question]],Independent[#All],13,FALSE),VLOOKUP(IndependentGlobal[[#This Row],[Question]],INDIRECT("Independent_"&amp;'Gen Info'!$E$4&amp;"[#All]"),13,FALSE))</f>
        <v>#REF!</v>
      </c>
      <c r="AQ162" cm="1">
        <f t="array" ref="AQ162">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0</v>
      </c>
      <c r="AV162" cm="1">
        <f t="array" ref="AV162">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0</v>
      </c>
      <c r="BE162" t="s">
        <v>1191</v>
      </c>
      <c r="BF162" t="s">
        <v>3473</v>
      </c>
    </row>
    <row r="163" spans="41:58">
      <c r="AO163" t="str">
        <f>IndependentGlobal[[#This Row],[Question]]&amp;"."&amp;IndependentGlobal[[#This Row],[Action Type]]&amp;IndependentGlobal[[#This Row],[Country]]</f>
        <v>GS14.RQ3.New Zealand</v>
      </c>
      <c r="AP163" t="e">
        <f ca="1">IFERROR(VLOOKUP(IndependentGlobal[[#This Row],[Question]],Independent[#All],13,FALSE),VLOOKUP(IndependentGlobal[[#This Row],[Question]],INDIRECT("Independent_"&amp;'Gen Info'!$E$4&amp;"[#All]"),13,FALSE))</f>
        <v>#REF!</v>
      </c>
      <c r="AQ163" cm="1">
        <f t="array" ref="AQ163">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0</v>
      </c>
      <c r="AV163" cm="1">
        <f t="array" ref="AV163">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0</v>
      </c>
      <c r="BE163" t="s">
        <v>1087</v>
      </c>
      <c r="BF163" t="s">
        <v>3473</v>
      </c>
    </row>
    <row r="164" spans="41:58">
      <c r="AO164" t="str">
        <f>IndependentGlobal[[#This Row],[Question]]&amp;"."&amp;IndependentGlobal[[#This Row],[Action Type]]&amp;IndependentGlobal[[#This Row],[Country]]</f>
        <v>GS14.RQ3.New Zealand</v>
      </c>
      <c r="AP164" t="e">
        <f ca="1">IFERROR(VLOOKUP(IndependentGlobal[[#This Row],[Question]],Independent[#All],13,FALSE),VLOOKUP(IndependentGlobal[[#This Row],[Question]],INDIRECT("Independent_"&amp;'Gen Info'!$E$4&amp;"[#All]"),13,FALSE))</f>
        <v>#REF!</v>
      </c>
      <c r="AQ164" cm="1">
        <f t="array" ref="AQ164">_xlfn.IFS(LocationInfo[Select Letter Language]="English",IndependentGlobal[[#This Row],[Finding English]],LocationInfo[Select Letter Language]="Spanish",IndependentGlobal[[#This Row],[Finding Spanish]],LocationInfo[Select Letter Language]="French",IndependentGlobal[[#This Row],[Finding French]],LocationInfo[Select Letter Language]="Portuguese",IndependentGlobal[[#This Row],[Finding Portuguese]])</f>
        <v>0</v>
      </c>
      <c r="AV164" cm="1">
        <f t="array" ref="AV164">IFERROR(_xlfn.IFS(LocationInfo[Select Letter Language]="English",IndependentGlobal[[#This Row],[Action Required English]],LocationInfo[Select Letter Language]="Spanish",IndependentGlobal[[#This Row],[Action Required Spanish]],LocationInfo[Select Letter Language]="French",IndependentGlobal[[#This Row],[Action Required French]],LocationInfo[Select Letter Language]="Portuguese",IndependentGlobal[[#This Row],[Action Required Portuguese]]),"")</f>
        <v>0</v>
      </c>
      <c r="BE164" t="s">
        <v>1087</v>
      </c>
      <c r="BF164" t="s">
        <v>3473</v>
      </c>
    </row>
  </sheetData>
  <mergeCells count="6">
    <mergeCell ref="CV2:DM2"/>
    <mergeCell ref="B2:S2"/>
    <mergeCell ref="U2:AL2"/>
    <mergeCell ref="AO2:BF2"/>
    <mergeCell ref="BH2:BY2"/>
    <mergeCell ref="CB2:CS2"/>
  </mergeCells>
  <hyperlinks>
    <hyperlink ref="CY3" location="Questionnaire!P400" display="Finding English" xr:uid="{58066240-D822-49F4-8A27-1F5840574917}"/>
  </hyperlinks>
  <pageMargins left="0.7" right="0.7" top="0.75" bottom="0.75" header="0.3" footer="0.3"/>
  <customProperties>
    <customPr name="workbookAdvencedSettings" r:id="rId1"/>
    <customPr name="workbookExecutionSettings" r:id="rId2"/>
    <customPr name="workbookGatewaySettings" r:id="rId3"/>
  </customProperties>
  <tableParts count="6">
    <tablePart r:id="rId4"/>
    <tablePart r:id="rId5"/>
    <tablePart r:id="rId6"/>
    <tablePart r:id="rId7"/>
    <tablePart r:id="rId8"/>
    <tablePart r:id="rId9"/>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0488E-5CF0-4AEC-8D15-FE8E33F69365}">
  <sheetPr codeName="Sheet17"/>
  <dimension ref="B1:P91"/>
  <sheetViews>
    <sheetView showGridLines="0" zoomScale="85" zoomScaleNormal="85" workbookViewId="0"/>
  </sheetViews>
  <sheetFormatPr defaultRowHeight="14.5"/>
  <cols>
    <col min="1" max="1" width="2.453125" customWidth="1"/>
    <col min="2" max="2" width="34.453125" customWidth="1"/>
    <col min="3" max="3" width="22.54296875" bestFit="1" customWidth="1"/>
    <col min="4" max="4" width="15" bestFit="1" customWidth="1"/>
    <col min="5" max="5" width="9.453125" customWidth="1"/>
    <col min="6" max="6" width="26.453125" customWidth="1"/>
    <col min="7" max="7" width="5.54296875" customWidth="1"/>
    <col min="8" max="8" width="11.54296875" customWidth="1"/>
    <col min="9" max="9" width="13.54296875" bestFit="1" customWidth="1"/>
    <col min="10" max="10" width="31.453125" bestFit="1" customWidth="1"/>
    <col min="11" max="11" width="15.453125" bestFit="1" customWidth="1"/>
    <col min="12" max="12" width="32.453125" bestFit="1" customWidth="1"/>
    <col min="13" max="13" width="31.54296875" bestFit="1" customWidth="1"/>
    <col min="15" max="16" width="18.54296875" customWidth="1"/>
  </cols>
  <sheetData>
    <row r="1" spans="2:16" ht="15" thickBot="1">
      <c r="B1" s="7"/>
      <c r="C1" s="7"/>
      <c r="D1" s="7"/>
    </row>
    <row r="2" spans="2:16" ht="24.5" thickBot="1">
      <c r="B2" s="532" t="s">
        <v>3474</v>
      </c>
      <c r="C2" s="533"/>
      <c r="D2" s="534"/>
      <c r="F2" s="17" t="s">
        <v>3475</v>
      </c>
      <c r="H2" s="19" t="s">
        <v>3476</v>
      </c>
      <c r="I2" s="18" t="s">
        <v>3477</v>
      </c>
      <c r="J2" s="19" t="s">
        <v>3478</v>
      </c>
      <c r="K2" s="18" t="s">
        <v>3479</v>
      </c>
      <c r="L2" s="19" t="s">
        <v>3480</v>
      </c>
      <c r="M2" s="18" t="s">
        <v>3481</v>
      </c>
      <c r="O2" s="305" t="s">
        <v>3482</v>
      </c>
      <c r="P2" s="305" t="s">
        <v>3483</v>
      </c>
    </row>
    <row r="3" spans="2:16">
      <c r="B3" s="8" t="s">
        <v>43</v>
      </c>
      <c r="C3" s="9"/>
      <c r="D3" s="10"/>
      <c r="F3" s="16" t="s">
        <v>3484</v>
      </c>
      <c r="H3" s="20" t="s">
        <v>3477</v>
      </c>
      <c r="I3" s="23" t="s">
        <v>2581</v>
      </c>
      <c r="J3" s="20" t="s">
        <v>3485</v>
      </c>
      <c r="K3" s="10" t="s">
        <v>3486</v>
      </c>
      <c r="L3" s="20" t="s">
        <v>3487</v>
      </c>
      <c r="M3" s="10" t="s">
        <v>3488</v>
      </c>
      <c r="O3" s="122" t="s">
        <v>3489</v>
      </c>
      <c r="P3" s="122" t="s">
        <v>3484</v>
      </c>
    </row>
    <row r="4" spans="2:16">
      <c r="B4" s="8" t="s">
        <v>3490</v>
      </c>
      <c r="C4" s="11">
        <v>30</v>
      </c>
      <c r="D4" s="12" t="s">
        <v>3491</v>
      </c>
      <c r="F4" s="16" t="s">
        <v>3492</v>
      </c>
      <c r="H4" s="20" t="s">
        <v>3478</v>
      </c>
      <c r="I4" s="23" t="s">
        <v>2281</v>
      </c>
      <c r="J4" s="20" t="s">
        <v>3437</v>
      </c>
      <c r="K4" s="10" t="s">
        <v>3493</v>
      </c>
      <c r="L4" s="20" t="s">
        <v>3494</v>
      </c>
      <c r="M4" s="10" t="s">
        <v>3495</v>
      </c>
      <c r="O4" s="122" t="s">
        <v>3496</v>
      </c>
      <c r="P4" s="122" t="s">
        <v>3497</v>
      </c>
    </row>
    <row r="5" spans="2:16" ht="15" thickBot="1">
      <c r="B5" s="8" t="s">
        <v>3498</v>
      </c>
      <c r="C5" s="11">
        <v>105</v>
      </c>
      <c r="D5" s="12" t="s">
        <v>3491</v>
      </c>
      <c r="F5" s="16" t="s">
        <v>3499</v>
      </c>
      <c r="H5" s="20" t="s">
        <v>3479</v>
      </c>
      <c r="I5" s="24" t="s">
        <v>3500</v>
      </c>
      <c r="J5" s="20" t="s">
        <v>3501</v>
      </c>
      <c r="K5" s="10" t="s">
        <v>3502</v>
      </c>
      <c r="L5" s="20" t="s">
        <v>3503</v>
      </c>
      <c r="M5" s="10" t="s">
        <v>3504</v>
      </c>
      <c r="O5" s="122" t="s">
        <v>3505</v>
      </c>
      <c r="P5" s="122" t="s">
        <v>2581</v>
      </c>
    </row>
    <row r="6" spans="2:16">
      <c r="B6" s="8" t="s">
        <v>3506</v>
      </c>
      <c r="C6" s="11">
        <v>150</v>
      </c>
      <c r="D6" s="12" t="s">
        <v>3491</v>
      </c>
      <c r="F6" s="450" t="s">
        <v>2178</v>
      </c>
      <c r="H6" s="20" t="s">
        <v>3480</v>
      </c>
      <c r="J6" s="20" t="s">
        <v>3507</v>
      </c>
      <c r="K6" s="10" t="s">
        <v>3508</v>
      </c>
      <c r="L6" s="20" t="s">
        <v>3509</v>
      </c>
      <c r="M6" s="10" t="s">
        <v>3510</v>
      </c>
      <c r="O6" s="122" t="s">
        <v>111</v>
      </c>
      <c r="P6" s="122" t="s">
        <v>2</v>
      </c>
    </row>
    <row r="7" spans="2:16" ht="15" thickBot="1">
      <c r="B7" s="13" t="s">
        <v>3511</v>
      </c>
      <c r="C7" s="14">
        <v>20</v>
      </c>
      <c r="D7" s="15" t="s">
        <v>3491</v>
      </c>
      <c r="F7" s="379"/>
      <c r="H7" s="21" t="s">
        <v>3481</v>
      </c>
      <c r="J7" s="20" t="s">
        <v>3512</v>
      </c>
      <c r="K7" s="10" t="s">
        <v>3513</v>
      </c>
      <c r="L7" s="20" t="s">
        <v>3514</v>
      </c>
      <c r="M7" s="10" t="s">
        <v>3515</v>
      </c>
    </row>
    <row r="8" spans="2:16">
      <c r="F8" s="379"/>
      <c r="J8" s="20" t="s">
        <v>3516</v>
      </c>
      <c r="K8" s="10" t="s">
        <v>3517</v>
      </c>
      <c r="L8" s="20" t="s">
        <v>3518</v>
      </c>
      <c r="M8" s="10" t="s">
        <v>3519</v>
      </c>
    </row>
    <row r="9" spans="2:16" ht="15" thickBot="1">
      <c r="F9" s="380"/>
      <c r="J9" s="20" t="s">
        <v>3520</v>
      </c>
      <c r="K9" s="10" t="s">
        <v>3521</v>
      </c>
      <c r="L9" s="20" t="s">
        <v>3522</v>
      </c>
      <c r="M9" s="10" t="s">
        <v>3519</v>
      </c>
    </row>
    <row r="10" spans="2:16">
      <c r="J10" s="20" t="s">
        <v>3523</v>
      </c>
      <c r="K10" s="10" t="s">
        <v>3524</v>
      </c>
      <c r="L10" s="20" t="s">
        <v>3525</v>
      </c>
      <c r="M10" s="10" t="s">
        <v>3526</v>
      </c>
    </row>
    <row r="11" spans="2:16">
      <c r="J11" s="20" t="s">
        <v>3527</v>
      </c>
      <c r="K11" s="10" t="s">
        <v>3528</v>
      </c>
      <c r="L11" s="20" t="s">
        <v>3529</v>
      </c>
      <c r="M11" s="10" t="s">
        <v>3530</v>
      </c>
    </row>
    <row r="12" spans="2:16">
      <c r="F12" t="s">
        <v>3531</v>
      </c>
      <c r="J12" s="20" t="s">
        <v>3532</v>
      </c>
      <c r="K12" s="10" t="s">
        <v>3533</v>
      </c>
      <c r="L12" s="20" t="s">
        <v>3534</v>
      </c>
      <c r="M12" s="10" t="s">
        <v>3535</v>
      </c>
    </row>
    <row r="13" spans="2:16">
      <c r="F13" t="s">
        <v>3536</v>
      </c>
      <c r="J13" s="20" t="s">
        <v>3537</v>
      </c>
      <c r="K13" s="10" t="s">
        <v>3538</v>
      </c>
      <c r="L13" s="20" t="s">
        <v>3539</v>
      </c>
      <c r="M13" s="10" t="s">
        <v>3540</v>
      </c>
    </row>
    <row r="14" spans="2:16" ht="15" thickBot="1">
      <c r="F14" t="s">
        <v>3541</v>
      </c>
      <c r="J14" s="20" t="s">
        <v>3162</v>
      </c>
      <c r="K14" s="10" t="s">
        <v>3542</v>
      </c>
      <c r="L14" s="20" t="s">
        <v>3543</v>
      </c>
      <c r="M14" s="10" t="s">
        <v>3544</v>
      </c>
    </row>
    <row r="15" spans="2:16" ht="15" thickBot="1">
      <c r="B15" s="25" t="s">
        <v>3545</v>
      </c>
      <c r="C15" s="25" t="s">
        <v>3546</v>
      </c>
      <c r="J15" s="20" t="s">
        <v>2196</v>
      </c>
      <c r="K15" s="10" t="s">
        <v>3547</v>
      </c>
      <c r="L15" s="20" t="s">
        <v>3548</v>
      </c>
      <c r="M15" s="10" t="s">
        <v>3549</v>
      </c>
    </row>
    <row r="16" spans="2:16">
      <c r="B16" s="26" t="s">
        <v>2</v>
      </c>
      <c r="C16" s="26" t="s">
        <v>2</v>
      </c>
      <c r="J16" s="20" t="s">
        <v>3550</v>
      </c>
      <c r="K16" s="10" t="s">
        <v>3551</v>
      </c>
      <c r="L16" s="20" t="s">
        <v>3552</v>
      </c>
      <c r="M16" s="10" t="s">
        <v>3553</v>
      </c>
    </row>
    <row r="17" spans="2:13">
      <c r="B17" s="26" t="s">
        <v>137</v>
      </c>
      <c r="C17" s="26" t="s">
        <v>137</v>
      </c>
      <c r="J17" s="20" t="s">
        <v>3554</v>
      </c>
      <c r="K17" s="10" t="s">
        <v>3551</v>
      </c>
      <c r="L17" s="20" t="s">
        <v>3555</v>
      </c>
      <c r="M17" s="10" t="s">
        <v>3556</v>
      </c>
    </row>
    <row r="18" spans="2:13">
      <c r="B18" s="26" t="s">
        <v>138</v>
      </c>
      <c r="C18" s="26" t="s">
        <v>138</v>
      </c>
      <c r="J18" s="20" t="s">
        <v>3557</v>
      </c>
      <c r="K18" s="10" t="s">
        <v>3558</v>
      </c>
      <c r="L18" s="20" t="s">
        <v>3559</v>
      </c>
      <c r="M18" s="10" t="s">
        <v>3560</v>
      </c>
    </row>
    <row r="19" spans="2:13" ht="15" thickBot="1">
      <c r="B19" s="27" t="s">
        <v>139</v>
      </c>
      <c r="C19" s="27" t="s">
        <v>139</v>
      </c>
      <c r="J19" s="20" t="s">
        <v>3561</v>
      </c>
      <c r="K19" s="10" t="s">
        <v>3562</v>
      </c>
      <c r="L19" s="20" t="s">
        <v>3563</v>
      </c>
      <c r="M19" s="10" t="s">
        <v>3564</v>
      </c>
    </row>
    <row r="20" spans="2:13">
      <c r="J20" s="20" t="s">
        <v>3565</v>
      </c>
      <c r="K20" s="10" t="s">
        <v>3566</v>
      </c>
      <c r="L20" s="20" t="s">
        <v>3567</v>
      </c>
      <c r="M20" s="10" t="s">
        <v>3568</v>
      </c>
    </row>
    <row r="21" spans="2:13">
      <c r="J21" s="20" t="s">
        <v>3569</v>
      </c>
      <c r="K21" s="10" t="s">
        <v>3570</v>
      </c>
      <c r="L21" s="20" t="s">
        <v>3571</v>
      </c>
      <c r="M21" s="10" t="s">
        <v>3572</v>
      </c>
    </row>
    <row r="22" spans="2:13" ht="15" thickBot="1">
      <c r="J22" s="20" t="s">
        <v>3573</v>
      </c>
      <c r="K22" s="10" t="s">
        <v>3574</v>
      </c>
      <c r="L22" s="20" t="s">
        <v>3575</v>
      </c>
      <c r="M22" s="10" t="s">
        <v>3576</v>
      </c>
    </row>
    <row r="23" spans="2:13">
      <c r="B23" s="87" t="s">
        <v>3577</v>
      </c>
      <c r="C23" s="109" t="str">
        <f>IF('Gen Info'!E4="India_FTF","Network_Agent_FTF",'Call Flow'!D5)</f>
        <v>Network_Agent</v>
      </c>
      <c r="D23" s="88">
        <f ca="1">COUNTA(INDIRECT(C23&amp;"[[#All],[iWatch '#]]"))-1</f>
        <v>41</v>
      </c>
      <c r="J23" s="20" t="s">
        <v>3578</v>
      </c>
      <c r="K23" s="10" t="s">
        <v>3579</v>
      </c>
      <c r="L23" s="20" t="s">
        <v>3580</v>
      </c>
      <c r="M23" s="10" t="s">
        <v>3581</v>
      </c>
    </row>
    <row r="24" spans="2:13">
      <c r="B24" s="89" t="s">
        <v>3582</v>
      </c>
      <c r="C24" s="90" t="str">
        <f>'Call Flow'!D5&amp;"_"&amp;'Call Flow'!F5</f>
        <v>Network_Agent_Mexico</v>
      </c>
      <c r="D24" s="91">
        <f ca="1">COUNTA(INDIRECT(C24&amp;"[[#All],[iWatch '#]]"))-1</f>
        <v>0</v>
      </c>
      <c r="J24" s="20" t="s">
        <v>3583</v>
      </c>
      <c r="K24" s="10" t="s">
        <v>3584</v>
      </c>
      <c r="L24" s="20" t="s">
        <v>3585</v>
      </c>
      <c r="M24" s="10" t="s">
        <v>3586</v>
      </c>
    </row>
    <row r="25" spans="2:13">
      <c r="B25" s="89" t="s">
        <v>3587</v>
      </c>
      <c r="C25" s="90" t="str">
        <f>'Call Flow'!D4</f>
        <v>Spanish</v>
      </c>
      <c r="D25" s="91"/>
      <c r="J25" s="20" t="s">
        <v>3588</v>
      </c>
      <c r="K25" s="10" t="s">
        <v>3589</v>
      </c>
      <c r="L25" s="20" t="s">
        <v>3590</v>
      </c>
      <c r="M25" s="10" t="s">
        <v>3591</v>
      </c>
    </row>
    <row r="26" spans="2:13">
      <c r="B26" s="89" t="s">
        <v>3592</v>
      </c>
      <c r="C26" s="92"/>
      <c r="D26" s="91">
        <f ca="1">D23+D24</f>
        <v>41</v>
      </c>
      <c r="J26" s="20" t="s">
        <v>3473</v>
      </c>
      <c r="K26" s="10" t="s">
        <v>3593</v>
      </c>
      <c r="L26" s="20" t="s">
        <v>3594</v>
      </c>
      <c r="M26" s="10" t="s">
        <v>3595</v>
      </c>
    </row>
    <row r="27" spans="2:13">
      <c r="B27" s="89" t="s">
        <v>72</v>
      </c>
      <c r="C27" s="90" t="str">
        <f>'Gen Info'!$F$1</f>
        <v>English</v>
      </c>
      <c r="D27" s="93"/>
      <c r="J27" s="20" t="s">
        <v>3596</v>
      </c>
      <c r="K27" s="10" t="s">
        <v>3597</v>
      </c>
      <c r="L27" s="20" t="s">
        <v>3598</v>
      </c>
      <c r="M27" s="10" t="s">
        <v>3599</v>
      </c>
    </row>
    <row r="28" spans="2:13">
      <c r="B28" s="89" t="s">
        <v>3600</v>
      </c>
      <c r="C28" s="108" t="str">
        <f>'Call Flow'!$D$5</f>
        <v>Network_Agent</v>
      </c>
      <c r="D28" s="93"/>
      <c r="J28" s="20" t="s">
        <v>3601</v>
      </c>
      <c r="K28" s="10" t="s">
        <v>3602</v>
      </c>
      <c r="L28" s="20" t="s">
        <v>3603</v>
      </c>
      <c r="M28" s="10" t="s">
        <v>3604</v>
      </c>
    </row>
    <row r="29" spans="2:13">
      <c r="B29" s="89" t="s">
        <v>3605</v>
      </c>
      <c r="C29" s="90" t="str">
        <f>IF(OR('Call Flow'!$F$5="United_States",'Call Flow'!$F$5="Canada",'Call Flow'!$F$5="India_FTF",'Call Flow'!$F$5="India",'Call Flow'!$F$5&amp;'Gen Info'!$D$4="AustraliaIndependent"),'Call Flow'!$F$5,"")</f>
        <v/>
      </c>
      <c r="D29" s="93"/>
      <c r="J29" s="20" t="s">
        <v>3606</v>
      </c>
      <c r="K29" s="10" t="s">
        <v>3607</v>
      </c>
      <c r="L29" s="20" t="s">
        <v>3608</v>
      </c>
      <c r="M29" s="10" t="s">
        <v>3609</v>
      </c>
    </row>
    <row r="30" spans="2:13" ht="15" thickBot="1">
      <c r="B30" s="94" t="s">
        <v>3610</v>
      </c>
      <c r="C30" s="95" t="str">
        <f>IF(AND($C$29="Canada",$C$23="Independent"),"Canada","Global")</f>
        <v>Global</v>
      </c>
      <c r="D30" s="96"/>
      <c r="J30" s="20" t="s">
        <v>3611</v>
      </c>
      <c r="K30" s="22" t="s">
        <v>3612</v>
      </c>
      <c r="L30" s="20" t="s">
        <v>3613</v>
      </c>
      <c r="M30" s="10" t="s">
        <v>3614</v>
      </c>
    </row>
    <row r="31" spans="2:13" ht="15" thickBot="1">
      <c r="J31" s="20" t="s">
        <v>3615</v>
      </c>
      <c r="L31" s="20" t="s">
        <v>3616</v>
      </c>
      <c r="M31" s="10" t="s">
        <v>3617</v>
      </c>
    </row>
    <row r="32" spans="2:13" ht="15" thickBot="1">
      <c r="F32" s="535" t="s">
        <v>73</v>
      </c>
      <c r="G32" s="536"/>
      <c r="J32" s="20" t="s">
        <v>3618</v>
      </c>
      <c r="L32" s="20" t="s">
        <v>3619</v>
      </c>
      <c r="M32" s="10" t="s">
        <v>3620</v>
      </c>
    </row>
    <row r="33" spans="2:13">
      <c r="B33" s="191"/>
      <c r="F33" s="111" t="s">
        <v>91</v>
      </c>
      <c r="G33" s="112">
        <v>5</v>
      </c>
      <c r="J33" s="20" t="s">
        <v>3621</v>
      </c>
      <c r="L33" s="20" t="s">
        <v>3622</v>
      </c>
      <c r="M33" s="10" t="s">
        <v>3623</v>
      </c>
    </row>
    <row r="34" spans="2:13">
      <c r="F34" s="113" t="s">
        <v>60</v>
      </c>
      <c r="G34" s="114">
        <v>6</v>
      </c>
      <c r="J34" s="20" t="s">
        <v>3624</v>
      </c>
      <c r="L34" s="20" t="s">
        <v>3625</v>
      </c>
      <c r="M34" s="10" t="s">
        <v>3626</v>
      </c>
    </row>
    <row r="35" spans="2:13">
      <c r="F35" s="113" t="s">
        <v>409</v>
      </c>
      <c r="G35" s="114">
        <v>8</v>
      </c>
      <c r="J35" s="20" t="s">
        <v>3627</v>
      </c>
      <c r="L35" s="20" t="s">
        <v>3628</v>
      </c>
      <c r="M35" s="10" t="s">
        <v>3629</v>
      </c>
    </row>
    <row r="36" spans="2:13">
      <c r="F36" s="113" t="s">
        <v>3630</v>
      </c>
      <c r="G36" s="114">
        <v>6</v>
      </c>
      <c r="J36" s="20" t="s">
        <v>3631</v>
      </c>
      <c r="L36" s="20" t="s">
        <v>3632</v>
      </c>
      <c r="M36" s="10" t="s">
        <v>3633</v>
      </c>
    </row>
    <row r="37" spans="2:13">
      <c r="F37" s="113" t="s">
        <v>3634</v>
      </c>
      <c r="G37" s="114">
        <v>6</v>
      </c>
      <c r="J37" s="20" t="s">
        <v>3635</v>
      </c>
      <c r="L37" s="20" t="s">
        <v>3636</v>
      </c>
      <c r="M37" s="10" t="s">
        <v>3637</v>
      </c>
    </row>
    <row r="38" spans="2:13" ht="15" thickBot="1">
      <c r="F38" s="115" t="s">
        <v>3638</v>
      </c>
      <c r="G38" s="116">
        <v>6</v>
      </c>
      <c r="J38" s="20" t="s">
        <v>3639</v>
      </c>
      <c r="L38" s="20" t="s">
        <v>3640</v>
      </c>
      <c r="M38" s="10" t="s">
        <v>3641</v>
      </c>
    </row>
    <row r="39" spans="2:13">
      <c r="J39" s="20" t="s">
        <v>3642</v>
      </c>
      <c r="L39" s="20" t="s">
        <v>3643</v>
      </c>
      <c r="M39" s="10" t="s">
        <v>3644</v>
      </c>
    </row>
    <row r="40" spans="2:13" ht="15" thickBot="1">
      <c r="J40" s="20" t="s">
        <v>3645</v>
      </c>
      <c r="L40" s="20" t="s">
        <v>3646</v>
      </c>
      <c r="M40" s="10" t="s">
        <v>3647</v>
      </c>
    </row>
    <row r="41" spans="2:13" ht="15" thickBot="1">
      <c r="B41" s="117" t="s">
        <v>3648</v>
      </c>
      <c r="C41" s="537" t="s">
        <v>564</v>
      </c>
      <c r="D41" s="538"/>
      <c r="E41" s="539"/>
      <c r="J41" s="21" t="s">
        <v>3649</v>
      </c>
      <c r="L41" s="20" t="s">
        <v>3650</v>
      </c>
      <c r="M41" s="22" t="s">
        <v>3651</v>
      </c>
    </row>
    <row r="42" spans="2:13">
      <c r="B42" s="118" t="s">
        <v>3652</v>
      </c>
      <c r="C42" s="111"/>
      <c r="D42" s="119"/>
      <c r="E42" s="120"/>
      <c r="L42" s="20" t="s">
        <v>3653</v>
      </c>
    </row>
    <row r="43" spans="2:13">
      <c r="B43" s="121" t="s">
        <v>585</v>
      </c>
      <c r="C43" s="113" t="s">
        <v>2195</v>
      </c>
      <c r="D43" s="122"/>
      <c r="E43" s="123"/>
      <c r="L43" s="20" t="s">
        <v>3654</v>
      </c>
    </row>
    <row r="44" spans="2:13">
      <c r="B44" s="121" t="s">
        <v>698</v>
      </c>
      <c r="C44" s="113" t="s">
        <v>2215</v>
      </c>
      <c r="D44" s="122"/>
      <c r="E44" s="123"/>
      <c r="L44" s="20" t="s">
        <v>3655</v>
      </c>
    </row>
    <row r="45" spans="2:13">
      <c r="B45" s="121" t="s">
        <v>828</v>
      </c>
      <c r="C45" s="113" t="s">
        <v>2222</v>
      </c>
      <c r="D45" s="122"/>
      <c r="E45" s="123"/>
      <c r="L45" s="20" t="s">
        <v>3656</v>
      </c>
    </row>
    <row r="46" spans="2:13">
      <c r="B46" s="121" t="s">
        <v>3657</v>
      </c>
      <c r="C46" s="113" t="s">
        <v>2780</v>
      </c>
      <c r="D46" s="122"/>
      <c r="E46" s="123"/>
      <c r="L46" s="20" t="s">
        <v>3658</v>
      </c>
    </row>
    <row r="47" spans="2:13">
      <c r="B47" s="121" t="s">
        <v>644</v>
      </c>
      <c r="C47" s="113" t="s">
        <v>2195</v>
      </c>
      <c r="D47" s="110" t="s">
        <v>2215</v>
      </c>
      <c r="E47" s="123"/>
      <c r="L47" s="20" t="s">
        <v>3659</v>
      </c>
    </row>
    <row r="48" spans="2:13">
      <c r="B48" s="121" t="s">
        <v>1505</v>
      </c>
      <c r="C48" s="113" t="s">
        <v>2195</v>
      </c>
      <c r="D48" s="110" t="s">
        <v>2222</v>
      </c>
      <c r="E48" s="123"/>
      <c r="L48" s="20" t="s">
        <v>3660</v>
      </c>
    </row>
    <row r="49" spans="2:12">
      <c r="B49" s="121" t="s">
        <v>683</v>
      </c>
      <c r="C49" s="113" t="s">
        <v>2215</v>
      </c>
      <c r="D49" s="110" t="s">
        <v>2222</v>
      </c>
      <c r="E49" s="123"/>
      <c r="L49" s="20" t="s">
        <v>3661</v>
      </c>
    </row>
    <row r="50" spans="2:12">
      <c r="B50" s="121" t="s">
        <v>853</v>
      </c>
      <c r="C50" s="113" t="s">
        <v>2195</v>
      </c>
      <c r="D50" s="110" t="s">
        <v>2215</v>
      </c>
      <c r="E50" s="114" t="s">
        <v>2222</v>
      </c>
      <c r="L50" s="20" t="s">
        <v>3662</v>
      </c>
    </row>
    <row r="51" spans="2:12">
      <c r="B51" s="121"/>
      <c r="C51" s="124"/>
      <c r="D51" s="122"/>
      <c r="E51" s="123"/>
      <c r="L51" s="20" t="s">
        <v>3663</v>
      </c>
    </row>
    <row r="52" spans="2:12">
      <c r="B52" s="121"/>
      <c r="C52" s="124"/>
      <c r="D52" s="122"/>
      <c r="E52" s="123"/>
      <c r="L52" s="20" t="s">
        <v>3664</v>
      </c>
    </row>
    <row r="53" spans="2:12">
      <c r="B53" s="121"/>
      <c r="C53" s="124"/>
      <c r="D53" s="122"/>
      <c r="E53" s="123"/>
      <c r="L53" s="20" t="s">
        <v>3665</v>
      </c>
    </row>
    <row r="54" spans="2:12" ht="15" thickBot="1">
      <c r="B54" s="125"/>
      <c r="C54" s="126"/>
      <c r="D54" s="127"/>
      <c r="E54" s="128"/>
      <c r="L54" s="20" t="s">
        <v>3666</v>
      </c>
    </row>
    <row r="55" spans="2:12">
      <c r="L55" s="20" t="s">
        <v>3667</v>
      </c>
    </row>
    <row r="56" spans="2:12" ht="15" thickBot="1">
      <c r="L56" s="20" t="s">
        <v>3668</v>
      </c>
    </row>
    <row r="57" spans="2:12" ht="15" thickBot="1">
      <c r="B57" s="17" t="s">
        <v>3669</v>
      </c>
      <c r="C57" s="538" t="s">
        <v>3670</v>
      </c>
      <c r="D57" s="538"/>
      <c r="E57" s="538"/>
      <c r="F57" s="538"/>
      <c r="G57" s="539"/>
      <c r="I57" s="540" t="s">
        <v>3671</v>
      </c>
      <c r="J57" s="541"/>
      <c r="L57" s="20" t="s">
        <v>3672</v>
      </c>
    </row>
    <row r="58" spans="2:12">
      <c r="B58" s="129"/>
      <c r="C58" s="130" t="s">
        <v>3673</v>
      </c>
      <c r="D58" s="122"/>
      <c r="E58" s="122"/>
      <c r="F58" s="122"/>
      <c r="G58" s="123"/>
      <c r="I58" s="139" t="s">
        <v>60</v>
      </c>
      <c r="J58" s="140">
        <v>3</v>
      </c>
      <c r="L58" s="20" t="s">
        <v>3674</v>
      </c>
    </row>
    <row r="59" spans="2:12">
      <c r="B59" s="129">
        <v>1</v>
      </c>
      <c r="C59" s="110" t="s">
        <v>91</v>
      </c>
      <c r="D59" s="122"/>
      <c r="E59" s="122"/>
      <c r="F59" s="122"/>
      <c r="G59" s="123"/>
      <c r="I59" s="8" t="s">
        <v>3630</v>
      </c>
      <c r="J59" s="10">
        <v>3</v>
      </c>
      <c r="L59" s="20" t="s">
        <v>3675</v>
      </c>
    </row>
    <row r="60" spans="2:12">
      <c r="B60" s="129">
        <v>2</v>
      </c>
      <c r="C60" s="110" t="s">
        <v>91</v>
      </c>
      <c r="D60" s="110" t="s">
        <v>60</v>
      </c>
      <c r="E60" s="122"/>
      <c r="F60" s="122"/>
      <c r="G60" s="123"/>
      <c r="I60" s="8" t="s">
        <v>3634</v>
      </c>
      <c r="J60" s="10">
        <v>3</v>
      </c>
      <c r="L60" s="20" t="s">
        <v>3675</v>
      </c>
    </row>
    <row r="61" spans="2:12">
      <c r="B61" s="129">
        <v>3</v>
      </c>
      <c r="C61" s="110" t="s">
        <v>91</v>
      </c>
      <c r="D61" s="110" t="s">
        <v>60</v>
      </c>
      <c r="E61" s="110" t="s">
        <v>409</v>
      </c>
      <c r="F61" s="122"/>
      <c r="G61" s="123"/>
      <c r="I61" s="8" t="s">
        <v>3638</v>
      </c>
      <c r="J61" s="10">
        <v>3</v>
      </c>
      <c r="L61" s="20" t="s">
        <v>3676</v>
      </c>
    </row>
    <row r="62" spans="2:12">
      <c r="B62" s="129">
        <v>4</v>
      </c>
      <c r="C62" s="110" t="s">
        <v>91</v>
      </c>
      <c r="D62" s="110" t="s">
        <v>60</v>
      </c>
      <c r="E62" s="110" t="s">
        <v>3630</v>
      </c>
      <c r="F62" s="110" t="s">
        <v>409</v>
      </c>
      <c r="G62" s="123"/>
      <c r="I62" s="8" t="s">
        <v>3677</v>
      </c>
      <c r="J62" s="10">
        <v>3</v>
      </c>
      <c r="L62" s="20" t="s">
        <v>3678</v>
      </c>
    </row>
    <row r="63" spans="2:12" ht="15" thickBot="1">
      <c r="B63" s="129">
        <v>5</v>
      </c>
      <c r="C63" s="110" t="s">
        <v>91</v>
      </c>
      <c r="D63" s="110" t="s">
        <v>60</v>
      </c>
      <c r="E63" s="110" t="s">
        <v>3630</v>
      </c>
      <c r="F63" s="110" t="s">
        <v>3634</v>
      </c>
      <c r="G63" s="114" t="s">
        <v>3638</v>
      </c>
      <c r="I63" s="13" t="s">
        <v>3679</v>
      </c>
      <c r="J63" s="22">
        <v>3</v>
      </c>
      <c r="L63" s="20" t="s">
        <v>3680</v>
      </c>
    </row>
    <row r="64" spans="2:12">
      <c r="B64" s="129">
        <v>6</v>
      </c>
      <c r="C64" s="110" t="s">
        <v>91</v>
      </c>
      <c r="D64" s="110" t="s">
        <v>3630</v>
      </c>
      <c r="E64" s="110" t="s">
        <v>3634</v>
      </c>
      <c r="F64" s="110" t="s">
        <v>3638</v>
      </c>
      <c r="G64" s="123"/>
      <c r="L64" s="20" t="s">
        <v>3681</v>
      </c>
    </row>
    <row r="65" spans="2:12">
      <c r="B65" s="129">
        <v>7</v>
      </c>
      <c r="C65" s="110" t="s">
        <v>91</v>
      </c>
      <c r="D65" s="110" t="s">
        <v>60</v>
      </c>
      <c r="E65" s="110" t="s">
        <v>3630</v>
      </c>
      <c r="F65" s="122"/>
      <c r="G65" s="123"/>
      <c r="L65" s="20" t="s">
        <v>3682</v>
      </c>
    </row>
    <row r="66" spans="2:12">
      <c r="B66" s="131">
        <v>8</v>
      </c>
      <c r="C66" s="110" t="s">
        <v>91</v>
      </c>
      <c r="D66" s="110" t="s">
        <v>3677</v>
      </c>
      <c r="E66" s="110" t="s">
        <v>3638</v>
      </c>
      <c r="F66" s="110" t="s">
        <v>3679</v>
      </c>
      <c r="G66" s="123"/>
      <c r="L66" s="20" t="s">
        <v>3683</v>
      </c>
    </row>
    <row r="67" spans="2:12">
      <c r="B67" s="131">
        <v>9</v>
      </c>
      <c r="C67" s="110" t="s">
        <v>91</v>
      </c>
      <c r="D67" s="110" t="s">
        <v>3630</v>
      </c>
      <c r="E67" s="110" t="s">
        <v>3634</v>
      </c>
      <c r="F67" s="110" t="s">
        <v>60</v>
      </c>
      <c r="G67" s="123"/>
      <c r="L67" s="20" t="s">
        <v>3684</v>
      </c>
    </row>
    <row r="68" spans="2:12">
      <c r="B68" s="121"/>
      <c r="C68" s="122"/>
      <c r="D68" s="122"/>
      <c r="E68" s="122"/>
      <c r="F68" s="122"/>
      <c r="G68" s="123"/>
      <c r="L68" s="20" t="s">
        <v>3685</v>
      </c>
    </row>
    <row r="69" spans="2:12" ht="15" thickBot="1">
      <c r="B69" s="125"/>
      <c r="C69" s="127"/>
      <c r="D69" s="127"/>
      <c r="E69" s="127"/>
      <c r="F69" s="127"/>
      <c r="G69" s="128"/>
      <c r="L69" s="21" t="s">
        <v>3686</v>
      </c>
    </row>
    <row r="76" spans="2:12">
      <c r="D76" s="142" t="s">
        <v>3687</v>
      </c>
      <c r="E76" s="142" t="s">
        <v>3688</v>
      </c>
    </row>
    <row r="77" spans="2:12">
      <c r="C77" s="110" t="s">
        <v>3689</v>
      </c>
      <c r="D77">
        <v>55</v>
      </c>
      <c r="E77">
        <v>0</v>
      </c>
    </row>
    <row r="78" spans="2:12">
      <c r="C78" s="122" t="s">
        <v>3690</v>
      </c>
      <c r="D78">
        <v>56</v>
      </c>
      <c r="E78">
        <v>0</v>
      </c>
    </row>
    <row r="79" spans="2:12">
      <c r="C79" s="122" t="s">
        <v>3691</v>
      </c>
      <c r="D79">
        <v>57</v>
      </c>
      <c r="E79">
        <v>15</v>
      </c>
    </row>
    <row r="80" spans="2:12">
      <c r="C80" s="110" t="s">
        <v>3692</v>
      </c>
      <c r="D80">
        <v>58</v>
      </c>
      <c r="E80">
        <v>16</v>
      </c>
    </row>
    <row r="81" spans="3:5">
      <c r="C81" s="122" t="s">
        <v>3693</v>
      </c>
      <c r="D81">
        <v>59</v>
      </c>
      <c r="E81">
        <v>17</v>
      </c>
    </row>
    <row r="82" spans="3:5">
      <c r="C82" s="110" t="s">
        <v>3694</v>
      </c>
      <c r="D82">
        <v>60</v>
      </c>
      <c r="E82">
        <v>25</v>
      </c>
    </row>
    <row r="83" spans="3:5">
      <c r="C83" s="122" t="s">
        <v>3695</v>
      </c>
      <c r="D83">
        <v>61</v>
      </c>
      <c r="E83">
        <v>26</v>
      </c>
    </row>
    <row r="84" spans="3:5">
      <c r="C84" s="122" t="s">
        <v>3696</v>
      </c>
      <c r="D84">
        <v>14</v>
      </c>
      <c r="E84">
        <v>68</v>
      </c>
    </row>
    <row r="85" spans="3:5">
      <c r="C85" s="122"/>
      <c r="E85">
        <v>69</v>
      </c>
    </row>
    <row r="86" spans="3:5">
      <c r="C86" s="122"/>
      <c r="E86">
        <v>78</v>
      </c>
    </row>
    <row r="87" spans="3:5">
      <c r="C87" s="122"/>
      <c r="E87">
        <v>79</v>
      </c>
    </row>
    <row r="88" spans="3:5">
      <c r="C88" s="122"/>
      <c r="E88">
        <v>38</v>
      </c>
    </row>
    <row r="89" spans="3:5">
      <c r="C89" s="122"/>
      <c r="E89">
        <v>44</v>
      </c>
    </row>
    <row r="90" spans="3:5">
      <c r="C90" s="141"/>
      <c r="E90">
        <v>1</v>
      </c>
    </row>
    <row r="91" spans="3:5">
      <c r="C91" s="141" t="s">
        <v>3697</v>
      </c>
    </row>
  </sheetData>
  <mergeCells count="5">
    <mergeCell ref="B2:D2"/>
    <mergeCell ref="F32:G32"/>
    <mergeCell ref="C41:E41"/>
    <mergeCell ref="C57:G57"/>
    <mergeCell ref="I57:J57"/>
  </mergeCells>
  <pageMargins left="0.7" right="0.7" top="0.75" bottom="0.75" header="0.3" footer="0.3"/>
  <customProperties>
    <customPr name="workbookAdvencedSettings" r:id="rId1"/>
    <customPr name="workbookExecutionSettings" r:id="rId2"/>
    <customPr name="workbookGatewaySettings"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3D206-C874-4290-9D9B-8B442B80EDCD}">
  <sheetPr codeName="Sheet9"/>
  <dimension ref="A1:DJ161"/>
  <sheetViews>
    <sheetView showGridLines="0" topLeftCell="K1" zoomScale="70" zoomScaleNormal="70" workbookViewId="0">
      <selection activeCell="CG75" sqref="CG75"/>
    </sheetView>
  </sheetViews>
  <sheetFormatPr defaultColWidth="9.453125" defaultRowHeight="14.5"/>
  <cols>
    <col min="1" max="1" width="9.453125" style="70"/>
    <col min="2" max="3" width="7.453125" style="70" customWidth="1"/>
    <col min="4" max="4" width="2.54296875" style="70" customWidth="1"/>
    <col min="5" max="5" width="9.453125" style="70"/>
    <col min="6" max="7" width="7.453125" style="70" customWidth="1"/>
    <col min="8" max="8" width="1.54296875" style="70" customWidth="1"/>
    <col min="9" max="9" width="9.453125" style="70"/>
    <col min="10" max="11" width="7.453125" style="70" customWidth="1"/>
    <col min="12" max="12" width="2.453125" style="70" customWidth="1"/>
    <col min="13" max="15" width="8.54296875" style="70" customWidth="1"/>
    <col min="16" max="16" width="2.54296875" style="70" customWidth="1"/>
    <col min="17" max="19" width="12" style="70" customWidth="1"/>
    <col min="20" max="20" width="2.453125" style="70" customWidth="1"/>
    <col min="21" max="23" width="6.54296875" style="365" customWidth="1"/>
    <col min="24" max="24" width="2.453125" style="70" customWidth="1"/>
    <col min="25" max="25" width="15.453125" style="365" customWidth="1"/>
    <col min="26" max="27" width="6.54296875" style="365" customWidth="1"/>
    <col min="28" max="28" width="2.453125" style="70" customWidth="1"/>
    <col min="29" max="31" width="6.54296875" style="365" customWidth="1"/>
    <col min="32" max="32" width="2.453125" style="70" customWidth="1"/>
    <col min="33" max="33" width="13.453125" style="365" bestFit="1" customWidth="1"/>
    <col min="34" max="35" width="6.54296875" style="365" customWidth="1"/>
    <col min="36" max="36" width="2.453125" style="70" customWidth="1"/>
    <col min="37" max="39" width="6.54296875" style="365" customWidth="1"/>
    <col min="40" max="40" width="1.54296875" style="70" customWidth="1"/>
    <col min="41" max="41" width="10.453125" style="70" customWidth="1"/>
    <col min="42" max="42" width="15.453125" style="70" customWidth="1"/>
    <col min="43" max="43" width="13" style="70" customWidth="1"/>
    <col min="44" max="44" width="1.54296875" style="70" customWidth="1"/>
    <col min="45" max="45" width="9.453125" style="70"/>
    <col min="46" max="46" width="13.453125" style="70" customWidth="1"/>
    <col min="47" max="47" width="12" style="70" customWidth="1"/>
    <col min="48" max="48" width="1.453125" style="70" customWidth="1"/>
    <col min="49" max="49" width="9.453125" style="70"/>
    <col min="50" max="50" width="13.453125" style="70" customWidth="1"/>
    <col min="51" max="51" width="12" style="70" customWidth="1"/>
    <col min="52" max="52" width="1.453125" style="70" customWidth="1"/>
    <col min="53" max="53" width="10.453125" style="70" customWidth="1"/>
    <col min="54" max="54" width="13.453125" style="70" customWidth="1"/>
    <col min="55" max="55" width="12" style="70" customWidth="1"/>
    <col min="56" max="56" width="0.54296875" style="70" customWidth="1"/>
    <col min="57" max="57" width="9.453125" style="70"/>
    <col min="58" max="58" width="13.453125" style="70" customWidth="1"/>
    <col min="59" max="59" width="12" style="70" customWidth="1"/>
    <col min="60" max="60" width="1.54296875" style="70" customWidth="1"/>
    <col min="61" max="63" width="9.453125" style="70"/>
    <col min="64" max="64" width="2.453125" style="70" customWidth="1"/>
    <col min="65" max="65" width="10.453125" style="70" customWidth="1"/>
    <col min="66" max="66" width="16.453125" style="70" customWidth="1"/>
    <col min="67" max="67" width="14.54296875" style="70" customWidth="1"/>
    <col min="68" max="68" width="2" style="70" customWidth="1"/>
    <col min="69" max="69" width="10.453125" style="70" customWidth="1"/>
    <col min="70" max="70" width="16.453125" style="70" customWidth="1"/>
    <col min="71" max="71" width="14.54296875" style="70" customWidth="1"/>
    <col min="72" max="72" width="2" style="70" customWidth="1"/>
    <col min="73" max="73" width="11.453125" style="70" customWidth="1"/>
    <col min="74" max="74" width="17" style="70" customWidth="1"/>
    <col min="75" max="75" width="15.54296875" style="70" customWidth="1"/>
    <col min="76" max="76" width="1" style="70" customWidth="1"/>
    <col min="77" max="77" width="10.54296875" style="70" customWidth="1"/>
    <col min="78" max="78" width="16" style="70" customWidth="1"/>
    <col min="79" max="79" width="14.453125" style="70" customWidth="1"/>
    <col min="80" max="80" width="9.453125" style="70"/>
    <col min="81" max="81" width="19.54296875" style="70" bestFit="1" customWidth="1"/>
    <col min="82" max="82" width="11.54296875" style="70" bestFit="1" customWidth="1"/>
    <col min="83" max="83" width="12.453125" style="70" bestFit="1" customWidth="1"/>
    <col min="84" max="84" width="9.453125" style="70"/>
    <col min="85" max="85" width="20" style="70" customWidth="1"/>
    <col min="86" max="86" width="9.453125" style="70"/>
    <col min="87" max="87" width="11.453125" style="70" customWidth="1"/>
    <col min="88" max="88" width="9.453125" style="70"/>
    <col min="89" max="90" width="12.453125" style="70" customWidth="1"/>
    <col min="91" max="91" width="9.453125" style="70"/>
    <col min="92" max="92" width="10.453125" style="70" customWidth="1"/>
    <col min="93" max="93" width="15.54296875" style="70" customWidth="1"/>
    <col min="94" max="94" width="13.453125" style="70" customWidth="1"/>
    <col min="95" max="95" width="9.453125" style="70"/>
    <col min="96" max="96" width="10.453125" style="70" customWidth="1"/>
    <col min="97" max="97" width="15.54296875" style="70" customWidth="1"/>
    <col min="98" max="98" width="13.453125" style="70" customWidth="1"/>
    <col min="99" max="99" width="9.453125" style="70"/>
    <col min="100" max="100" width="10.453125" style="70" customWidth="1"/>
    <col min="101" max="101" width="15.54296875" style="70" customWidth="1"/>
    <col min="102" max="102" width="13.453125" style="70" customWidth="1"/>
    <col min="103" max="103" width="9.453125" style="70"/>
    <col min="104" max="104" width="11" style="70" customWidth="1"/>
    <col min="105" max="105" width="19.54296875" style="70" customWidth="1"/>
    <col min="106" max="106" width="17.54296875" style="70" customWidth="1"/>
    <col min="107" max="107" width="9.453125" style="70"/>
    <col min="108" max="108" width="10.453125" style="70" customWidth="1"/>
    <col min="109" max="109" width="15.453125" style="70" customWidth="1"/>
    <col min="110" max="110" width="13.54296875" style="70" customWidth="1"/>
    <col min="111" max="111" width="9.453125" style="70"/>
    <col min="112" max="112" width="10.453125" style="70" customWidth="1"/>
    <col min="113" max="113" width="15.453125" style="70" customWidth="1"/>
    <col min="114" max="114" width="13.54296875" style="70" customWidth="1"/>
    <col min="115" max="16384" width="9.453125" style="70"/>
  </cols>
  <sheetData>
    <row r="1" spans="1:114" s="356" customFormat="1" ht="38.25" customHeight="1" thickBot="1">
      <c r="A1" s="545" t="s">
        <v>3698</v>
      </c>
      <c r="B1" s="546"/>
      <c r="C1" s="547"/>
      <c r="E1" s="542" t="s">
        <v>3699</v>
      </c>
      <c r="F1" s="548"/>
      <c r="G1" s="549"/>
      <c r="H1" s="378"/>
      <c r="I1" s="542" t="s">
        <v>3700</v>
      </c>
      <c r="J1" s="543"/>
      <c r="K1" s="544"/>
      <c r="L1" s="372"/>
      <c r="M1" s="542" t="s">
        <v>3701</v>
      </c>
      <c r="N1" s="548"/>
      <c r="O1" s="549"/>
      <c r="P1" s="378"/>
      <c r="Q1" s="542" t="s">
        <v>3702</v>
      </c>
      <c r="R1" s="543"/>
      <c r="S1" s="544"/>
      <c r="U1" s="542" t="s">
        <v>2177</v>
      </c>
      <c r="V1" s="543"/>
      <c r="W1" s="544"/>
      <c r="Y1" s="542" t="s">
        <v>3703</v>
      </c>
      <c r="Z1" s="543"/>
      <c r="AA1" s="544"/>
      <c r="AB1" s="136"/>
      <c r="AC1" s="542" t="s">
        <v>3704</v>
      </c>
      <c r="AD1" s="543"/>
      <c r="AE1" s="544"/>
      <c r="AF1" s="136"/>
      <c r="AG1" s="542" t="s">
        <v>3705</v>
      </c>
      <c r="AH1" s="543"/>
      <c r="AI1" s="544"/>
      <c r="AJ1" s="136"/>
      <c r="AK1" s="542" t="s">
        <v>3706</v>
      </c>
      <c r="AL1" s="543"/>
      <c r="AM1" s="544"/>
      <c r="AN1" s="373"/>
      <c r="AO1" s="553" t="s">
        <v>3707</v>
      </c>
      <c r="AP1" s="554"/>
      <c r="AQ1" s="555"/>
      <c r="AS1" s="556" t="s">
        <v>3708</v>
      </c>
      <c r="AT1" s="557"/>
      <c r="AU1" s="558"/>
      <c r="AV1" s="374"/>
      <c r="AW1" s="556" t="s">
        <v>3709</v>
      </c>
      <c r="AX1" s="557"/>
      <c r="AY1" s="558"/>
      <c r="AZ1" s="370"/>
      <c r="BA1" s="570" t="s">
        <v>3710</v>
      </c>
      <c r="BB1" s="571"/>
      <c r="BC1" s="572"/>
      <c r="BD1" s="377"/>
      <c r="BE1" s="570" t="s">
        <v>3711</v>
      </c>
      <c r="BF1" s="571"/>
      <c r="BG1" s="572"/>
      <c r="BI1" s="550" t="s">
        <v>3712</v>
      </c>
      <c r="BJ1" s="551"/>
      <c r="BK1" s="552"/>
      <c r="BM1" s="550" t="s">
        <v>3713</v>
      </c>
      <c r="BN1" s="551"/>
      <c r="BO1" s="552"/>
      <c r="BP1" s="374"/>
      <c r="BQ1" s="550" t="s">
        <v>3714</v>
      </c>
      <c r="BR1" s="551"/>
      <c r="BS1" s="552"/>
      <c r="BT1" s="370"/>
      <c r="BU1" s="563" t="s">
        <v>3715</v>
      </c>
      <c r="BV1" s="564"/>
      <c r="BW1" s="565"/>
      <c r="BX1" s="377"/>
      <c r="BY1" s="563" t="s">
        <v>3716</v>
      </c>
      <c r="BZ1" s="564"/>
      <c r="CA1" s="565"/>
      <c r="CG1" s="70"/>
      <c r="CH1" s="70"/>
      <c r="CI1" s="70"/>
      <c r="CN1" s="560" t="s">
        <v>3717</v>
      </c>
      <c r="CO1" s="561"/>
      <c r="CP1" s="562"/>
      <c r="CR1" s="567" t="s">
        <v>3718</v>
      </c>
      <c r="CS1" s="568"/>
      <c r="CT1" s="569"/>
      <c r="CU1" s="357"/>
      <c r="CV1" s="567" t="s">
        <v>3719</v>
      </c>
      <c r="CW1" s="568"/>
      <c r="CX1" s="569"/>
      <c r="CZ1" s="560" t="s">
        <v>3541</v>
      </c>
      <c r="DA1" s="561"/>
      <c r="DB1" s="562"/>
      <c r="DD1" s="560" t="s">
        <v>3720</v>
      </c>
      <c r="DE1" s="561"/>
      <c r="DF1" s="562"/>
      <c r="DG1" s="357"/>
      <c r="DH1" s="560" t="s">
        <v>3721</v>
      </c>
      <c r="DI1" s="561"/>
      <c r="DJ1" s="562"/>
    </row>
    <row r="2" spans="1:114" ht="39" customHeight="1">
      <c r="A2" s="375" t="s">
        <v>69</v>
      </c>
      <c r="B2" s="375" t="s">
        <v>559</v>
      </c>
      <c r="C2" s="375" t="s">
        <v>115</v>
      </c>
      <c r="E2" s="375" t="s">
        <v>69</v>
      </c>
      <c r="F2" s="375" t="s">
        <v>559</v>
      </c>
      <c r="G2" s="375" t="s">
        <v>115</v>
      </c>
      <c r="I2" s="375" t="s">
        <v>69</v>
      </c>
      <c r="J2" s="375" t="s">
        <v>559</v>
      </c>
      <c r="K2" s="375" t="s">
        <v>115</v>
      </c>
      <c r="L2" s="102"/>
      <c r="M2" s="375" t="s">
        <v>69</v>
      </c>
      <c r="N2" s="375" t="s">
        <v>559</v>
      </c>
      <c r="O2" s="375" t="s">
        <v>115</v>
      </c>
      <c r="Q2" s="375" t="s">
        <v>69</v>
      </c>
      <c r="R2" s="375" t="s">
        <v>559</v>
      </c>
      <c r="S2" s="375" t="s">
        <v>115</v>
      </c>
      <c r="T2" s="359"/>
      <c r="U2" s="360" t="s">
        <v>69</v>
      </c>
      <c r="V2" s="102" t="s">
        <v>559</v>
      </c>
      <c r="W2" s="102" t="s">
        <v>115</v>
      </c>
      <c r="X2" s="359"/>
      <c r="Y2" s="360" t="s">
        <v>69</v>
      </c>
      <c r="Z2" s="102" t="s">
        <v>559</v>
      </c>
      <c r="AA2" s="102" t="s">
        <v>115</v>
      </c>
      <c r="AB2" s="102"/>
      <c r="AC2" s="360" t="s">
        <v>69</v>
      </c>
      <c r="AD2" s="102" t="s">
        <v>559</v>
      </c>
      <c r="AE2" s="102" t="s">
        <v>115</v>
      </c>
      <c r="AF2" s="102"/>
      <c r="AG2" s="360" t="s">
        <v>69</v>
      </c>
      <c r="AH2" s="102" t="s">
        <v>559</v>
      </c>
      <c r="AI2" s="102" t="s">
        <v>115</v>
      </c>
      <c r="AJ2" s="102"/>
      <c r="AK2" s="360" t="s">
        <v>69</v>
      </c>
      <c r="AL2" s="102" t="s">
        <v>559</v>
      </c>
      <c r="AM2" s="102" t="s">
        <v>115</v>
      </c>
      <c r="AN2" s="102"/>
      <c r="AO2" s="375" t="s">
        <v>69</v>
      </c>
      <c r="AP2" s="376" t="s">
        <v>559</v>
      </c>
      <c r="AQ2" s="376" t="s">
        <v>115</v>
      </c>
      <c r="AS2" s="375" t="s">
        <v>69</v>
      </c>
      <c r="AT2" s="376" t="s">
        <v>559</v>
      </c>
      <c r="AU2" s="376" t="s">
        <v>115</v>
      </c>
      <c r="AV2" s="359"/>
      <c r="AW2" s="375" t="s">
        <v>69</v>
      </c>
      <c r="AX2" s="376" t="s">
        <v>559</v>
      </c>
      <c r="AY2" s="376" t="s">
        <v>115</v>
      </c>
      <c r="AZ2" s="102"/>
      <c r="BA2" s="375" t="s">
        <v>69</v>
      </c>
      <c r="BB2" s="376" t="s">
        <v>559</v>
      </c>
      <c r="BC2" s="376" t="s">
        <v>115</v>
      </c>
      <c r="BD2" s="102"/>
      <c r="BE2" s="375" t="s">
        <v>69</v>
      </c>
      <c r="BF2" s="376" t="s">
        <v>559</v>
      </c>
      <c r="BG2" s="376" t="s">
        <v>115</v>
      </c>
      <c r="BI2" s="375" t="s">
        <v>69</v>
      </c>
      <c r="BJ2" s="376" t="s">
        <v>559</v>
      </c>
      <c r="BK2" s="376" t="s">
        <v>115</v>
      </c>
      <c r="BM2" s="375" t="s">
        <v>69</v>
      </c>
      <c r="BN2" s="376" t="s">
        <v>559</v>
      </c>
      <c r="BO2" s="376" t="s">
        <v>115</v>
      </c>
      <c r="BP2" s="359"/>
      <c r="BQ2" s="375" t="s">
        <v>69</v>
      </c>
      <c r="BR2" s="376" t="s">
        <v>559</v>
      </c>
      <c r="BS2" s="376" t="s">
        <v>115</v>
      </c>
      <c r="BT2" s="102"/>
      <c r="BU2" s="375" t="s">
        <v>3722</v>
      </c>
      <c r="BV2" s="376" t="s">
        <v>559</v>
      </c>
      <c r="BW2" s="376" t="s">
        <v>115</v>
      </c>
      <c r="BX2" s="102"/>
      <c r="BY2" s="375" t="s">
        <v>69</v>
      </c>
      <c r="BZ2" s="376" t="s">
        <v>559</v>
      </c>
      <c r="CA2" s="376" t="s">
        <v>115</v>
      </c>
      <c r="CC2" s="361" t="s">
        <v>111</v>
      </c>
      <c r="CD2" s="361" t="s">
        <v>3723</v>
      </c>
      <c r="CE2" s="362" t="s">
        <v>3724</v>
      </c>
      <c r="CK2" s="70" t="s">
        <v>71</v>
      </c>
      <c r="CL2" s="70" t="s">
        <v>3725</v>
      </c>
      <c r="CN2" s="358" t="s">
        <v>69</v>
      </c>
      <c r="CO2" s="102" t="s">
        <v>559</v>
      </c>
      <c r="CP2" s="102" t="s">
        <v>115</v>
      </c>
      <c r="CR2" s="358" t="s">
        <v>69</v>
      </c>
      <c r="CS2" s="102" t="s">
        <v>559</v>
      </c>
      <c r="CT2" s="102" t="s">
        <v>115</v>
      </c>
      <c r="CU2" s="359"/>
      <c r="CV2" s="358" t="s">
        <v>69</v>
      </c>
      <c r="CW2" s="102" t="s">
        <v>559</v>
      </c>
      <c r="CX2" s="102" t="s">
        <v>115</v>
      </c>
      <c r="CZ2" s="70" t="s">
        <v>69</v>
      </c>
      <c r="DA2" s="70" t="s">
        <v>559</v>
      </c>
      <c r="DB2" s="70" t="s">
        <v>115</v>
      </c>
      <c r="DD2" s="70" t="s">
        <v>69</v>
      </c>
      <c r="DE2" s="70" t="s">
        <v>559</v>
      </c>
      <c r="DF2" s="70" t="s">
        <v>115</v>
      </c>
      <c r="DH2" s="70" t="s">
        <v>69</v>
      </c>
      <c r="DI2" s="70" t="s">
        <v>559</v>
      </c>
      <c r="DJ2" s="70" t="s">
        <v>115</v>
      </c>
    </row>
    <row r="3" spans="1:114">
      <c r="A3" s="441" t="s">
        <v>576</v>
      </c>
      <c r="B3" s="441">
        <v>1</v>
      </c>
      <c r="C3" s="441">
        <v>1</v>
      </c>
      <c r="E3" s="446" t="s">
        <v>576</v>
      </c>
      <c r="F3" s="446">
        <v>1</v>
      </c>
      <c r="G3" s="446">
        <v>1</v>
      </c>
      <c r="I3" s="446" t="s">
        <v>1290</v>
      </c>
      <c r="J3" s="446">
        <v>35</v>
      </c>
      <c r="K3" s="446">
        <v>50</v>
      </c>
      <c r="L3" s="359"/>
      <c r="M3" s="441" t="s">
        <v>576</v>
      </c>
      <c r="N3" s="441">
        <v>1</v>
      </c>
      <c r="O3" s="441">
        <v>1</v>
      </c>
      <c r="Q3" s="441" t="s">
        <v>1645</v>
      </c>
      <c r="R3" s="441">
        <v>4</v>
      </c>
      <c r="S3" s="441">
        <v>7</v>
      </c>
      <c r="T3" s="359"/>
      <c r="U3" s="448" t="s">
        <v>576</v>
      </c>
      <c r="V3" s="448">
        <v>1</v>
      </c>
      <c r="W3" s="448">
        <v>1</v>
      </c>
      <c r="X3" s="359"/>
      <c r="Y3" s="442" t="s">
        <v>576</v>
      </c>
      <c r="Z3" s="442">
        <v>1</v>
      </c>
      <c r="AA3" s="442">
        <v>1</v>
      </c>
      <c r="AB3" s="359"/>
      <c r="AC3" s="442" t="s">
        <v>1853</v>
      </c>
      <c r="AD3" s="442">
        <v>58</v>
      </c>
      <c r="AE3" s="442">
        <v>22</v>
      </c>
      <c r="AF3" s="359"/>
      <c r="AG3" s="448" t="s">
        <v>576</v>
      </c>
      <c r="AH3" s="448">
        <v>1</v>
      </c>
      <c r="AI3" s="448">
        <v>1</v>
      </c>
      <c r="AJ3" s="359"/>
      <c r="AK3" s="448" t="s">
        <v>579</v>
      </c>
      <c r="AL3" s="448">
        <v>29</v>
      </c>
      <c r="AM3" s="448">
        <v>49</v>
      </c>
      <c r="AN3" s="359"/>
      <c r="AO3" s="441" t="s">
        <v>576</v>
      </c>
      <c r="AP3" s="443">
        <v>1</v>
      </c>
      <c r="AQ3" s="443">
        <v>1</v>
      </c>
      <c r="AS3" s="441" t="s">
        <v>576</v>
      </c>
      <c r="AT3" s="442">
        <v>1</v>
      </c>
      <c r="AU3" s="442">
        <v>1</v>
      </c>
      <c r="AV3" s="359"/>
      <c r="AW3" s="442" t="s">
        <v>630</v>
      </c>
      <c r="AX3" s="442">
        <v>11</v>
      </c>
      <c r="AY3" s="97">
        <v>13</v>
      </c>
      <c r="AZ3" s="359"/>
      <c r="BA3" s="441" t="s">
        <v>576</v>
      </c>
      <c r="BB3" s="448">
        <v>1</v>
      </c>
      <c r="BC3" s="448">
        <v>1</v>
      </c>
      <c r="BD3" s="359"/>
      <c r="BE3" s="441" t="s">
        <v>630</v>
      </c>
      <c r="BF3" s="448">
        <v>10</v>
      </c>
      <c r="BG3" s="448">
        <v>13</v>
      </c>
      <c r="BI3" s="441" t="s">
        <v>576</v>
      </c>
      <c r="BJ3" s="441">
        <v>1</v>
      </c>
      <c r="BK3" s="441">
        <v>1</v>
      </c>
      <c r="BM3" s="442" t="s">
        <v>576</v>
      </c>
      <c r="BN3" s="442">
        <v>1</v>
      </c>
      <c r="BO3" s="442">
        <v>1</v>
      </c>
      <c r="BP3" s="359"/>
      <c r="BQ3" s="442" t="s">
        <v>630</v>
      </c>
      <c r="BR3" s="442">
        <v>48</v>
      </c>
      <c r="BS3" s="442">
        <v>12</v>
      </c>
      <c r="BT3" s="359"/>
      <c r="BU3" s="441" t="s">
        <v>576</v>
      </c>
      <c r="BV3" s="441">
        <v>1</v>
      </c>
      <c r="BW3" s="441">
        <v>1</v>
      </c>
      <c r="BX3" s="359"/>
      <c r="BY3" s="442" t="s">
        <v>630</v>
      </c>
      <c r="BZ3" s="442">
        <v>12</v>
      </c>
      <c r="CA3" s="442">
        <v>12</v>
      </c>
      <c r="CC3" s="70" t="s">
        <v>3726</v>
      </c>
      <c r="CD3" s="365">
        <v>436</v>
      </c>
      <c r="CE3" s="70" t="s">
        <v>3727</v>
      </c>
      <c r="CK3" s="70" t="s">
        <v>3728</v>
      </c>
      <c r="CL3" s="70" t="s">
        <v>3729</v>
      </c>
      <c r="CN3" s="441" t="s">
        <v>576</v>
      </c>
      <c r="CO3" s="441">
        <v>1</v>
      </c>
      <c r="CP3" s="441">
        <v>1</v>
      </c>
      <c r="CR3" s="441" t="s">
        <v>576</v>
      </c>
      <c r="CS3" s="441">
        <v>1</v>
      </c>
      <c r="CT3" s="441">
        <v>1</v>
      </c>
      <c r="CU3" s="359"/>
      <c r="CV3" s="441" t="s">
        <v>630</v>
      </c>
      <c r="CW3" s="441">
        <v>12</v>
      </c>
      <c r="CX3" s="441">
        <v>12</v>
      </c>
      <c r="CZ3" s="70" t="s">
        <v>576</v>
      </c>
      <c r="DA3" s="70">
        <v>1</v>
      </c>
      <c r="DB3" s="70">
        <v>1</v>
      </c>
      <c r="DD3" s="70" t="s">
        <v>576</v>
      </c>
      <c r="DE3" s="70">
        <v>1</v>
      </c>
      <c r="DF3" s="70">
        <v>1</v>
      </c>
      <c r="DH3" s="70" t="s">
        <v>579</v>
      </c>
      <c r="DI3" s="70">
        <v>40</v>
      </c>
      <c r="DJ3" s="70">
        <v>42</v>
      </c>
    </row>
    <row r="4" spans="1:114" ht="15" thickBot="1">
      <c r="A4" s="441" t="s">
        <v>589</v>
      </c>
      <c r="B4" s="441">
        <v>2</v>
      </c>
      <c r="C4" s="441">
        <v>2</v>
      </c>
      <c r="E4" s="446" t="s">
        <v>589</v>
      </c>
      <c r="F4" s="446">
        <v>2</v>
      </c>
      <c r="G4" s="446">
        <v>2</v>
      </c>
      <c r="I4" s="446" t="s">
        <v>991</v>
      </c>
      <c r="J4" s="446">
        <v>64</v>
      </c>
      <c r="K4" s="446">
        <v>55</v>
      </c>
      <c r="L4" s="359"/>
      <c r="M4" s="441" t="s">
        <v>589</v>
      </c>
      <c r="N4" s="441">
        <v>2</v>
      </c>
      <c r="O4" s="441">
        <v>2</v>
      </c>
      <c r="Q4" s="359"/>
      <c r="R4" s="359"/>
      <c r="S4" s="359"/>
      <c r="T4" s="359"/>
      <c r="U4" s="448" t="s">
        <v>589</v>
      </c>
      <c r="V4" s="448">
        <v>2</v>
      </c>
      <c r="W4" s="448">
        <v>2</v>
      </c>
      <c r="X4" s="359"/>
      <c r="Y4" s="442" t="s">
        <v>589</v>
      </c>
      <c r="Z4" s="442">
        <v>2</v>
      </c>
      <c r="AA4" s="442">
        <v>2</v>
      </c>
      <c r="AB4" s="359"/>
      <c r="AC4" s="442" t="s">
        <v>823</v>
      </c>
      <c r="AD4" s="442">
        <v>56</v>
      </c>
      <c r="AE4" s="442">
        <v>38</v>
      </c>
      <c r="AF4" s="359"/>
      <c r="AG4" s="448" t="s">
        <v>589</v>
      </c>
      <c r="AH4" s="448">
        <v>2</v>
      </c>
      <c r="AI4" s="448">
        <v>2</v>
      </c>
      <c r="AJ4" s="359"/>
      <c r="AK4" s="448" t="s">
        <v>1928</v>
      </c>
      <c r="AL4" s="448">
        <v>33</v>
      </c>
      <c r="AM4" s="448">
        <v>23</v>
      </c>
      <c r="AN4" s="359"/>
      <c r="AO4" s="441" t="s">
        <v>589</v>
      </c>
      <c r="AP4" s="443">
        <v>2</v>
      </c>
      <c r="AQ4" s="443">
        <v>2</v>
      </c>
      <c r="AS4" s="441" t="s">
        <v>589</v>
      </c>
      <c r="AT4" s="442">
        <v>2</v>
      </c>
      <c r="AU4" s="442">
        <v>2</v>
      </c>
      <c r="AV4" s="359"/>
      <c r="AW4" s="442" t="s">
        <v>823</v>
      </c>
      <c r="AX4" s="442">
        <v>22</v>
      </c>
      <c r="AY4" s="97">
        <v>25</v>
      </c>
      <c r="AZ4" s="359"/>
      <c r="BA4" s="441" t="s">
        <v>589</v>
      </c>
      <c r="BB4" s="448">
        <v>2</v>
      </c>
      <c r="BC4" s="448">
        <v>2</v>
      </c>
      <c r="BD4" s="359"/>
      <c r="BE4" s="441" t="s">
        <v>803</v>
      </c>
      <c r="BF4" s="448">
        <v>11</v>
      </c>
      <c r="BG4" s="448">
        <v>14</v>
      </c>
      <c r="BI4" s="441" t="s">
        <v>589</v>
      </c>
      <c r="BJ4" s="441">
        <v>2</v>
      </c>
      <c r="BK4" s="441">
        <v>2</v>
      </c>
      <c r="BM4" s="442" t="s">
        <v>589</v>
      </c>
      <c r="BN4" s="442">
        <v>2</v>
      </c>
      <c r="BO4" s="442">
        <v>2</v>
      </c>
      <c r="BP4" s="359"/>
      <c r="BQ4" s="442" t="s">
        <v>669</v>
      </c>
      <c r="BR4" s="442">
        <v>21</v>
      </c>
      <c r="BS4" s="442">
        <v>21</v>
      </c>
      <c r="BT4" s="359"/>
      <c r="BU4" s="441" t="s">
        <v>589</v>
      </c>
      <c r="BV4" s="441">
        <v>2</v>
      </c>
      <c r="BW4" s="441">
        <v>2</v>
      </c>
      <c r="BX4" s="359"/>
      <c r="BY4" s="442" t="s">
        <v>803</v>
      </c>
      <c r="BZ4" s="442">
        <v>13</v>
      </c>
      <c r="CA4" s="442">
        <v>13</v>
      </c>
      <c r="CC4" s="70" t="s">
        <v>3730</v>
      </c>
      <c r="CD4" s="365" t="s">
        <v>3731</v>
      </c>
      <c r="CE4" s="70" t="s">
        <v>3732</v>
      </c>
      <c r="CK4" s="70" t="s">
        <v>3733</v>
      </c>
      <c r="CL4" s="70" t="s">
        <v>3734</v>
      </c>
      <c r="CN4" s="441" t="s">
        <v>589</v>
      </c>
      <c r="CO4" s="441">
        <v>2</v>
      </c>
      <c r="CP4" s="441">
        <v>2</v>
      </c>
      <c r="CR4" s="441" t="s">
        <v>589</v>
      </c>
      <c r="CS4" s="441">
        <v>2</v>
      </c>
      <c r="CT4" s="441">
        <v>2</v>
      </c>
      <c r="CU4" s="359"/>
      <c r="CV4" s="441" t="s">
        <v>579</v>
      </c>
      <c r="CW4" s="441">
        <v>27</v>
      </c>
      <c r="CX4" s="441">
        <v>27</v>
      </c>
      <c r="CZ4" s="70" t="s">
        <v>589</v>
      </c>
      <c r="DA4" s="70">
        <v>2</v>
      </c>
      <c r="DB4" s="70">
        <v>2</v>
      </c>
      <c r="DD4" s="70" t="s">
        <v>589</v>
      </c>
      <c r="DE4" s="70">
        <v>2</v>
      </c>
      <c r="DF4" s="70">
        <v>2</v>
      </c>
      <c r="DH4" s="70" t="s">
        <v>1869</v>
      </c>
      <c r="DI4" s="70">
        <v>45</v>
      </c>
      <c r="DJ4" s="70">
        <v>45</v>
      </c>
    </row>
    <row r="5" spans="1:114" ht="15.5" thickTop="1" thickBot="1">
      <c r="A5" s="441" t="s">
        <v>598</v>
      </c>
      <c r="B5" s="441">
        <v>3</v>
      </c>
      <c r="C5" s="441">
        <v>3</v>
      </c>
      <c r="E5" s="446" t="s">
        <v>598</v>
      </c>
      <c r="F5" s="446">
        <v>3</v>
      </c>
      <c r="G5" s="446">
        <v>3</v>
      </c>
      <c r="I5" s="446" t="s">
        <v>1004</v>
      </c>
      <c r="J5" s="446">
        <v>65</v>
      </c>
      <c r="K5" s="446">
        <v>56</v>
      </c>
      <c r="L5" s="359"/>
      <c r="M5" s="441" t="s">
        <v>598</v>
      </c>
      <c r="N5" s="441">
        <v>3</v>
      </c>
      <c r="O5" s="441">
        <v>3</v>
      </c>
      <c r="Q5" s="359"/>
      <c r="R5" s="359"/>
      <c r="S5" s="359"/>
      <c r="T5" s="359"/>
      <c r="U5" s="448" t="s">
        <v>598</v>
      </c>
      <c r="V5" s="448">
        <v>3</v>
      </c>
      <c r="W5" s="448">
        <v>3</v>
      </c>
      <c r="X5" s="359"/>
      <c r="Y5" s="442" t="s">
        <v>598</v>
      </c>
      <c r="Z5" s="442">
        <v>3</v>
      </c>
      <c r="AA5" s="442">
        <v>3</v>
      </c>
      <c r="AB5" s="359"/>
      <c r="AC5" s="442" t="s">
        <v>1591</v>
      </c>
      <c r="AD5" s="442">
        <v>57</v>
      </c>
      <c r="AE5" s="442">
        <v>39</v>
      </c>
      <c r="AF5" s="359"/>
      <c r="AG5" s="448" t="s">
        <v>598</v>
      </c>
      <c r="AH5" s="448">
        <v>3</v>
      </c>
      <c r="AI5" s="448">
        <v>3</v>
      </c>
      <c r="AJ5" s="359"/>
      <c r="AK5" s="448" t="s">
        <v>1853</v>
      </c>
      <c r="AL5" s="448">
        <v>35</v>
      </c>
      <c r="AM5" s="448">
        <v>22</v>
      </c>
      <c r="AN5" s="359"/>
      <c r="AO5" s="441" t="s">
        <v>598</v>
      </c>
      <c r="AP5" s="443">
        <v>3</v>
      </c>
      <c r="AQ5" s="443">
        <v>3</v>
      </c>
      <c r="AS5" s="441" t="s">
        <v>598</v>
      </c>
      <c r="AT5" s="442">
        <v>3</v>
      </c>
      <c r="AU5" s="442">
        <v>3</v>
      </c>
      <c r="AV5" s="359"/>
      <c r="AW5" s="442" t="s">
        <v>579</v>
      </c>
      <c r="AX5" s="442">
        <v>36</v>
      </c>
      <c r="AY5" s="454">
        <v>28</v>
      </c>
      <c r="AZ5" s="359"/>
      <c r="BA5" s="441" t="s">
        <v>598</v>
      </c>
      <c r="BB5" s="448">
        <v>3</v>
      </c>
      <c r="BC5" s="448">
        <v>3</v>
      </c>
      <c r="BD5" s="359"/>
      <c r="BE5" s="441" t="s">
        <v>579</v>
      </c>
      <c r="BF5" s="448">
        <v>27</v>
      </c>
      <c r="BG5" s="448">
        <v>28</v>
      </c>
      <c r="BI5" s="441" t="s">
        <v>598</v>
      </c>
      <c r="BJ5" s="441">
        <v>3</v>
      </c>
      <c r="BK5" s="441">
        <v>3</v>
      </c>
      <c r="BM5" s="442" t="s">
        <v>598</v>
      </c>
      <c r="BN5" s="442">
        <v>3</v>
      </c>
      <c r="BO5" s="442">
        <v>3</v>
      </c>
      <c r="BP5" s="359"/>
      <c r="BQ5" s="442" t="s">
        <v>688</v>
      </c>
      <c r="BR5" s="442">
        <v>23</v>
      </c>
      <c r="BS5" s="442">
        <v>22</v>
      </c>
      <c r="BT5" s="359"/>
      <c r="BU5" s="441" t="s">
        <v>598</v>
      </c>
      <c r="BV5" s="441">
        <v>3</v>
      </c>
      <c r="BW5" s="441">
        <v>3</v>
      </c>
      <c r="BX5" s="359"/>
      <c r="BY5" s="442" t="s">
        <v>810</v>
      </c>
      <c r="BZ5" s="442">
        <v>14</v>
      </c>
      <c r="CA5" s="442">
        <v>14</v>
      </c>
      <c r="CC5" s="70" t="s">
        <v>3735</v>
      </c>
      <c r="CD5" s="365" t="s">
        <v>3736</v>
      </c>
      <c r="CE5" s="70" t="s">
        <v>3737</v>
      </c>
      <c r="CH5" s="365"/>
      <c r="CI5" s="361"/>
      <c r="CK5" s="70" t="s">
        <v>3738</v>
      </c>
      <c r="CL5" s="70" t="s">
        <v>3729</v>
      </c>
      <c r="CN5" s="441" t="s">
        <v>598</v>
      </c>
      <c r="CO5" s="441">
        <v>3</v>
      </c>
      <c r="CP5" s="441">
        <v>3</v>
      </c>
      <c r="CR5" s="441" t="s">
        <v>598</v>
      </c>
      <c r="CS5" s="441">
        <v>3</v>
      </c>
      <c r="CT5" s="441">
        <v>3</v>
      </c>
      <c r="CU5" s="359"/>
      <c r="CV5" s="441" t="s">
        <v>592</v>
      </c>
      <c r="CW5" s="441">
        <v>28</v>
      </c>
      <c r="CX5" s="441">
        <v>28</v>
      </c>
      <c r="CZ5" s="70" t="s">
        <v>598</v>
      </c>
      <c r="DA5" s="70">
        <v>3</v>
      </c>
      <c r="DB5" s="70">
        <v>3</v>
      </c>
      <c r="DD5" s="70" t="s">
        <v>598</v>
      </c>
      <c r="DE5" s="70">
        <v>3</v>
      </c>
      <c r="DF5" s="70">
        <v>3</v>
      </c>
      <c r="DH5" s="70" t="s">
        <v>3739</v>
      </c>
      <c r="DI5" s="70">
        <v>46</v>
      </c>
      <c r="DJ5" s="70">
        <v>46</v>
      </c>
    </row>
    <row r="6" spans="1:114" ht="15" thickTop="1">
      <c r="A6" s="441" t="s">
        <v>607</v>
      </c>
      <c r="B6" s="441">
        <v>62</v>
      </c>
      <c r="C6" s="441">
        <v>4</v>
      </c>
      <c r="E6" s="446" t="s">
        <v>607</v>
      </c>
      <c r="F6" s="446">
        <v>69</v>
      </c>
      <c r="G6" s="446">
        <v>4</v>
      </c>
      <c r="I6" s="446" t="s">
        <v>1020</v>
      </c>
      <c r="J6" s="446">
        <v>66</v>
      </c>
      <c r="K6" s="446">
        <v>57</v>
      </c>
      <c r="L6" s="359"/>
      <c r="M6" s="441" t="s">
        <v>607</v>
      </c>
      <c r="N6" s="441">
        <v>63</v>
      </c>
      <c r="O6" s="441">
        <v>4</v>
      </c>
      <c r="Q6" s="359"/>
      <c r="R6" s="359"/>
      <c r="S6" s="359"/>
      <c r="T6" s="359"/>
      <c r="U6" s="448" t="s">
        <v>607</v>
      </c>
      <c r="V6" s="448">
        <v>4</v>
      </c>
      <c r="W6" s="448">
        <v>4</v>
      </c>
      <c r="X6" s="359"/>
      <c r="Y6" s="442" t="s">
        <v>607</v>
      </c>
      <c r="Z6" s="442">
        <v>4</v>
      </c>
      <c r="AA6" s="442">
        <v>4</v>
      </c>
      <c r="AB6" s="359"/>
      <c r="AC6" s="442" t="s">
        <v>1859</v>
      </c>
      <c r="AD6" s="442">
        <v>29</v>
      </c>
      <c r="AE6" s="442">
        <v>40</v>
      </c>
      <c r="AF6" s="359"/>
      <c r="AG6" s="448" t="s">
        <v>607</v>
      </c>
      <c r="AH6" s="448">
        <v>4</v>
      </c>
      <c r="AI6" s="448">
        <v>4</v>
      </c>
      <c r="AJ6" s="359"/>
      <c r="AK6" s="448" t="s">
        <v>731</v>
      </c>
      <c r="AL6" s="448">
        <v>46</v>
      </c>
      <c r="AM6" s="448">
        <v>59</v>
      </c>
      <c r="AN6" s="359"/>
      <c r="AO6" s="441" t="s">
        <v>607</v>
      </c>
      <c r="AP6" s="443">
        <v>68</v>
      </c>
      <c r="AQ6" s="443">
        <v>4</v>
      </c>
      <c r="AS6" s="441" t="s">
        <v>607</v>
      </c>
      <c r="AT6" s="442">
        <v>91</v>
      </c>
      <c r="AU6" s="442">
        <v>4</v>
      </c>
      <c r="AV6" s="359"/>
      <c r="AW6" s="442" t="s">
        <v>731</v>
      </c>
      <c r="AX6" s="442">
        <v>61</v>
      </c>
      <c r="AY6" s="97">
        <v>41</v>
      </c>
      <c r="AZ6" s="359"/>
      <c r="BA6" s="441" t="s">
        <v>638</v>
      </c>
      <c r="BB6" s="448">
        <v>4</v>
      </c>
      <c r="BC6" s="448">
        <v>7</v>
      </c>
      <c r="BD6" s="359"/>
      <c r="BE6" s="441" t="s">
        <v>1191</v>
      </c>
      <c r="BF6" s="448">
        <v>63</v>
      </c>
      <c r="BG6" s="448">
        <v>57</v>
      </c>
      <c r="BI6" s="441" t="s">
        <v>607</v>
      </c>
      <c r="BJ6" s="441">
        <v>39</v>
      </c>
      <c r="BK6" s="441">
        <v>4</v>
      </c>
      <c r="BM6" s="442" t="s">
        <v>607</v>
      </c>
      <c r="BN6" s="442">
        <v>4</v>
      </c>
      <c r="BO6" s="442">
        <v>4</v>
      </c>
      <c r="BP6" s="359"/>
      <c r="BQ6" s="442" t="s">
        <v>703</v>
      </c>
      <c r="BR6" s="442">
        <v>22</v>
      </c>
      <c r="BS6" s="442">
        <v>23</v>
      </c>
      <c r="BT6" s="359"/>
      <c r="BU6" s="441" t="s">
        <v>607</v>
      </c>
      <c r="BV6" s="441">
        <v>4</v>
      </c>
      <c r="BW6" s="441">
        <v>4</v>
      </c>
      <c r="BX6" s="359"/>
      <c r="BY6" s="442" t="s">
        <v>823</v>
      </c>
      <c r="BZ6" s="442">
        <v>31</v>
      </c>
      <c r="CA6" s="442">
        <v>31</v>
      </c>
      <c r="CC6" s="70" t="s">
        <v>3740</v>
      </c>
      <c r="CD6" s="365">
        <v>401</v>
      </c>
      <c r="CE6" s="70" t="s">
        <v>3741</v>
      </c>
      <c r="CH6" s="365"/>
      <c r="CI6" s="361"/>
      <c r="CK6" s="70" t="s">
        <v>3742</v>
      </c>
      <c r="CL6" s="70" t="s">
        <v>3734</v>
      </c>
      <c r="CN6" s="441" t="s">
        <v>607</v>
      </c>
      <c r="CO6" s="441">
        <v>4</v>
      </c>
      <c r="CP6" s="441">
        <v>4</v>
      </c>
      <c r="CR6" s="441" t="s">
        <v>607</v>
      </c>
      <c r="CS6" s="441">
        <v>4</v>
      </c>
      <c r="CT6" s="441">
        <v>4</v>
      </c>
      <c r="CU6" s="359"/>
      <c r="CV6" s="441" t="s">
        <v>601</v>
      </c>
      <c r="CW6" s="441">
        <v>29</v>
      </c>
      <c r="CX6" s="441">
        <v>29</v>
      </c>
      <c r="CZ6" s="70" t="s">
        <v>607</v>
      </c>
      <c r="DA6" s="70">
        <v>4</v>
      </c>
      <c r="DB6" s="70">
        <v>4</v>
      </c>
      <c r="DD6" s="70" t="s">
        <v>607</v>
      </c>
      <c r="DE6" s="70">
        <v>4</v>
      </c>
      <c r="DF6" s="70">
        <v>4</v>
      </c>
      <c r="DH6" s="70" t="s">
        <v>3743</v>
      </c>
      <c r="DI6" s="70">
        <v>47</v>
      </c>
      <c r="DJ6" s="70">
        <v>47</v>
      </c>
    </row>
    <row r="7" spans="1:114">
      <c r="A7" s="441" t="s">
        <v>618</v>
      </c>
      <c r="B7" s="441">
        <v>63</v>
      </c>
      <c r="C7" s="441">
        <v>5</v>
      </c>
      <c r="E7" s="446" t="s">
        <v>618</v>
      </c>
      <c r="F7" s="446">
        <v>70</v>
      </c>
      <c r="G7" s="446">
        <v>5</v>
      </c>
      <c r="I7" s="446" t="s">
        <v>1036</v>
      </c>
      <c r="J7" s="446">
        <v>67</v>
      </c>
      <c r="K7" s="446">
        <v>58</v>
      </c>
      <c r="L7" s="359"/>
      <c r="M7" s="441" t="s">
        <v>618</v>
      </c>
      <c r="N7" s="441">
        <v>64</v>
      </c>
      <c r="O7" s="441">
        <v>5</v>
      </c>
      <c r="Q7" s="359"/>
      <c r="R7" s="359"/>
      <c r="S7" s="359"/>
      <c r="T7" s="359"/>
      <c r="U7" s="448" t="s">
        <v>618</v>
      </c>
      <c r="V7" s="448">
        <v>5</v>
      </c>
      <c r="W7" s="448">
        <v>5</v>
      </c>
      <c r="X7" s="359"/>
      <c r="Y7" s="442" t="s">
        <v>618</v>
      </c>
      <c r="Z7" s="442">
        <v>5</v>
      </c>
      <c r="AA7" s="442">
        <v>5</v>
      </c>
      <c r="AB7" s="359"/>
      <c r="AC7" s="442" t="s">
        <v>579</v>
      </c>
      <c r="AD7" s="442">
        <v>39</v>
      </c>
      <c r="AE7" s="442">
        <v>48</v>
      </c>
      <c r="AF7" s="359"/>
      <c r="AG7" s="448" t="s">
        <v>618</v>
      </c>
      <c r="AH7" s="448">
        <v>5</v>
      </c>
      <c r="AI7" s="448">
        <v>5</v>
      </c>
      <c r="AJ7" s="359"/>
      <c r="AK7" s="448" t="s">
        <v>746</v>
      </c>
      <c r="AL7" s="448">
        <v>47</v>
      </c>
      <c r="AM7" s="448">
        <v>60</v>
      </c>
      <c r="AN7" s="359"/>
      <c r="AO7" s="441" t="s">
        <v>618</v>
      </c>
      <c r="AP7" s="443">
        <v>69</v>
      </c>
      <c r="AQ7" s="443">
        <v>5</v>
      </c>
      <c r="AS7" s="441" t="s">
        <v>618</v>
      </c>
      <c r="AT7" s="442">
        <v>92</v>
      </c>
      <c r="AU7" s="442">
        <v>5</v>
      </c>
      <c r="AV7" s="359"/>
      <c r="AW7" s="442" t="s">
        <v>746</v>
      </c>
      <c r="AX7" s="442">
        <v>63</v>
      </c>
      <c r="AY7" s="442">
        <v>42</v>
      </c>
      <c r="AZ7" s="359"/>
      <c r="BA7" s="441" t="s">
        <v>652</v>
      </c>
      <c r="BB7" s="448">
        <v>5</v>
      </c>
      <c r="BC7" s="448">
        <v>8</v>
      </c>
      <c r="BD7" s="359"/>
      <c r="BE7" s="441" t="s">
        <v>1290</v>
      </c>
      <c r="BF7" s="448">
        <v>67</v>
      </c>
      <c r="BG7" s="448">
        <v>40</v>
      </c>
      <c r="BI7" s="441" t="s">
        <v>618</v>
      </c>
      <c r="BJ7" s="441">
        <v>40</v>
      </c>
      <c r="BK7" s="441">
        <v>5</v>
      </c>
      <c r="BM7" s="442" t="s">
        <v>618</v>
      </c>
      <c r="BN7" s="442">
        <v>5</v>
      </c>
      <c r="BO7" s="442">
        <v>5</v>
      </c>
      <c r="BP7" s="359"/>
      <c r="BQ7" s="442" t="s">
        <v>719</v>
      </c>
      <c r="BR7" s="442">
        <v>35</v>
      </c>
      <c r="BS7" s="442">
        <v>24</v>
      </c>
      <c r="BT7" s="359"/>
      <c r="BU7" s="441" t="s">
        <v>618</v>
      </c>
      <c r="BV7" s="441">
        <v>5</v>
      </c>
      <c r="BW7" s="441">
        <v>5</v>
      </c>
      <c r="BX7" s="359"/>
      <c r="BY7" s="442" t="s">
        <v>731</v>
      </c>
      <c r="BZ7" s="442">
        <v>46</v>
      </c>
      <c r="CA7" s="442">
        <v>46</v>
      </c>
      <c r="CC7" s="70" t="s">
        <v>3744</v>
      </c>
      <c r="CD7" s="365" t="s">
        <v>3745</v>
      </c>
      <c r="CE7" s="70" t="s">
        <v>3746</v>
      </c>
      <c r="CH7" s="365"/>
      <c r="CI7" s="361"/>
      <c r="CK7" s="70" t="s">
        <v>3747</v>
      </c>
      <c r="CL7" s="70" t="s">
        <v>3729</v>
      </c>
      <c r="CN7" s="441" t="s">
        <v>618</v>
      </c>
      <c r="CO7" s="441">
        <v>5</v>
      </c>
      <c r="CP7" s="441">
        <v>5</v>
      </c>
      <c r="CR7" s="441" t="s">
        <v>618</v>
      </c>
      <c r="CS7" s="441">
        <v>5</v>
      </c>
      <c r="CT7" s="441">
        <v>5</v>
      </c>
      <c r="CU7" s="359"/>
      <c r="CV7" s="359"/>
      <c r="CW7" s="359"/>
      <c r="CX7" s="359"/>
      <c r="CZ7" s="70" t="s">
        <v>618</v>
      </c>
      <c r="DA7" s="70">
        <v>5</v>
      </c>
      <c r="DB7" s="70">
        <v>5</v>
      </c>
      <c r="DD7" s="70" t="s">
        <v>618</v>
      </c>
      <c r="DE7" s="70">
        <v>5</v>
      </c>
      <c r="DF7" s="70">
        <v>5</v>
      </c>
    </row>
    <row r="8" spans="1:114">
      <c r="A8" s="441" t="s">
        <v>628</v>
      </c>
      <c r="B8" s="441">
        <v>21</v>
      </c>
      <c r="C8" s="441">
        <v>6</v>
      </c>
      <c r="E8" s="446" t="s">
        <v>628</v>
      </c>
      <c r="F8" s="446">
        <v>22</v>
      </c>
      <c r="G8" s="446">
        <v>6</v>
      </c>
      <c r="I8" s="446" t="s">
        <v>1048</v>
      </c>
      <c r="J8" s="446">
        <v>71</v>
      </c>
      <c r="K8" s="446">
        <v>59</v>
      </c>
      <c r="L8" s="359"/>
      <c r="M8" s="441" t="s">
        <v>628</v>
      </c>
      <c r="N8" s="441">
        <v>22</v>
      </c>
      <c r="O8" s="441">
        <v>6</v>
      </c>
      <c r="Q8" s="359"/>
      <c r="R8" s="359"/>
      <c r="S8" s="359"/>
      <c r="T8" s="359"/>
      <c r="U8" s="448" t="s">
        <v>638</v>
      </c>
      <c r="V8" s="448">
        <v>6</v>
      </c>
      <c r="W8" s="448">
        <v>6</v>
      </c>
      <c r="X8" s="359"/>
      <c r="Y8" s="442" t="s">
        <v>638</v>
      </c>
      <c r="Z8" s="442">
        <v>6</v>
      </c>
      <c r="AA8" s="442">
        <v>6</v>
      </c>
      <c r="AB8" s="359"/>
      <c r="AC8" s="442" t="s">
        <v>1869</v>
      </c>
      <c r="AD8" s="442">
        <v>43</v>
      </c>
      <c r="AE8" s="442">
        <v>51</v>
      </c>
      <c r="AF8" s="359"/>
      <c r="AG8" s="448" t="s">
        <v>638</v>
      </c>
      <c r="AH8" s="448">
        <v>6</v>
      </c>
      <c r="AI8" s="448">
        <v>6</v>
      </c>
      <c r="AJ8" s="359"/>
      <c r="AK8" s="448" t="s">
        <v>1178</v>
      </c>
      <c r="AL8" s="448">
        <v>61</v>
      </c>
      <c r="AM8" s="448">
        <v>65</v>
      </c>
      <c r="AN8" s="359"/>
      <c r="AO8" s="441" t="s">
        <v>628</v>
      </c>
      <c r="AP8" s="443">
        <v>70</v>
      </c>
      <c r="AQ8" s="443">
        <v>6</v>
      </c>
      <c r="AS8" s="441" t="s">
        <v>628</v>
      </c>
      <c r="AT8" s="442">
        <v>93</v>
      </c>
      <c r="AU8" s="442">
        <v>6</v>
      </c>
      <c r="AV8" s="359"/>
      <c r="AW8" s="442" t="s">
        <v>646</v>
      </c>
      <c r="AX8" s="442">
        <v>64</v>
      </c>
      <c r="AY8" s="442">
        <v>43</v>
      </c>
      <c r="AZ8" s="359"/>
      <c r="BA8" s="441" t="s">
        <v>661</v>
      </c>
      <c r="BB8" s="448">
        <v>6</v>
      </c>
      <c r="BC8" s="448">
        <v>9</v>
      </c>
      <c r="BD8" s="359"/>
      <c r="BE8" s="359"/>
      <c r="BF8" s="363"/>
      <c r="BG8" s="363"/>
      <c r="BI8" s="441" t="s">
        <v>628</v>
      </c>
      <c r="BJ8" s="441">
        <v>41</v>
      </c>
      <c r="BK8" s="441">
        <v>6</v>
      </c>
      <c r="BM8" s="97" t="s">
        <v>628</v>
      </c>
      <c r="BN8" s="442">
        <v>6</v>
      </c>
      <c r="BO8" s="442">
        <v>6</v>
      </c>
      <c r="BP8" s="359"/>
      <c r="BQ8" s="442" t="s">
        <v>579</v>
      </c>
      <c r="BR8" s="442">
        <v>12</v>
      </c>
      <c r="BS8" s="442">
        <v>35</v>
      </c>
      <c r="BT8" s="359"/>
      <c r="BU8" s="441" t="s">
        <v>628</v>
      </c>
      <c r="BV8" s="441">
        <v>6</v>
      </c>
      <c r="BW8" s="441">
        <v>6</v>
      </c>
      <c r="BX8" s="359"/>
      <c r="BY8" s="353"/>
      <c r="BZ8" s="353"/>
      <c r="CA8" s="353"/>
      <c r="CC8" s="70" t="s">
        <v>3748</v>
      </c>
      <c r="CD8" s="365" t="s">
        <v>3749</v>
      </c>
      <c r="CE8" s="70" t="s">
        <v>3750</v>
      </c>
      <c r="CH8" s="365"/>
      <c r="CI8" s="361"/>
      <c r="CK8" s="70" t="s">
        <v>3751</v>
      </c>
      <c r="CL8" s="70" t="s">
        <v>3734</v>
      </c>
      <c r="CN8" s="441" t="s">
        <v>628</v>
      </c>
      <c r="CO8" s="441">
        <v>6</v>
      </c>
      <c r="CP8" s="441">
        <v>6</v>
      </c>
      <c r="CR8" s="441" t="s">
        <v>628</v>
      </c>
      <c r="CS8" s="441">
        <v>6</v>
      </c>
      <c r="CT8" s="441">
        <v>6</v>
      </c>
      <c r="CU8" s="359"/>
      <c r="CV8" s="359"/>
      <c r="CW8" s="359"/>
      <c r="CX8" s="359"/>
      <c r="CZ8" s="70" t="s">
        <v>628</v>
      </c>
      <c r="DA8" s="70">
        <v>6</v>
      </c>
      <c r="DB8" s="70">
        <v>6</v>
      </c>
      <c r="DD8" s="70" t="s">
        <v>628</v>
      </c>
      <c r="DE8" s="70">
        <v>6</v>
      </c>
      <c r="DF8" s="70">
        <v>6</v>
      </c>
    </row>
    <row r="9" spans="1:114">
      <c r="A9" s="441" t="s">
        <v>638</v>
      </c>
      <c r="B9" s="441">
        <v>4</v>
      </c>
      <c r="C9" s="441">
        <v>7</v>
      </c>
      <c r="E9" s="446" t="s">
        <v>1312</v>
      </c>
      <c r="F9" s="446">
        <v>47</v>
      </c>
      <c r="G9" s="446">
        <v>32</v>
      </c>
      <c r="I9" s="446" t="s">
        <v>1066</v>
      </c>
      <c r="J9" s="446">
        <v>72</v>
      </c>
      <c r="K9" s="446">
        <v>60</v>
      </c>
      <c r="M9" s="441" t="s">
        <v>1312</v>
      </c>
      <c r="N9" s="441">
        <v>45</v>
      </c>
      <c r="O9" s="441">
        <v>8</v>
      </c>
      <c r="U9" s="448" t="s">
        <v>652</v>
      </c>
      <c r="V9" s="448">
        <v>7</v>
      </c>
      <c r="W9" s="448">
        <v>7</v>
      </c>
      <c r="Y9" s="442" t="s">
        <v>652</v>
      </c>
      <c r="Z9" s="442">
        <v>7</v>
      </c>
      <c r="AA9" s="442">
        <v>7</v>
      </c>
      <c r="AB9" s="359"/>
      <c r="AC9" s="442" t="s">
        <v>1178</v>
      </c>
      <c r="AD9" s="442">
        <v>63</v>
      </c>
      <c r="AE9" s="442">
        <v>60</v>
      </c>
      <c r="AF9" s="359"/>
      <c r="AG9" s="448" t="s">
        <v>652</v>
      </c>
      <c r="AH9" s="448">
        <v>7</v>
      </c>
      <c r="AI9" s="448">
        <v>7</v>
      </c>
      <c r="AJ9" s="359"/>
      <c r="AK9" s="448" t="s">
        <v>1880</v>
      </c>
      <c r="AL9" s="448">
        <v>62</v>
      </c>
      <c r="AM9" s="448">
        <v>66</v>
      </c>
      <c r="AO9" s="441" t="s">
        <v>638</v>
      </c>
      <c r="AP9" s="443">
        <v>4</v>
      </c>
      <c r="AQ9" s="443">
        <v>7</v>
      </c>
      <c r="AS9" s="441" t="s">
        <v>638</v>
      </c>
      <c r="AT9" s="442">
        <v>4</v>
      </c>
      <c r="AU9" s="442">
        <v>7</v>
      </c>
      <c r="AV9" s="359"/>
      <c r="AW9" s="442" t="s">
        <v>655</v>
      </c>
      <c r="AX9" s="442">
        <v>62</v>
      </c>
      <c r="AY9" s="97">
        <v>44</v>
      </c>
      <c r="AZ9" s="359"/>
      <c r="BA9" s="441" t="s">
        <v>677</v>
      </c>
      <c r="BB9" s="448">
        <v>7</v>
      </c>
      <c r="BC9" s="448">
        <v>10</v>
      </c>
      <c r="BD9" s="359"/>
      <c r="BE9" s="359"/>
      <c r="BF9" s="363"/>
      <c r="BG9" s="363"/>
      <c r="BI9" s="441" t="s">
        <v>638</v>
      </c>
      <c r="BJ9" s="441">
        <v>4</v>
      </c>
      <c r="BK9" s="441">
        <v>7</v>
      </c>
      <c r="BM9" s="442" t="s">
        <v>638</v>
      </c>
      <c r="BN9" s="442">
        <v>7</v>
      </c>
      <c r="BO9" s="442">
        <v>7</v>
      </c>
      <c r="BP9" s="359"/>
      <c r="BQ9" s="442" t="s">
        <v>592</v>
      </c>
      <c r="BR9" s="442">
        <v>18</v>
      </c>
      <c r="BS9" s="442">
        <v>36</v>
      </c>
      <c r="BT9" s="359"/>
      <c r="BU9" s="441" t="s">
        <v>638</v>
      </c>
      <c r="BV9" s="441">
        <v>7</v>
      </c>
      <c r="BW9" s="441">
        <v>7</v>
      </c>
      <c r="BX9" s="359"/>
      <c r="BY9" s="353"/>
      <c r="BZ9" s="353"/>
      <c r="CA9" s="353"/>
      <c r="CC9" s="70" t="s">
        <v>3752</v>
      </c>
      <c r="CD9" s="365" t="s">
        <v>3753</v>
      </c>
      <c r="CE9" s="70" t="s">
        <v>3754</v>
      </c>
      <c r="CH9" s="365"/>
      <c r="CI9" s="361"/>
      <c r="CK9" s="70" t="s">
        <v>3755</v>
      </c>
      <c r="CL9" s="70" t="s">
        <v>3729</v>
      </c>
      <c r="CN9" s="441" t="s">
        <v>638</v>
      </c>
      <c r="CO9" s="441">
        <v>7</v>
      </c>
      <c r="CP9" s="441">
        <v>7</v>
      </c>
      <c r="CR9" s="441" t="s">
        <v>638</v>
      </c>
      <c r="CS9" s="441">
        <v>7</v>
      </c>
      <c r="CT9" s="441">
        <v>7</v>
      </c>
      <c r="CU9" s="359"/>
      <c r="CV9" s="359"/>
      <c r="CW9" s="359"/>
      <c r="CX9" s="359"/>
      <c r="CZ9" s="70" t="s">
        <v>2259</v>
      </c>
      <c r="DA9" s="70">
        <v>7</v>
      </c>
      <c r="DB9" s="70">
        <v>7</v>
      </c>
      <c r="DD9" s="70" t="s">
        <v>2259</v>
      </c>
      <c r="DE9" s="70">
        <v>7</v>
      </c>
      <c r="DF9" s="70">
        <v>7</v>
      </c>
    </row>
    <row r="10" spans="1:114">
      <c r="A10" s="441" t="s">
        <v>652</v>
      </c>
      <c r="B10" s="441">
        <v>5</v>
      </c>
      <c r="C10" s="441">
        <v>8</v>
      </c>
      <c r="E10" s="446" t="s">
        <v>1795</v>
      </c>
      <c r="F10" s="446">
        <v>56</v>
      </c>
      <c r="G10" s="446">
        <v>33</v>
      </c>
      <c r="I10" s="446" t="s">
        <v>1075</v>
      </c>
      <c r="J10" s="446">
        <v>73</v>
      </c>
      <c r="K10" s="446">
        <v>61</v>
      </c>
      <c r="M10" s="441" t="s">
        <v>1795</v>
      </c>
      <c r="N10" s="441">
        <v>54</v>
      </c>
      <c r="O10" s="441">
        <v>9</v>
      </c>
      <c r="U10" s="448" t="s">
        <v>1897</v>
      </c>
      <c r="V10" s="448">
        <v>8</v>
      </c>
      <c r="W10" s="448">
        <v>8</v>
      </c>
      <c r="Y10" s="442" t="s">
        <v>1897</v>
      </c>
      <c r="Z10" s="442">
        <v>8</v>
      </c>
      <c r="AA10" s="442">
        <v>8</v>
      </c>
      <c r="AB10" s="359"/>
      <c r="AC10" s="442" t="s">
        <v>1880</v>
      </c>
      <c r="AD10" s="442">
        <v>64</v>
      </c>
      <c r="AE10" s="442">
        <v>61</v>
      </c>
      <c r="AF10" s="359"/>
      <c r="AG10" s="448" t="s">
        <v>1897</v>
      </c>
      <c r="AH10" s="448">
        <v>8</v>
      </c>
      <c r="AI10" s="448">
        <v>8</v>
      </c>
      <c r="AJ10" s="359"/>
      <c r="AK10" s="448" t="s">
        <v>1935</v>
      </c>
      <c r="AL10" s="448">
        <v>64</v>
      </c>
      <c r="AM10" s="448">
        <v>24</v>
      </c>
      <c r="AO10" s="441" t="s">
        <v>652</v>
      </c>
      <c r="AP10" s="443">
        <v>5</v>
      </c>
      <c r="AQ10" s="443">
        <v>8</v>
      </c>
      <c r="AS10" s="441" t="s">
        <v>652</v>
      </c>
      <c r="AT10" s="442">
        <v>5</v>
      </c>
      <c r="AU10" s="442">
        <v>8</v>
      </c>
      <c r="AV10" s="359"/>
      <c r="AW10" s="442" t="s">
        <v>1178</v>
      </c>
      <c r="AX10" s="442">
        <v>35</v>
      </c>
      <c r="AY10" s="97">
        <v>51</v>
      </c>
      <c r="AZ10" s="359"/>
      <c r="BA10" s="441" t="s">
        <v>693</v>
      </c>
      <c r="BB10" s="448">
        <v>8</v>
      </c>
      <c r="BC10" s="448">
        <v>11</v>
      </c>
      <c r="BD10" s="359"/>
      <c r="BE10" s="359"/>
      <c r="BF10" s="363"/>
      <c r="BG10" s="363"/>
      <c r="BI10" s="441" t="s">
        <v>652</v>
      </c>
      <c r="BJ10" s="441">
        <v>5</v>
      </c>
      <c r="BK10" s="441">
        <v>8</v>
      </c>
      <c r="BM10" s="442" t="s">
        <v>652</v>
      </c>
      <c r="BN10" s="442">
        <v>8</v>
      </c>
      <c r="BO10" s="442">
        <v>8</v>
      </c>
      <c r="BP10" s="359"/>
      <c r="BQ10" s="442" t="s">
        <v>601</v>
      </c>
      <c r="BR10" s="442">
        <v>24</v>
      </c>
      <c r="BS10" s="442">
        <v>37</v>
      </c>
      <c r="BT10" s="359"/>
      <c r="BU10" s="441" t="s">
        <v>652</v>
      </c>
      <c r="BV10" s="441">
        <v>8</v>
      </c>
      <c r="BW10" s="441">
        <v>8</v>
      </c>
      <c r="BX10" s="359"/>
      <c r="BY10" s="359"/>
      <c r="BZ10" s="359"/>
      <c r="CA10" s="359"/>
      <c r="CC10" s="70" t="s">
        <v>3756</v>
      </c>
      <c r="CD10" s="365" t="s">
        <v>3757</v>
      </c>
      <c r="CE10" s="70" t="s">
        <v>3758</v>
      </c>
      <c r="CH10" s="365"/>
      <c r="CI10" s="361"/>
      <c r="CK10" s="70" t="s">
        <v>3759</v>
      </c>
      <c r="CL10" s="70" t="s">
        <v>3734</v>
      </c>
      <c r="CN10" s="441" t="s">
        <v>652</v>
      </c>
      <c r="CO10" s="441">
        <v>8</v>
      </c>
      <c r="CP10" s="441">
        <v>8</v>
      </c>
      <c r="CR10" s="441" t="s">
        <v>652</v>
      </c>
      <c r="CS10" s="441">
        <v>8</v>
      </c>
      <c r="CT10" s="441">
        <v>8</v>
      </c>
      <c r="CU10" s="359"/>
      <c r="CV10" s="359"/>
      <c r="CW10" s="359"/>
      <c r="CX10" s="359"/>
      <c r="CZ10" s="70" t="s">
        <v>2241</v>
      </c>
      <c r="DA10" s="70">
        <v>8</v>
      </c>
      <c r="DB10" s="70">
        <v>8</v>
      </c>
      <c r="DD10" s="70" t="s">
        <v>2241</v>
      </c>
      <c r="DE10" s="70">
        <v>8</v>
      </c>
      <c r="DF10" s="70">
        <v>8</v>
      </c>
    </row>
    <row r="11" spans="1:114">
      <c r="A11" s="441" t="s">
        <v>661</v>
      </c>
      <c r="B11" s="441">
        <v>7</v>
      </c>
      <c r="C11" s="441">
        <v>9</v>
      </c>
      <c r="E11" s="446" t="s">
        <v>1799</v>
      </c>
      <c r="F11" s="446">
        <v>57</v>
      </c>
      <c r="G11" s="446">
        <v>34</v>
      </c>
      <c r="I11" s="446" t="s">
        <v>823</v>
      </c>
      <c r="J11" s="447">
        <v>21</v>
      </c>
      <c r="K11" s="446">
        <v>24</v>
      </c>
      <c r="M11" s="441" t="s">
        <v>1799</v>
      </c>
      <c r="N11" s="441">
        <v>55</v>
      </c>
      <c r="O11" s="441">
        <v>10</v>
      </c>
      <c r="U11" s="448" t="s">
        <v>1902</v>
      </c>
      <c r="V11" s="448">
        <v>9</v>
      </c>
      <c r="W11" s="448">
        <v>9</v>
      </c>
      <c r="Y11" s="442" t="s">
        <v>1902</v>
      </c>
      <c r="Z11" s="442">
        <v>9</v>
      </c>
      <c r="AA11" s="442">
        <v>9</v>
      </c>
      <c r="AB11" s="359"/>
      <c r="AC11" s="363"/>
      <c r="AD11" s="363"/>
      <c r="AE11" s="363"/>
      <c r="AF11" s="359"/>
      <c r="AG11" s="448" t="s">
        <v>1902</v>
      </c>
      <c r="AH11" s="448">
        <v>9</v>
      </c>
      <c r="AI11" s="448">
        <v>9</v>
      </c>
      <c r="AJ11" s="359"/>
      <c r="AK11" s="448" t="s">
        <v>1944</v>
      </c>
      <c r="AL11" s="448">
        <v>65</v>
      </c>
      <c r="AM11" s="448">
        <v>25</v>
      </c>
      <c r="AO11" s="441" t="s">
        <v>661</v>
      </c>
      <c r="AP11" s="443">
        <v>6</v>
      </c>
      <c r="AQ11" s="443">
        <v>9</v>
      </c>
      <c r="AR11" s="99"/>
      <c r="AS11" s="441" t="s">
        <v>661</v>
      </c>
      <c r="AT11" s="442">
        <v>6</v>
      </c>
      <c r="AU11" s="442">
        <v>9</v>
      </c>
      <c r="AV11" s="359"/>
      <c r="AW11" s="442" t="s">
        <v>991</v>
      </c>
      <c r="AX11" s="442">
        <v>46</v>
      </c>
      <c r="AY11" s="97">
        <v>66</v>
      </c>
      <c r="AZ11" s="359"/>
      <c r="BA11" s="441" t="s">
        <v>1517</v>
      </c>
      <c r="BB11" s="448">
        <v>9</v>
      </c>
      <c r="BC11" s="448">
        <v>12</v>
      </c>
      <c r="BD11" s="359"/>
      <c r="BE11" s="359"/>
      <c r="BF11" s="363"/>
      <c r="BG11" s="363"/>
      <c r="BI11" s="441" t="s">
        <v>661</v>
      </c>
      <c r="BJ11" s="441">
        <v>6</v>
      </c>
      <c r="BK11" s="441">
        <v>9</v>
      </c>
      <c r="BM11" s="442" t="s">
        <v>661</v>
      </c>
      <c r="BN11" s="442">
        <v>9</v>
      </c>
      <c r="BO11" s="442">
        <v>9</v>
      </c>
      <c r="BP11" s="359"/>
      <c r="BQ11" s="442" t="s">
        <v>612</v>
      </c>
      <c r="BR11" s="442">
        <v>25</v>
      </c>
      <c r="BS11" s="442">
        <v>38</v>
      </c>
      <c r="BT11" s="359"/>
      <c r="BU11" s="441" t="s">
        <v>661</v>
      </c>
      <c r="BV11" s="441">
        <v>9</v>
      </c>
      <c r="BW11" s="441">
        <v>9</v>
      </c>
      <c r="BX11" s="359"/>
      <c r="BY11" s="359"/>
      <c r="BZ11" s="359"/>
      <c r="CA11" s="359"/>
      <c r="CC11" s="70" t="s">
        <v>3760</v>
      </c>
      <c r="CD11" s="365" t="s">
        <v>3761</v>
      </c>
      <c r="CE11" s="70" t="s">
        <v>3762</v>
      </c>
      <c r="CH11" s="365"/>
      <c r="CI11" s="361"/>
      <c r="CK11" s="70" t="s">
        <v>3763</v>
      </c>
      <c r="CL11" s="70" t="s">
        <v>3729</v>
      </c>
      <c r="CN11" s="441" t="s">
        <v>661</v>
      </c>
      <c r="CO11" s="441">
        <v>9</v>
      </c>
      <c r="CP11" s="441">
        <v>9</v>
      </c>
      <c r="CR11" s="441" t="s">
        <v>661</v>
      </c>
      <c r="CS11" s="441">
        <v>9</v>
      </c>
      <c r="CT11" s="441">
        <v>9</v>
      </c>
      <c r="CU11" s="359"/>
      <c r="CV11" s="359"/>
      <c r="CW11" s="359"/>
      <c r="CX11" s="359"/>
      <c r="CZ11" s="70" t="s">
        <v>3764</v>
      </c>
      <c r="DA11" s="70">
        <v>9</v>
      </c>
      <c r="DB11" s="70">
        <v>9</v>
      </c>
      <c r="DD11" s="70" t="s">
        <v>3764</v>
      </c>
      <c r="DE11" s="70">
        <v>9</v>
      </c>
      <c r="DF11" s="70">
        <v>9</v>
      </c>
    </row>
    <row r="12" spans="1:114">
      <c r="A12" s="441" t="s">
        <v>677</v>
      </c>
      <c r="B12" s="441">
        <v>8</v>
      </c>
      <c r="C12" s="441">
        <v>10</v>
      </c>
      <c r="E12" s="446" t="s">
        <v>1802</v>
      </c>
      <c r="F12" s="446">
        <v>58</v>
      </c>
      <c r="G12" s="446">
        <v>35</v>
      </c>
      <c r="I12" s="446" t="s">
        <v>1591</v>
      </c>
      <c r="J12" s="446">
        <v>27</v>
      </c>
      <c r="K12" s="446">
        <v>25</v>
      </c>
      <c r="M12" s="441" t="s">
        <v>1802</v>
      </c>
      <c r="N12" s="441">
        <v>56</v>
      </c>
      <c r="O12" s="441">
        <v>11</v>
      </c>
      <c r="U12" s="448" t="s">
        <v>1905</v>
      </c>
      <c r="V12" s="448">
        <v>10</v>
      </c>
      <c r="W12" s="448">
        <v>10</v>
      </c>
      <c r="Y12" s="442" t="s">
        <v>1905</v>
      </c>
      <c r="Z12" s="442">
        <v>10</v>
      </c>
      <c r="AA12" s="442">
        <v>10</v>
      </c>
      <c r="AB12" s="359"/>
      <c r="AC12" s="363"/>
      <c r="AD12" s="363"/>
      <c r="AE12" s="363"/>
      <c r="AF12" s="359"/>
      <c r="AG12" s="448" t="s">
        <v>1905</v>
      </c>
      <c r="AH12" s="448">
        <v>10</v>
      </c>
      <c r="AI12" s="448">
        <v>10</v>
      </c>
      <c r="AJ12" s="359"/>
      <c r="AK12" s="448" t="s">
        <v>1953</v>
      </c>
      <c r="AL12" s="448">
        <v>66</v>
      </c>
      <c r="AM12" s="448">
        <v>26</v>
      </c>
      <c r="AO12" s="444" t="s">
        <v>677</v>
      </c>
      <c r="AP12" s="443">
        <v>7</v>
      </c>
      <c r="AQ12" s="443">
        <v>10</v>
      </c>
      <c r="AS12" s="441" t="s">
        <v>677</v>
      </c>
      <c r="AT12" s="442">
        <v>7</v>
      </c>
      <c r="AU12" s="442">
        <v>10</v>
      </c>
      <c r="AV12" s="359"/>
      <c r="AW12" s="442" t="s">
        <v>1004</v>
      </c>
      <c r="AX12" s="442">
        <v>47</v>
      </c>
      <c r="AY12" s="442">
        <v>67</v>
      </c>
      <c r="AZ12" s="359"/>
      <c r="BA12" s="441" t="s">
        <v>1425</v>
      </c>
      <c r="BB12" s="448">
        <v>12</v>
      </c>
      <c r="BC12" s="448">
        <v>41</v>
      </c>
      <c r="BD12" s="359"/>
      <c r="BE12" s="359"/>
      <c r="BF12" s="363"/>
      <c r="BG12" s="363"/>
      <c r="BI12" s="441" t="s">
        <v>677</v>
      </c>
      <c r="BJ12" s="441">
        <v>7</v>
      </c>
      <c r="BK12" s="441">
        <v>10</v>
      </c>
      <c r="BM12" s="442" t="s">
        <v>677</v>
      </c>
      <c r="BN12" s="442">
        <v>11</v>
      </c>
      <c r="BO12" s="442">
        <v>10</v>
      </c>
      <c r="BP12" s="359"/>
      <c r="BQ12" s="442" t="s">
        <v>621</v>
      </c>
      <c r="BR12" s="442">
        <v>10</v>
      </c>
      <c r="BS12" s="442">
        <v>39</v>
      </c>
      <c r="BT12" s="359"/>
      <c r="BU12" s="441" t="s">
        <v>677</v>
      </c>
      <c r="BV12" s="441">
        <v>10</v>
      </c>
      <c r="BW12" s="441">
        <v>10</v>
      </c>
      <c r="BX12" s="359"/>
      <c r="BY12" s="359"/>
      <c r="BZ12" s="359"/>
      <c r="CA12" s="359"/>
      <c r="CC12" s="70" t="s">
        <v>3765</v>
      </c>
      <c r="CD12" s="365">
        <v>423</v>
      </c>
      <c r="CE12" s="70" t="s">
        <v>3766</v>
      </c>
      <c r="CH12" s="365"/>
      <c r="CI12" s="361"/>
      <c r="CK12" s="70" t="s">
        <v>3767</v>
      </c>
      <c r="CL12" s="70" t="s">
        <v>3734</v>
      </c>
      <c r="CN12" s="441" t="s">
        <v>677</v>
      </c>
      <c r="CO12" s="441">
        <v>10</v>
      </c>
      <c r="CP12" s="441">
        <v>10</v>
      </c>
      <c r="CR12" s="441" t="s">
        <v>677</v>
      </c>
      <c r="CS12" s="441">
        <v>10</v>
      </c>
      <c r="CT12" s="441">
        <v>10</v>
      </c>
      <c r="CU12" s="359"/>
      <c r="CV12" s="359"/>
      <c r="CW12" s="359"/>
      <c r="CX12" s="359"/>
      <c r="CZ12" s="70" t="s">
        <v>3768</v>
      </c>
      <c r="DA12" s="70">
        <v>10</v>
      </c>
      <c r="DB12" s="70">
        <v>10</v>
      </c>
      <c r="DD12" s="70" t="s">
        <v>3768</v>
      </c>
      <c r="DE12" s="70">
        <v>10</v>
      </c>
      <c r="DF12" s="70">
        <v>10</v>
      </c>
    </row>
    <row r="13" spans="1:114">
      <c r="A13" s="441" t="s">
        <v>693</v>
      </c>
      <c r="B13" s="441">
        <v>9</v>
      </c>
      <c r="C13" s="441">
        <v>11</v>
      </c>
      <c r="E13" s="446" t="s">
        <v>1808</v>
      </c>
      <c r="F13" s="446">
        <v>59</v>
      </c>
      <c r="G13" s="446">
        <v>36</v>
      </c>
      <c r="M13" s="441" t="s">
        <v>1808</v>
      </c>
      <c r="N13" s="441">
        <v>57</v>
      </c>
      <c r="O13" s="441">
        <v>12</v>
      </c>
      <c r="U13" s="448" t="s">
        <v>1910</v>
      </c>
      <c r="V13" s="448">
        <v>11</v>
      </c>
      <c r="W13" s="448">
        <v>11</v>
      </c>
      <c r="Y13" s="442" t="s">
        <v>1910</v>
      </c>
      <c r="Z13" s="442">
        <v>11</v>
      </c>
      <c r="AA13" s="442">
        <v>11</v>
      </c>
      <c r="AB13" s="359"/>
      <c r="AC13" s="363"/>
      <c r="AD13" s="363"/>
      <c r="AE13" s="363"/>
      <c r="AF13" s="359"/>
      <c r="AG13" s="448" t="s">
        <v>1910</v>
      </c>
      <c r="AH13" s="448">
        <v>11</v>
      </c>
      <c r="AI13" s="448">
        <v>11</v>
      </c>
      <c r="AJ13" s="359"/>
      <c r="AK13" s="363"/>
      <c r="AL13" s="363"/>
      <c r="AM13" s="363"/>
      <c r="AO13" s="441" t="s">
        <v>693</v>
      </c>
      <c r="AP13" s="443">
        <v>9</v>
      </c>
      <c r="AQ13" s="443">
        <v>11</v>
      </c>
      <c r="AS13" s="441" t="s">
        <v>693</v>
      </c>
      <c r="AT13" s="442">
        <v>9</v>
      </c>
      <c r="AU13" s="442">
        <v>11</v>
      </c>
      <c r="AV13" s="359"/>
      <c r="AW13" s="442" t="s">
        <v>1020</v>
      </c>
      <c r="AX13" s="442">
        <v>48</v>
      </c>
      <c r="AY13" s="442">
        <v>68</v>
      </c>
      <c r="AZ13" s="359"/>
      <c r="BA13" s="441" t="s">
        <v>1436</v>
      </c>
      <c r="BB13" s="448">
        <v>13</v>
      </c>
      <c r="BC13" s="448">
        <v>42</v>
      </c>
      <c r="BD13" s="359"/>
      <c r="BE13" s="359"/>
      <c r="BF13" s="363"/>
      <c r="BG13" s="363"/>
      <c r="BI13" s="441" t="s">
        <v>693</v>
      </c>
      <c r="BJ13" s="441">
        <v>19</v>
      </c>
      <c r="BK13" s="441">
        <v>11</v>
      </c>
      <c r="BM13" s="442" t="s">
        <v>693</v>
      </c>
      <c r="BN13" s="442">
        <v>19</v>
      </c>
      <c r="BO13" s="442">
        <v>11</v>
      </c>
      <c r="BP13" s="359"/>
      <c r="BQ13" s="442" t="s">
        <v>731</v>
      </c>
      <c r="BR13" s="442">
        <v>44</v>
      </c>
      <c r="BS13" s="442">
        <v>52</v>
      </c>
      <c r="BT13" s="359"/>
      <c r="BU13" s="441" t="s">
        <v>693</v>
      </c>
      <c r="BV13" s="441">
        <v>11</v>
      </c>
      <c r="BW13" s="441">
        <v>11</v>
      </c>
      <c r="BX13" s="359"/>
      <c r="BY13" s="359"/>
      <c r="BZ13" s="359"/>
      <c r="CA13" s="359"/>
      <c r="CC13" s="70" t="s">
        <v>3769</v>
      </c>
      <c r="CD13" s="365">
        <v>445</v>
      </c>
      <c r="CE13" s="70" t="s">
        <v>3770</v>
      </c>
      <c r="CK13" s="70" t="s">
        <v>3771</v>
      </c>
      <c r="CL13" s="70" t="s">
        <v>3729</v>
      </c>
      <c r="CN13" s="441" t="s">
        <v>693</v>
      </c>
      <c r="CO13" s="441">
        <v>11</v>
      </c>
      <c r="CP13" s="441">
        <v>11</v>
      </c>
      <c r="CR13" s="441" t="s">
        <v>693</v>
      </c>
      <c r="CS13" s="441">
        <v>11</v>
      </c>
      <c r="CT13" s="441">
        <v>11</v>
      </c>
      <c r="CU13" s="359"/>
      <c r="CV13" s="359"/>
      <c r="CW13" s="359"/>
      <c r="CX13" s="359"/>
      <c r="CZ13" s="70" t="s">
        <v>3772</v>
      </c>
      <c r="DA13" s="70">
        <v>11</v>
      </c>
      <c r="DB13" s="70">
        <v>11</v>
      </c>
      <c r="DD13" s="70" t="s">
        <v>3772</v>
      </c>
      <c r="DE13" s="70">
        <v>11</v>
      </c>
      <c r="DF13" s="70">
        <v>11</v>
      </c>
    </row>
    <row r="14" spans="1:114">
      <c r="A14" s="441" t="s">
        <v>1517</v>
      </c>
      <c r="B14" s="441">
        <v>61</v>
      </c>
      <c r="C14" s="441">
        <v>12</v>
      </c>
      <c r="E14" s="446" t="s">
        <v>1815</v>
      </c>
      <c r="F14" s="446">
        <v>60</v>
      </c>
      <c r="G14" s="446">
        <v>37</v>
      </c>
      <c r="M14" s="441" t="s">
        <v>1815</v>
      </c>
      <c r="N14" s="441">
        <v>58</v>
      </c>
      <c r="O14" s="441">
        <v>13</v>
      </c>
      <c r="U14" s="448" t="s">
        <v>1913</v>
      </c>
      <c r="V14" s="448">
        <v>12</v>
      </c>
      <c r="W14" s="448">
        <v>12</v>
      </c>
      <c r="Y14" s="442" t="s">
        <v>1913</v>
      </c>
      <c r="Z14" s="442">
        <v>12</v>
      </c>
      <c r="AA14" s="442">
        <v>12</v>
      </c>
      <c r="AB14" s="359"/>
      <c r="AC14" s="363"/>
      <c r="AD14" s="363"/>
      <c r="AE14" s="363"/>
      <c r="AF14" s="359"/>
      <c r="AG14" s="448" t="s">
        <v>1913</v>
      </c>
      <c r="AH14" s="448">
        <v>12</v>
      </c>
      <c r="AI14" s="448">
        <v>12</v>
      </c>
      <c r="AJ14" s="359"/>
      <c r="AK14" s="363"/>
      <c r="AL14" s="363"/>
      <c r="AM14" s="363"/>
      <c r="AO14" s="441" t="s">
        <v>1517</v>
      </c>
      <c r="AP14" s="443">
        <v>8</v>
      </c>
      <c r="AQ14" s="443">
        <v>12</v>
      </c>
      <c r="AS14" s="441" t="s">
        <v>1517</v>
      </c>
      <c r="AT14" s="442">
        <v>8</v>
      </c>
      <c r="AU14" s="97">
        <v>12</v>
      </c>
      <c r="AV14" s="359"/>
      <c r="AW14" s="442" t="s">
        <v>1036</v>
      </c>
      <c r="AX14" s="442">
        <v>49</v>
      </c>
      <c r="AY14" s="442">
        <v>69</v>
      </c>
      <c r="AZ14" s="359"/>
      <c r="BA14" s="441" t="s">
        <v>849</v>
      </c>
      <c r="BB14" s="448">
        <v>14</v>
      </c>
      <c r="BC14" s="448">
        <v>25</v>
      </c>
      <c r="BD14" s="359"/>
      <c r="BE14" s="359"/>
      <c r="BF14" s="363"/>
      <c r="BG14" s="363"/>
      <c r="BI14" s="441" t="s">
        <v>711</v>
      </c>
      <c r="BJ14" s="441">
        <v>27</v>
      </c>
      <c r="BK14" s="441">
        <v>12</v>
      </c>
      <c r="BM14" s="442" t="s">
        <v>711</v>
      </c>
      <c r="BN14" s="442">
        <v>30</v>
      </c>
      <c r="BO14" s="442">
        <v>13</v>
      </c>
      <c r="BP14" s="359"/>
      <c r="BQ14" s="442" t="s">
        <v>746</v>
      </c>
      <c r="BR14" s="442">
        <v>45</v>
      </c>
      <c r="BS14" s="442">
        <v>53</v>
      </c>
      <c r="BT14" s="359"/>
      <c r="BU14" s="441" t="s">
        <v>711</v>
      </c>
      <c r="BV14" s="441">
        <v>15</v>
      </c>
      <c r="BW14" s="441">
        <v>15</v>
      </c>
      <c r="BX14" s="359"/>
      <c r="BY14" s="359"/>
      <c r="BZ14" s="359"/>
      <c r="CA14" s="359"/>
      <c r="CC14" s="70" t="s">
        <v>3773</v>
      </c>
      <c r="CD14" s="365">
        <v>402</v>
      </c>
      <c r="CE14" s="70" t="s">
        <v>3774</v>
      </c>
      <c r="CK14" s="70" t="s">
        <v>3775</v>
      </c>
      <c r="CL14" s="70" t="s">
        <v>3734</v>
      </c>
      <c r="CN14" s="441" t="s">
        <v>711</v>
      </c>
      <c r="CO14" s="441">
        <v>12</v>
      </c>
      <c r="CP14" s="441">
        <v>12</v>
      </c>
      <c r="CR14" s="441" t="s">
        <v>711</v>
      </c>
      <c r="CS14" s="441">
        <v>13</v>
      </c>
      <c r="CT14" s="441">
        <v>13</v>
      </c>
      <c r="CU14" s="359"/>
      <c r="CV14" s="359"/>
      <c r="CW14" s="359"/>
      <c r="CX14" s="359"/>
      <c r="CZ14" s="70" t="s">
        <v>638</v>
      </c>
      <c r="DA14" s="70">
        <v>20</v>
      </c>
      <c r="DB14" s="70">
        <v>12</v>
      </c>
      <c r="DD14" s="70" t="s">
        <v>638</v>
      </c>
      <c r="DE14" s="70">
        <v>20</v>
      </c>
      <c r="DF14" s="70">
        <v>12</v>
      </c>
    </row>
    <row r="15" spans="1:114">
      <c r="A15" s="441" t="s">
        <v>1637</v>
      </c>
      <c r="B15" s="441">
        <v>6</v>
      </c>
      <c r="C15" s="441">
        <v>13</v>
      </c>
      <c r="E15" s="446" t="s">
        <v>1326</v>
      </c>
      <c r="F15" s="446">
        <v>48</v>
      </c>
      <c r="G15" s="446">
        <v>38</v>
      </c>
      <c r="M15" s="441" t="s">
        <v>1326</v>
      </c>
      <c r="N15" s="441">
        <v>46</v>
      </c>
      <c r="O15" s="441">
        <v>14</v>
      </c>
      <c r="U15" s="448" t="s">
        <v>1917</v>
      </c>
      <c r="V15" s="448">
        <v>13</v>
      </c>
      <c r="W15" s="448">
        <v>13</v>
      </c>
      <c r="Y15" s="442" t="s">
        <v>1917</v>
      </c>
      <c r="Z15" s="442">
        <v>13</v>
      </c>
      <c r="AA15" s="442">
        <v>13</v>
      </c>
      <c r="AB15" s="359"/>
      <c r="AC15" s="363"/>
      <c r="AD15" s="363"/>
      <c r="AE15" s="363"/>
      <c r="AF15" s="359"/>
      <c r="AG15" s="448" t="s">
        <v>1917</v>
      </c>
      <c r="AH15" s="448">
        <v>13</v>
      </c>
      <c r="AI15" s="448">
        <v>13</v>
      </c>
      <c r="AJ15" s="359"/>
      <c r="AK15" s="363"/>
      <c r="AL15" s="363"/>
      <c r="AM15" s="363"/>
      <c r="AO15" s="441" t="s">
        <v>711</v>
      </c>
      <c r="AP15" s="443">
        <v>10</v>
      </c>
      <c r="AQ15" s="443">
        <v>13</v>
      </c>
      <c r="AS15" s="441" t="s">
        <v>711</v>
      </c>
      <c r="AT15" s="442">
        <v>13</v>
      </c>
      <c r="AU15" s="442">
        <v>14</v>
      </c>
      <c r="AV15" s="359"/>
      <c r="AW15" s="442" t="s">
        <v>1048</v>
      </c>
      <c r="AX15" s="442">
        <v>12</v>
      </c>
      <c r="AY15" s="442">
        <v>70</v>
      </c>
      <c r="AZ15" s="359"/>
      <c r="BA15" s="441" t="s">
        <v>711</v>
      </c>
      <c r="BB15" s="448">
        <v>15</v>
      </c>
      <c r="BC15" s="448">
        <v>15</v>
      </c>
      <c r="BD15" s="359"/>
      <c r="BE15" s="359"/>
      <c r="BF15" s="363"/>
      <c r="BG15" s="363"/>
      <c r="BI15" s="441" t="s">
        <v>723</v>
      </c>
      <c r="BJ15" s="441">
        <v>28</v>
      </c>
      <c r="BK15" s="441">
        <v>13</v>
      </c>
      <c r="BM15" s="442" t="s">
        <v>723</v>
      </c>
      <c r="BN15" s="442">
        <v>31</v>
      </c>
      <c r="BO15" s="442">
        <v>14</v>
      </c>
      <c r="BP15" s="359"/>
      <c r="BQ15" s="442" t="s">
        <v>646</v>
      </c>
      <c r="BR15" s="442">
        <v>46</v>
      </c>
      <c r="BS15" s="442">
        <v>54</v>
      </c>
      <c r="BT15" s="359"/>
      <c r="BU15" s="441" t="s">
        <v>723</v>
      </c>
      <c r="BV15" s="441">
        <v>16</v>
      </c>
      <c r="BW15" s="441">
        <v>16</v>
      </c>
      <c r="BX15" s="359"/>
      <c r="BY15" s="359"/>
      <c r="BZ15" s="359"/>
      <c r="CA15" s="359"/>
      <c r="CC15" s="70" t="s">
        <v>3776</v>
      </c>
      <c r="CD15" s="365">
        <v>403</v>
      </c>
      <c r="CE15" s="70" t="s">
        <v>3777</v>
      </c>
      <c r="CK15" s="70" t="s">
        <v>3778</v>
      </c>
      <c r="CL15" s="70" t="s">
        <v>3734</v>
      </c>
      <c r="CN15" s="441" t="s">
        <v>723</v>
      </c>
      <c r="CO15" s="441">
        <v>13</v>
      </c>
      <c r="CP15" s="441">
        <v>13</v>
      </c>
      <c r="CR15" s="441" t="s">
        <v>723</v>
      </c>
      <c r="CS15" s="441">
        <v>14</v>
      </c>
      <c r="CT15" s="441">
        <v>14</v>
      </c>
      <c r="CU15" s="359"/>
      <c r="CV15" s="359"/>
      <c r="CW15" s="359"/>
      <c r="CX15" s="359"/>
      <c r="CZ15" s="70" t="s">
        <v>652</v>
      </c>
      <c r="DA15" s="70">
        <v>21</v>
      </c>
      <c r="DB15" s="70">
        <v>13</v>
      </c>
      <c r="DD15" s="70" t="s">
        <v>652</v>
      </c>
      <c r="DE15" s="70">
        <v>21</v>
      </c>
      <c r="DF15" s="70">
        <v>13</v>
      </c>
    </row>
    <row r="16" spans="1:114">
      <c r="A16" s="441" t="s">
        <v>1650</v>
      </c>
      <c r="B16" s="441">
        <v>10</v>
      </c>
      <c r="C16" s="441">
        <v>14</v>
      </c>
      <c r="E16" s="446" t="s">
        <v>1343</v>
      </c>
      <c r="F16" s="446">
        <v>49</v>
      </c>
      <c r="G16" s="446">
        <v>39</v>
      </c>
      <c r="M16" s="441" t="s">
        <v>1343</v>
      </c>
      <c r="N16" s="441">
        <v>47</v>
      </c>
      <c r="O16" s="441">
        <v>15</v>
      </c>
      <c r="U16" s="448" t="s">
        <v>1925</v>
      </c>
      <c r="V16" s="448">
        <v>14</v>
      </c>
      <c r="W16" s="448">
        <v>14</v>
      </c>
      <c r="Y16" s="442" t="s">
        <v>1925</v>
      </c>
      <c r="Z16" s="442">
        <v>14</v>
      </c>
      <c r="AA16" s="442">
        <v>14</v>
      </c>
      <c r="AB16" s="359"/>
      <c r="AC16" s="363"/>
      <c r="AD16" s="363"/>
      <c r="AE16" s="363"/>
      <c r="AF16" s="359"/>
      <c r="AG16" s="448" t="s">
        <v>1925</v>
      </c>
      <c r="AH16" s="448">
        <v>14</v>
      </c>
      <c r="AI16" s="448">
        <v>14</v>
      </c>
      <c r="AJ16" s="359"/>
      <c r="AK16" s="363"/>
      <c r="AL16" s="363"/>
      <c r="AM16" s="363"/>
      <c r="AO16" s="441" t="s">
        <v>723</v>
      </c>
      <c r="AP16" s="443">
        <v>11</v>
      </c>
      <c r="AQ16" s="443">
        <v>14</v>
      </c>
      <c r="AS16" s="441" t="s">
        <v>723</v>
      </c>
      <c r="AT16" s="442">
        <v>14</v>
      </c>
      <c r="AU16" s="442">
        <v>15</v>
      </c>
      <c r="AV16" s="359"/>
      <c r="AW16" s="442" t="s">
        <v>1066</v>
      </c>
      <c r="AX16" s="442">
        <v>10</v>
      </c>
      <c r="AY16" s="442">
        <v>71</v>
      </c>
      <c r="AZ16" s="359"/>
      <c r="BA16" s="441" t="s">
        <v>723</v>
      </c>
      <c r="BB16" s="448">
        <v>16</v>
      </c>
      <c r="BC16" s="448">
        <v>16</v>
      </c>
      <c r="BD16" s="359"/>
      <c r="BE16" s="359"/>
      <c r="BG16" s="359"/>
      <c r="BI16" s="441" t="s">
        <v>738</v>
      </c>
      <c r="BJ16" s="441">
        <v>29</v>
      </c>
      <c r="BK16" s="441">
        <v>14</v>
      </c>
      <c r="BM16" s="442" t="s">
        <v>738</v>
      </c>
      <c r="BN16" s="442">
        <v>32</v>
      </c>
      <c r="BO16" s="442">
        <v>15</v>
      </c>
      <c r="BP16" s="359"/>
      <c r="BQ16" s="442" t="s">
        <v>655</v>
      </c>
      <c r="BR16" s="442">
        <v>47</v>
      </c>
      <c r="BS16" s="442">
        <v>55</v>
      </c>
      <c r="BT16" s="359"/>
      <c r="BU16" s="441" t="s">
        <v>738</v>
      </c>
      <c r="BV16" s="441">
        <v>17</v>
      </c>
      <c r="BW16" s="441">
        <v>17</v>
      </c>
      <c r="BX16" s="359"/>
      <c r="BY16" s="359"/>
      <c r="BZ16" s="359"/>
      <c r="CA16" s="359"/>
      <c r="CC16" s="70" t="s">
        <v>3779</v>
      </c>
      <c r="CD16" s="365" t="s">
        <v>3780</v>
      </c>
      <c r="CE16" s="70" t="s">
        <v>3781</v>
      </c>
      <c r="CK16" s="70" t="s">
        <v>3782</v>
      </c>
      <c r="CL16" s="70" t="s">
        <v>3729</v>
      </c>
      <c r="CN16" s="441" t="s">
        <v>738</v>
      </c>
      <c r="CO16" s="441">
        <v>14</v>
      </c>
      <c r="CP16" s="441">
        <v>14</v>
      </c>
      <c r="CR16" s="441" t="s">
        <v>738</v>
      </c>
      <c r="CS16" s="441">
        <v>15</v>
      </c>
      <c r="CT16" s="441">
        <v>15</v>
      </c>
      <c r="CU16" s="359"/>
      <c r="CV16" s="359"/>
      <c r="CW16" s="359"/>
      <c r="CX16" s="359"/>
      <c r="CZ16" s="70" t="s">
        <v>1897</v>
      </c>
      <c r="DA16" s="70">
        <v>53</v>
      </c>
      <c r="DB16" s="70">
        <v>14</v>
      </c>
      <c r="DD16" s="70" t="s">
        <v>1897</v>
      </c>
      <c r="DE16" s="70">
        <v>53</v>
      </c>
      <c r="DF16" s="70">
        <v>14</v>
      </c>
    </row>
    <row r="17" spans="1:110">
      <c r="A17" s="441" t="s">
        <v>711</v>
      </c>
      <c r="B17" s="441">
        <v>11</v>
      </c>
      <c r="C17" s="441">
        <v>15</v>
      </c>
      <c r="E17" s="446" t="s">
        <v>1766</v>
      </c>
      <c r="F17" s="446">
        <v>50</v>
      </c>
      <c r="G17" s="446">
        <v>40</v>
      </c>
      <c r="M17" s="441" t="s">
        <v>1766</v>
      </c>
      <c r="N17" s="441">
        <v>48</v>
      </c>
      <c r="O17" s="441">
        <v>16</v>
      </c>
      <c r="U17" s="448" t="s">
        <v>1932</v>
      </c>
      <c r="V17" s="448">
        <v>15</v>
      </c>
      <c r="W17" s="448">
        <v>15</v>
      </c>
      <c r="Y17" s="442" t="s">
        <v>1932</v>
      </c>
      <c r="Z17" s="442">
        <v>15</v>
      </c>
      <c r="AA17" s="442">
        <v>15</v>
      </c>
      <c r="AB17" s="359"/>
      <c r="AC17" s="363"/>
      <c r="AD17" s="363"/>
      <c r="AE17" s="363"/>
      <c r="AF17" s="359"/>
      <c r="AG17" s="448" t="s">
        <v>1932</v>
      </c>
      <c r="AH17" s="448">
        <v>15</v>
      </c>
      <c r="AI17" s="448">
        <v>15</v>
      </c>
      <c r="AJ17" s="359"/>
      <c r="AK17" s="363"/>
      <c r="AL17" s="363"/>
      <c r="AM17" s="363"/>
      <c r="AO17" s="441" t="s">
        <v>738</v>
      </c>
      <c r="AP17" s="443">
        <v>12</v>
      </c>
      <c r="AQ17" s="443">
        <v>15</v>
      </c>
      <c r="AS17" s="441" t="s">
        <v>738</v>
      </c>
      <c r="AT17" s="442">
        <v>15</v>
      </c>
      <c r="AU17" s="442">
        <v>16</v>
      </c>
      <c r="AV17" s="359"/>
      <c r="AW17" s="442" t="s">
        <v>1075</v>
      </c>
      <c r="AX17" s="442">
        <v>24</v>
      </c>
      <c r="AY17" s="97">
        <v>72</v>
      </c>
      <c r="AZ17" s="359"/>
      <c r="BA17" s="441" t="s">
        <v>738</v>
      </c>
      <c r="BB17" s="448">
        <v>17</v>
      </c>
      <c r="BC17" s="448">
        <v>17</v>
      </c>
      <c r="BD17" s="359"/>
      <c r="BE17" s="359"/>
      <c r="BG17" s="359"/>
      <c r="BI17" s="441" t="s">
        <v>753</v>
      </c>
      <c r="BJ17" s="441">
        <v>25</v>
      </c>
      <c r="BK17" s="441">
        <v>15</v>
      </c>
      <c r="BM17" s="442" t="s">
        <v>753</v>
      </c>
      <c r="BN17" s="442">
        <v>33</v>
      </c>
      <c r="BO17" s="442">
        <v>16</v>
      </c>
      <c r="BP17" s="359"/>
      <c r="BQ17" s="359"/>
      <c r="BR17" s="359"/>
      <c r="BS17" s="359"/>
      <c r="BT17" s="359"/>
      <c r="BU17" s="441" t="s">
        <v>753</v>
      </c>
      <c r="BV17" s="441">
        <v>18</v>
      </c>
      <c r="BW17" s="441">
        <v>18</v>
      </c>
      <c r="BX17" s="359"/>
      <c r="BY17" s="359"/>
      <c r="BZ17" s="359"/>
      <c r="CA17" s="359"/>
      <c r="CC17" s="70" t="s">
        <v>3783</v>
      </c>
      <c r="CD17" s="365">
        <v>804</v>
      </c>
      <c r="CE17" s="70" t="s">
        <v>3784</v>
      </c>
      <c r="CK17" s="70" t="s">
        <v>3785</v>
      </c>
      <c r="CL17" s="70" t="s">
        <v>3734</v>
      </c>
      <c r="CN17" s="441" t="s">
        <v>753</v>
      </c>
      <c r="CO17" s="441">
        <v>15</v>
      </c>
      <c r="CP17" s="441">
        <v>15</v>
      </c>
      <c r="CR17" s="441" t="s">
        <v>753</v>
      </c>
      <c r="CS17" s="441">
        <v>16</v>
      </c>
      <c r="CT17" s="441">
        <v>16</v>
      </c>
      <c r="CU17" s="359"/>
      <c r="CV17" s="359"/>
      <c r="CW17" s="359"/>
      <c r="CX17" s="359"/>
      <c r="CZ17" s="70" t="s">
        <v>1902</v>
      </c>
      <c r="DA17" s="70">
        <v>22</v>
      </c>
      <c r="DB17" s="70">
        <v>15</v>
      </c>
      <c r="DD17" s="70" t="s">
        <v>1902</v>
      </c>
      <c r="DE17" s="70">
        <v>22</v>
      </c>
      <c r="DF17" s="70">
        <v>15</v>
      </c>
    </row>
    <row r="18" spans="1:110">
      <c r="A18" s="441" t="s">
        <v>723</v>
      </c>
      <c r="B18" s="441">
        <v>12</v>
      </c>
      <c r="C18" s="441">
        <v>16</v>
      </c>
      <c r="E18" s="446" t="s">
        <v>1770</v>
      </c>
      <c r="F18" s="446">
        <v>51</v>
      </c>
      <c r="G18" s="446">
        <v>41</v>
      </c>
      <c r="M18" s="441" t="s">
        <v>1770</v>
      </c>
      <c r="N18" s="441">
        <v>49</v>
      </c>
      <c r="O18" s="441">
        <v>17</v>
      </c>
      <c r="U18" s="448" t="s">
        <v>1938</v>
      </c>
      <c r="V18" s="448">
        <v>47</v>
      </c>
      <c r="W18" s="448">
        <v>16</v>
      </c>
      <c r="Y18" s="442" t="s">
        <v>1938</v>
      </c>
      <c r="Z18" s="442">
        <v>50</v>
      </c>
      <c r="AA18" s="442">
        <v>16</v>
      </c>
      <c r="AB18" s="359"/>
      <c r="AC18" s="363"/>
      <c r="AD18" s="363"/>
      <c r="AE18" s="363"/>
      <c r="AF18" s="359"/>
      <c r="AG18" s="448" t="s">
        <v>1938</v>
      </c>
      <c r="AH18" s="448">
        <v>52</v>
      </c>
      <c r="AI18" s="448">
        <v>16</v>
      </c>
      <c r="AJ18" s="359"/>
      <c r="AK18" s="363"/>
      <c r="AL18" s="363"/>
      <c r="AM18" s="363"/>
      <c r="AO18" s="441" t="s">
        <v>753</v>
      </c>
      <c r="AP18" s="443">
        <v>67</v>
      </c>
      <c r="AQ18" s="443">
        <v>16</v>
      </c>
      <c r="AS18" s="441" t="s">
        <v>753</v>
      </c>
      <c r="AT18" s="442">
        <v>90</v>
      </c>
      <c r="AU18" s="442">
        <v>17</v>
      </c>
      <c r="AV18" s="359"/>
      <c r="AW18" s="442" t="s">
        <v>1191</v>
      </c>
      <c r="AX18" s="442">
        <v>76</v>
      </c>
      <c r="AY18" s="442">
        <v>86</v>
      </c>
      <c r="AZ18" s="359"/>
      <c r="BA18" s="441" t="s">
        <v>761</v>
      </c>
      <c r="BB18" s="448">
        <v>18</v>
      </c>
      <c r="BC18" s="448">
        <v>19</v>
      </c>
      <c r="BD18" s="359"/>
      <c r="BE18" s="359"/>
      <c r="BG18" s="359"/>
      <c r="BI18" s="441" t="s">
        <v>761</v>
      </c>
      <c r="BJ18" s="441">
        <v>26</v>
      </c>
      <c r="BK18" s="441">
        <v>16</v>
      </c>
      <c r="BM18" s="442" t="s">
        <v>761</v>
      </c>
      <c r="BN18" s="442">
        <v>34</v>
      </c>
      <c r="BO18" s="442">
        <v>17</v>
      </c>
      <c r="BP18" s="359"/>
      <c r="BQ18" s="359"/>
      <c r="BR18" s="359"/>
      <c r="BS18" s="359"/>
      <c r="BT18" s="359"/>
      <c r="BU18" s="441" t="s">
        <v>761</v>
      </c>
      <c r="BV18" s="441">
        <v>19</v>
      </c>
      <c r="BW18" s="441">
        <v>19</v>
      </c>
      <c r="BX18" s="359"/>
      <c r="BY18" s="359"/>
      <c r="BZ18" s="359"/>
      <c r="CA18" s="359"/>
      <c r="CC18" s="70" t="s">
        <v>3786</v>
      </c>
      <c r="CD18" s="365">
        <v>404</v>
      </c>
      <c r="CE18" s="70" t="s">
        <v>3787</v>
      </c>
      <c r="CK18" s="70" t="s">
        <v>3788</v>
      </c>
      <c r="CL18" s="70" t="s">
        <v>3729</v>
      </c>
      <c r="CN18" s="441" t="s">
        <v>761</v>
      </c>
      <c r="CO18" s="441">
        <v>16</v>
      </c>
      <c r="CP18" s="441">
        <v>16</v>
      </c>
      <c r="CR18" s="441" t="s">
        <v>761</v>
      </c>
      <c r="CS18" s="441">
        <v>17</v>
      </c>
      <c r="CT18" s="441">
        <v>17</v>
      </c>
      <c r="CU18" s="359"/>
      <c r="CV18" s="359"/>
      <c r="CW18" s="359"/>
      <c r="CX18" s="359"/>
      <c r="CZ18" s="70" t="s">
        <v>661</v>
      </c>
      <c r="DA18" s="70">
        <v>12</v>
      </c>
      <c r="DB18" s="70">
        <v>16</v>
      </c>
      <c r="DD18" s="70" t="s">
        <v>661</v>
      </c>
      <c r="DE18" s="70">
        <v>12</v>
      </c>
      <c r="DF18" s="70">
        <v>16</v>
      </c>
    </row>
    <row r="19" spans="1:110">
      <c r="A19" s="441" t="s">
        <v>738</v>
      </c>
      <c r="B19" s="441">
        <v>13</v>
      </c>
      <c r="C19" s="441">
        <v>17</v>
      </c>
      <c r="E19" s="446" t="s">
        <v>1774</v>
      </c>
      <c r="F19" s="446">
        <v>52</v>
      </c>
      <c r="G19" s="446">
        <v>42</v>
      </c>
      <c r="M19" s="441" t="s">
        <v>1774</v>
      </c>
      <c r="N19" s="441">
        <v>50</v>
      </c>
      <c r="O19" s="441">
        <v>18</v>
      </c>
      <c r="U19" s="448" t="s">
        <v>1949</v>
      </c>
      <c r="V19" s="448">
        <v>48</v>
      </c>
      <c r="W19" s="448">
        <v>17</v>
      </c>
      <c r="Y19" s="442" t="s">
        <v>1949</v>
      </c>
      <c r="Z19" s="442">
        <v>51</v>
      </c>
      <c r="AA19" s="442">
        <v>17</v>
      </c>
      <c r="AB19" s="359"/>
      <c r="AC19" s="363"/>
      <c r="AD19" s="363"/>
      <c r="AE19" s="363"/>
      <c r="AF19" s="359"/>
      <c r="AG19" s="448" t="s">
        <v>1949</v>
      </c>
      <c r="AH19" s="448">
        <v>53</v>
      </c>
      <c r="AI19" s="448">
        <v>17</v>
      </c>
      <c r="AJ19" s="359"/>
      <c r="AK19" s="363"/>
      <c r="AL19" s="363"/>
      <c r="AM19" s="363"/>
      <c r="AO19" s="441" t="s">
        <v>761</v>
      </c>
      <c r="AP19" s="443">
        <v>13</v>
      </c>
      <c r="AQ19" s="443">
        <v>17</v>
      </c>
      <c r="AS19" s="441" t="s">
        <v>761</v>
      </c>
      <c r="AT19" s="442">
        <v>16</v>
      </c>
      <c r="AU19" s="442">
        <v>18</v>
      </c>
      <c r="AV19" s="359"/>
      <c r="AW19" s="442" t="s">
        <v>1207</v>
      </c>
      <c r="AX19" s="442">
        <v>77</v>
      </c>
      <c r="AY19" s="442">
        <v>87</v>
      </c>
      <c r="AZ19" s="359"/>
      <c r="BA19" s="441" t="s">
        <v>797</v>
      </c>
      <c r="BB19" s="448">
        <v>19</v>
      </c>
      <c r="BC19" s="448">
        <v>20</v>
      </c>
      <c r="BD19" s="359"/>
      <c r="BE19" s="359"/>
      <c r="BG19" s="359"/>
      <c r="BI19" s="441" t="s">
        <v>769</v>
      </c>
      <c r="BJ19" s="441">
        <v>20</v>
      </c>
      <c r="BK19" s="441">
        <v>17</v>
      </c>
      <c r="BM19" s="442" t="s">
        <v>769</v>
      </c>
      <c r="BN19" s="442">
        <v>28</v>
      </c>
      <c r="BO19" s="442">
        <v>18</v>
      </c>
      <c r="BP19" s="359"/>
      <c r="BQ19" s="359"/>
      <c r="BR19" s="359"/>
      <c r="BS19" s="359"/>
      <c r="BT19" s="359"/>
      <c r="BU19" s="441" t="s">
        <v>769</v>
      </c>
      <c r="BV19" s="441">
        <v>20</v>
      </c>
      <c r="BW19" s="441">
        <v>20</v>
      </c>
      <c r="BX19" s="359"/>
      <c r="BY19" s="359"/>
      <c r="BZ19" s="359"/>
      <c r="CA19" s="359"/>
      <c r="CC19" s="70" t="s">
        <v>3789</v>
      </c>
      <c r="CD19" s="365" t="s">
        <v>3790</v>
      </c>
      <c r="CE19" s="70" t="s">
        <v>3791</v>
      </c>
      <c r="CN19" s="441" t="s">
        <v>797</v>
      </c>
      <c r="CO19" s="441">
        <v>17</v>
      </c>
      <c r="CP19" s="441">
        <v>17</v>
      </c>
      <c r="CR19" s="441" t="s">
        <v>797</v>
      </c>
      <c r="CS19" s="441">
        <v>18</v>
      </c>
      <c r="CT19" s="441">
        <v>18</v>
      </c>
      <c r="CU19" s="359"/>
      <c r="CV19" s="359"/>
      <c r="CW19" s="359"/>
      <c r="CX19" s="359"/>
      <c r="CZ19" s="70" t="s">
        <v>677</v>
      </c>
      <c r="DA19" s="70">
        <v>13</v>
      </c>
      <c r="DB19" s="70">
        <v>17</v>
      </c>
      <c r="DD19" s="70" t="s">
        <v>677</v>
      </c>
      <c r="DE19" s="70">
        <v>13</v>
      </c>
      <c r="DF19" s="70">
        <v>17</v>
      </c>
    </row>
    <row r="20" spans="1:110">
      <c r="A20" s="441" t="s">
        <v>753</v>
      </c>
      <c r="B20" s="441">
        <v>14</v>
      </c>
      <c r="C20" s="441">
        <v>18</v>
      </c>
      <c r="E20" s="446" t="s">
        <v>1779</v>
      </c>
      <c r="F20" s="446">
        <v>53</v>
      </c>
      <c r="G20" s="446">
        <v>43</v>
      </c>
      <c r="M20" s="441" t="s">
        <v>1779</v>
      </c>
      <c r="N20" s="441">
        <v>51</v>
      </c>
      <c r="O20" s="441">
        <v>19</v>
      </c>
      <c r="U20" s="448" t="s">
        <v>1957</v>
      </c>
      <c r="V20" s="448">
        <v>49</v>
      </c>
      <c r="W20" s="448">
        <v>18</v>
      </c>
      <c r="Y20" s="442" t="s">
        <v>1957</v>
      </c>
      <c r="Z20" s="442">
        <v>52</v>
      </c>
      <c r="AA20" s="442">
        <v>18</v>
      </c>
      <c r="AB20" s="359"/>
      <c r="AC20" s="363"/>
      <c r="AD20" s="363"/>
      <c r="AE20" s="363"/>
      <c r="AF20" s="359"/>
      <c r="AG20" s="448" t="s">
        <v>1957</v>
      </c>
      <c r="AH20" s="448">
        <v>54</v>
      </c>
      <c r="AI20" s="448">
        <v>18</v>
      </c>
      <c r="AJ20" s="359"/>
      <c r="AK20" s="363"/>
      <c r="AL20" s="363"/>
      <c r="AM20" s="363"/>
      <c r="AO20" s="441" t="s">
        <v>797</v>
      </c>
      <c r="AP20" s="443">
        <v>14</v>
      </c>
      <c r="AQ20" s="443">
        <v>18</v>
      </c>
      <c r="AS20" s="441" t="s">
        <v>797</v>
      </c>
      <c r="AT20" s="442">
        <v>17</v>
      </c>
      <c r="AU20" s="442">
        <v>19</v>
      </c>
      <c r="AV20" s="359"/>
      <c r="AW20" s="442" t="s">
        <v>1087</v>
      </c>
      <c r="AX20" s="442">
        <v>78</v>
      </c>
      <c r="AY20" s="442">
        <v>88</v>
      </c>
      <c r="AZ20" s="359"/>
      <c r="BA20" s="441" t="s">
        <v>807</v>
      </c>
      <c r="BB20" s="448">
        <v>20</v>
      </c>
      <c r="BC20" s="448">
        <v>21</v>
      </c>
      <c r="BD20" s="359"/>
      <c r="BE20" s="359"/>
      <c r="BG20" s="359"/>
      <c r="BI20" s="441" t="s">
        <v>777</v>
      </c>
      <c r="BJ20" s="441">
        <v>21</v>
      </c>
      <c r="BK20" s="441">
        <v>18</v>
      </c>
      <c r="BM20" s="442" t="s">
        <v>777</v>
      </c>
      <c r="BN20" s="442">
        <v>29</v>
      </c>
      <c r="BO20" s="442">
        <v>19</v>
      </c>
      <c r="BP20" s="359"/>
      <c r="BQ20" s="359"/>
      <c r="BR20" s="359"/>
      <c r="BS20" s="359"/>
      <c r="BT20" s="359"/>
      <c r="BU20" s="441" t="s">
        <v>777</v>
      </c>
      <c r="BV20" s="441">
        <v>21</v>
      </c>
      <c r="BW20" s="441">
        <v>21</v>
      </c>
      <c r="BX20" s="359"/>
      <c r="BY20" s="359"/>
      <c r="BZ20" s="359"/>
      <c r="CA20" s="359"/>
      <c r="CC20" s="70" t="s">
        <v>3792</v>
      </c>
      <c r="CD20" s="365">
        <v>405</v>
      </c>
      <c r="CE20" s="70" t="s">
        <v>3793</v>
      </c>
      <c r="CN20" s="441" t="s">
        <v>807</v>
      </c>
      <c r="CO20" s="441">
        <v>18</v>
      </c>
      <c r="CP20" s="441">
        <v>18</v>
      </c>
      <c r="CR20" s="441" t="s">
        <v>807</v>
      </c>
      <c r="CS20" s="441">
        <v>19</v>
      </c>
      <c r="CT20" s="441">
        <v>19</v>
      </c>
      <c r="CU20" s="359"/>
      <c r="CV20" s="359"/>
      <c r="CW20" s="359"/>
      <c r="CX20" s="359"/>
      <c r="CZ20" s="70" t="s">
        <v>693</v>
      </c>
      <c r="DA20" s="70">
        <v>14</v>
      </c>
      <c r="DB20" s="70">
        <v>18</v>
      </c>
      <c r="DD20" s="70" t="s">
        <v>693</v>
      </c>
      <c r="DE20" s="70">
        <v>14</v>
      </c>
      <c r="DF20" s="70">
        <v>18</v>
      </c>
    </row>
    <row r="21" spans="1:110">
      <c r="A21" s="441" t="s">
        <v>761</v>
      </c>
      <c r="B21" s="441">
        <v>15</v>
      </c>
      <c r="C21" s="441">
        <v>19</v>
      </c>
      <c r="E21" s="446" t="s">
        <v>1783</v>
      </c>
      <c r="F21" s="446">
        <v>54</v>
      </c>
      <c r="G21" s="446">
        <v>44</v>
      </c>
      <c r="M21" s="441" t="s">
        <v>1783</v>
      </c>
      <c r="N21" s="441">
        <v>52</v>
      </c>
      <c r="O21" s="441">
        <v>20</v>
      </c>
      <c r="U21" s="448" t="s">
        <v>1966</v>
      </c>
      <c r="V21" s="448">
        <v>50</v>
      </c>
      <c r="W21" s="448">
        <v>19</v>
      </c>
      <c r="Y21" s="442" t="s">
        <v>1966</v>
      </c>
      <c r="Z21" s="442">
        <v>53</v>
      </c>
      <c r="AA21" s="442">
        <v>19</v>
      </c>
      <c r="AB21" s="359"/>
      <c r="AC21" s="363"/>
      <c r="AD21" s="363"/>
      <c r="AE21" s="363"/>
      <c r="AF21" s="359"/>
      <c r="AG21" s="448" t="s">
        <v>1966</v>
      </c>
      <c r="AH21" s="448">
        <v>55</v>
      </c>
      <c r="AI21" s="448">
        <v>19</v>
      </c>
      <c r="AJ21" s="359"/>
      <c r="AK21" s="363"/>
      <c r="AL21" s="363"/>
      <c r="AM21" s="363"/>
      <c r="AO21" s="441" t="s">
        <v>807</v>
      </c>
      <c r="AP21" s="443">
        <v>15</v>
      </c>
      <c r="AQ21" s="443">
        <v>19</v>
      </c>
      <c r="AS21" s="441" t="s">
        <v>807</v>
      </c>
      <c r="AT21" s="442">
        <v>18</v>
      </c>
      <c r="AU21" s="442">
        <v>20</v>
      </c>
      <c r="AV21" s="359"/>
      <c r="AW21" s="442" t="s">
        <v>1101</v>
      </c>
      <c r="AX21" s="442">
        <v>50</v>
      </c>
      <c r="AY21" s="442">
        <v>89</v>
      </c>
      <c r="AZ21" s="359"/>
      <c r="BA21" s="441" t="s">
        <v>815</v>
      </c>
      <c r="BB21" s="448">
        <v>21</v>
      </c>
      <c r="BC21" s="448">
        <v>22</v>
      </c>
      <c r="BD21" s="359"/>
      <c r="BE21" s="359"/>
      <c r="BG21" s="359"/>
      <c r="BI21" s="441" t="s">
        <v>785</v>
      </c>
      <c r="BJ21" s="441">
        <v>22</v>
      </c>
      <c r="BK21" s="441">
        <v>19</v>
      </c>
      <c r="BM21" s="442" t="s">
        <v>785</v>
      </c>
      <c r="BN21" s="442">
        <v>20</v>
      </c>
      <c r="BO21" s="442">
        <v>20</v>
      </c>
      <c r="BP21" s="359"/>
      <c r="BQ21" s="359"/>
      <c r="BR21" s="359"/>
      <c r="BS21" s="359"/>
      <c r="BT21" s="359"/>
      <c r="BU21" s="441" t="s">
        <v>785</v>
      </c>
      <c r="BV21" s="441">
        <v>22</v>
      </c>
      <c r="BW21" s="441">
        <v>22</v>
      </c>
      <c r="BX21" s="359"/>
      <c r="BY21" s="359"/>
      <c r="BZ21" s="359"/>
      <c r="CA21" s="359"/>
      <c r="CC21" s="70" t="s">
        <v>3794</v>
      </c>
      <c r="CD21" s="365">
        <v>406</v>
      </c>
      <c r="CE21" s="70" t="s">
        <v>3795</v>
      </c>
      <c r="CN21" s="441" t="s">
        <v>815</v>
      </c>
      <c r="CO21" s="441">
        <v>19</v>
      </c>
      <c r="CP21" s="441">
        <v>19</v>
      </c>
      <c r="CR21" s="441" t="s">
        <v>815</v>
      </c>
      <c r="CS21" s="441">
        <v>20</v>
      </c>
      <c r="CT21" s="441">
        <v>20</v>
      </c>
      <c r="CU21" s="359"/>
      <c r="CV21" s="359"/>
      <c r="CW21" s="359"/>
      <c r="CX21" s="359"/>
      <c r="CZ21" s="70" t="s">
        <v>1517</v>
      </c>
      <c r="DA21" s="70">
        <v>15</v>
      </c>
      <c r="DB21" s="70">
        <v>19</v>
      </c>
      <c r="DD21" s="70" t="s">
        <v>1517</v>
      </c>
      <c r="DE21" s="70">
        <v>15</v>
      </c>
      <c r="DF21" s="70">
        <v>19</v>
      </c>
    </row>
    <row r="22" spans="1:110">
      <c r="A22" s="441" t="s">
        <v>769</v>
      </c>
      <c r="B22" s="441">
        <v>16</v>
      </c>
      <c r="C22" s="441">
        <v>20</v>
      </c>
      <c r="E22" s="446" t="s">
        <v>1789</v>
      </c>
      <c r="F22" s="446">
        <v>55</v>
      </c>
      <c r="G22" s="446">
        <v>45</v>
      </c>
      <c r="M22" s="441" t="s">
        <v>1789</v>
      </c>
      <c r="N22" s="441">
        <v>53</v>
      </c>
      <c r="O22" s="441">
        <v>21</v>
      </c>
      <c r="U22" s="448" t="s">
        <v>1973</v>
      </c>
      <c r="V22" s="448">
        <v>51</v>
      </c>
      <c r="W22" s="448">
        <v>20</v>
      </c>
      <c r="Y22" s="442" t="s">
        <v>1973</v>
      </c>
      <c r="Z22" s="442">
        <v>54</v>
      </c>
      <c r="AA22" s="442">
        <v>20</v>
      </c>
      <c r="AB22" s="359"/>
      <c r="AC22" s="363"/>
      <c r="AD22" s="363"/>
      <c r="AE22" s="363"/>
      <c r="AF22" s="359"/>
      <c r="AG22" s="448" t="s">
        <v>1973</v>
      </c>
      <c r="AH22" s="448">
        <v>56</v>
      </c>
      <c r="AI22" s="448">
        <v>20</v>
      </c>
      <c r="AJ22" s="359"/>
      <c r="AK22" s="363"/>
      <c r="AL22" s="363"/>
      <c r="AM22" s="363"/>
      <c r="AO22" s="441" t="s">
        <v>815</v>
      </c>
      <c r="AP22" s="443">
        <v>16</v>
      </c>
      <c r="AQ22" s="443">
        <v>20</v>
      </c>
      <c r="AS22" s="441" t="s">
        <v>815</v>
      </c>
      <c r="AT22" s="442">
        <v>19</v>
      </c>
      <c r="AU22" s="442">
        <v>21</v>
      </c>
      <c r="AV22" s="359"/>
      <c r="AW22" s="442" t="s">
        <v>1224</v>
      </c>
      <c r="AX22" s="442">
        <v>79</v>
      </c>
      <c r="AY22" s="442">
        <v>90</v>
      </c>
      <c r="AZ22" s="359"/>
      <c r="BA22" s="441" t="s">
        <v>829</v>
      </c>
      <c r="BB22" s="448">
        <v>22</v>
      </c>
      <c r="BC22" s="448">
        <v>23</v>
      </c>
      <c r="BD22" s="359"/>
      <c r="BE22" s="359"/>
      <c r="BG22" s="359"/>
      <c r="BI22" s="441" t="s">
        <v>797</v>
      </c>
      <c r="BJ22" s="441">
        <v>30</v>
      </c>
      <c r="BK22" s="441">
        <v>20</v>
      </c>
      <c r="BM22" s="442" t="s">
        <v>797</v>
      </c>
      <c r="BN22" s="442">
        <v>36</v>
      </c>
      <c r="BO22" s="442">
        <v>25</v>
      </c>
      <c r="BP22" s="359"/>
      <c r="BQ22" s="359"/>
      <c r="BR22" s="359"/>
      <c r="BS22" s="359"/>
      <c r="BT22" s="359"/>
      <c r="BU22" s="441" t="s">
        <v>797</v>
      </c>
      <c r="BV22" s="441">
        <v>23</v>
      </c>
      <c r="BW22" s="441">
        <v>23</v>
      </c>
      <c r="BX22" s="359"/>
      <c r="BY22" s="359"/>
      <c r="BZ22" s="359"/>
      <c r="CA22" s="359"/>
      <c r="CC22" s="70" t="s">
        <v>3796</v>
      </c>
      <c r="CD22" s="365">
        <v>465</v>
      </c>
      <c r="CE22" s="70" t="s">
        <v>3797</v>
      </c>
      <c r="CN22" s="441" t="s">
        <v>829</v>
      </c>
      <c r="CO22" s="441">
        <v>20</v>
      </c>
      <c r="CP22" s="441">
        <v>20</v>
      </c>
      <c r="CR22" s="441" t="s">
        <v>829</v>
      </c>
      <c r="CS22" s="441">
        <v>21</v>
      </c>
      <c r="CT22" s="441">
        <v>21</v>
      </c>
      <c r="CU22" s="359"/>
      <c r="CV22" s="359"/>
      <c r="CW22" s="359"/>
      <c r="CX22" s="359"/>
      <c r="CZ22" s="70" t="s">
        <v>1637</v>
      </c>
      <c r="DA22" s="70">
        <v>16</v>
      </c>
      <c r="DB22" s="70">
        <v>20</v>
      </c>
      <c r="DD22" s="70" t="s">
        <v>1637</v>
      </c>
      <c r="DE22" s="70">
        <v>16</v>
      </c>
      <c r="DF22" s="70">
        <v>20</v>
      </c>
    </row>
    <row r="23" spans="1:110">
      <c r="A23" s="441" t="s">
        <v>777</v>
      </c>
      <c r="B23" s="441">
        <v>17</v>
      </c>
      <c r="C23" s="441">
        <v>21</v>
      </c>
      <c r="E23" s="446" t="s">
        <v>1244</v>
      </c>
      <c r="F23" s="446">
        <v>23</v>
      </c>
      <c r="G23" s="446">
        <v>46</v>
      </c>
      <c r="M23" s="441" t="s">
        <v>1244</v>
      </c>
      <c r="N23" s="441">
        <v>23</v>
      </c>
      <c r="O23" s="441">
        <v>22</v>
      </c>
      <c r="U23" s="448" t="s">
        <v>1981</v>
      </c>
      <c r="V23" s="448">
        <v>52</v>
      </c>
      <c r="W23" s="448">
        <v>21</v>
      </c>
      <c r="Y23" s="442" t="s">
        <v>1981</v>
      </c>
      <c r="Z23" s="442">
        <v>55</v>
      </c>
      <c r="AA23" s="442">
        <v>21</v>
      </c>
      <c r="AB23" s="359"/>
      <c r="AC23" s="363"/>
      <c r="AD23" s="363"/>
      <c r="AE23" s="363"/>
      <c r="AF23" s="359"/>
      <c r="AG23" s="448" t="s">
        <v>1981</v>
      </c>
      <c r="AH23" s="448">
        <v>57</v>
      </c>
      <c r="AI23" s="448">
        <v>21</v>
      </c>
      <c r="AJ23" s="359"/>
      <c r="AK23" s="363"/>
      <c r="AL23" s="363"/>
      <c r="AM23" s="363"/>
      <c r="AO23" s="441" t="s">
        <v>829</v>
      </c>
      <c r="AP23" s="443">
        <v>17</v>
      </c>
      <c r="AQ23" s="443">
        <v>21</v>
      </c>
      <c r="AS23" s="441" t="s">
        <v>829</v>
      </c>
      <c r="AT23" s="442">
        <v>20</v>
      </c>
      <c r="AU23" s="442">
        <v>22</v>
      </c>
      <c r="AV23" s="359"/>
      <c r="AW23" s="442" t="s">
        <v>1233</v>
      </c>
      <c r="AX23" s="442">
        <v>80</v>
      </c>
      <c r="AY23" s="442">
        <v>91</v>
      </c>
      <c r="AZ23" s="359"/>
      <c r="BA23" s="441" t="s">
        <v>1448</v>
      </c>
      <c r="BB23" s="448">
        <v>23</v>
      </c>
      <c r="BC23" s="448">
        <v>43</v>
      </c>
      <c r="BD23" s="359"/>
      <c r="BE23" s="359"/>
      <c r="BF23" s="359"/>
      <c r="BG23" s="359"/>
      <c r="BI23" s="441" t="s">
        <v>807</v>
      </c>
      <c r="BJ23" s="441">
        <v>31</v>
      </c>
      <c r="BK23" s="441">
        <v>21</v>
      </c>
      <c r="BM23" s="442" t="s">
        <v>807</v>
      </c>
      <c r="BN23" s="442">
        <v>37</v>
      </c>
      <c r="BO23" s="442">
        <v>26</v>
      </c>
      <c r="BP23" s="359"/>
      <c r="BQ23" s="359"/>
      <c r="BR23" s="359"/>
      <c r="BS23" s="359"/>
      <c r="BT23" s="359"/>
      <c r="BU23" s="441" t="s">
        <v>807</v>
      </c>
      <c r="BV23" s="441">
        <v>24</v>
      </c>
      <c r="BW23" s="441">
        <v>24</v>
      </c>
      <c r="BX23" s="359"/>
      <c r="BY23" s="359"/>
      <c r="BZ23" s="359"/>
      <c r="CA23" s="359"/>
      <c r="CC23" s="70" t="s">
        <v>3798</v>
      </c>
      <c r="CD23" s="365">
        <v>413</v>
      </c>
      <c r="CE23" s="70" t="s">
        <v>3799</v>
      </c>
      <c r="CN23" s="441" t="s">
        <v>881</v>
      </c>
      <c r="CO23" s="441">
        <v>21</v>
      </c>
      <c r="CP23" s="441">
        <v>21</v>
      </c>
      <c r="CR23" s="441" t="s">
        <v>881</v>
      </c>
      <c r="CS23" s="441">
        <v>22</v>
      </c>
      <c r="CT23" s="441">
        <v>22</v>
      </c>
      <c r="CU23" s="359"/>
      <c r="CV23" s="359"/>
      <c r="CW23" s="359"/>
      <c r="CX23" s="359"/>
      <c r="CZ23" s="70" t="s">
        <v>1650</v>
      </c>
      <c r="DA23" s="70">
        <v>23</v>
      </c>
      <c r="DB23" s="70">
        <v>21</v>
      </c>
      <c r="DD23" s="70" t="s">
        <v>1650</v>
      </c>
      <c r="DE23" s="70">
        <v>23</v>
      </c>
      <c r="DF23" s="70">
        <v>21</v>
      </c>
    </row>
    <row r="24" spans="1:110">
      <c r="A24" s="441" t="s">
        <v>797</v>
      </c>
      <c r="B24" s="441">
        <v>18</v>
      </c>
      <c r="C24" s="441">
        <v>22</v>
      </c>
      <c r="E24" s="446" t="s">
        <v>1541</v>
      </c>
      <c r="F24" s="446">
        <v>24</v>
      </c>
      <c r="G24" s="446">
        <v>47</v>
      </c>
      <c r="M24" s="441" t="s">
        <v>1541</v>
      </c>
      <c r="N24" s="441">
        <v>24</v>
      </c>
      <c r="O24" s="441">
        <v>23</v>
      </c>
      <c r="U24" s="448" t="s">
        <v>661</v>
      </c>
      <c r="V24" s="448">
        <v>16</v>
      </c>
      <c r="W24" s="448">
        <v>22</v>
      </c>
      <c r="Y24" s="442" t="s">
        <v>661</v>
      </c>
      <c r="Z24" s="442">
        <v>16</v>
      </c>
      <c r="AA24" s="442">
        <v>23</v>
      </c>
      <c r="AB24" s="359"/>
      <c r="AC24" s="363"/>
      <c r="AD24" s="363"/>
      <c r="AE24" s="363"/>
      <c r="AF24" s="359"/>
      <c r="AG24" s="448" t="s">
        <v>661</v>
      </c>
      <c r="AH24" s="448">
        <v>16</v>
      </c>
      <c r="AI24" s="448">
        <v>27</v>
      </c>
      <c r="AJ24" s="359"/>
      <c r="AK24" s="363"/>
      <c r="AL24" s="363"/>
      <c r="AM24" s="363"/>
      <c r="AO24" s="441" t="s">
        <v>841</v>
      </c>
      <c r="AP24" s="443">
        <v>19</v>
      </c>
      <c r="AQ24" s="443">
        <v>22</v>
      </c>
      <c r="AS24" s="441" t="s">
        <v>841</v>
      </c>
      <c r="AT24" s="442">
        <v>23</v>
      </c>
      <c r="AU24" s="442">
        <v>23</v>
      </c>
      <c r="AV24" s="359"/>
      <c r="AW24" s="442" t="s">
        <v>1242</v>
      </c>
      <c r="AX24" s="442">
        <v>81</v>
      </c>
      <c r="AY24" s="442">
        <v>92</v>
      </c>
      <c r="AZ24" s="359"/>
      <c r="BA24" s="441" t="s">
        <v>841</v>
      </c>
      <c r="BB24" s="448">
        <v>24</v>
      </c>
      <c r="BC24" s="448">
        <v>24</v>
      </c>
      <c r="BD24" s="359"/>
      <c r="BE24" s="359"/>
      <c r="BF24" s="359"/>
      <c r="BG24" s="359"/>
      <c r="BI24" s="441" t="s">
        <v>815</v>
      </c>
      <c r="BJ24" s="441">
        <v>16</v>
      </c>
      <c r="BK24" s="441">
        <v>22</v>
      </c>
      <c r="BM24" s="442" t="s">
        <v>815</v>
      </c>
      <c r="BN24" s="442">
        <v>38</v>
      </c>
      <c r="BO24" s="442">
        <v>27</v>
      </c>
      <c r="BP24" s="359"/>
      <c r="BQ24" s="359"/>
      <c r="BR24" s="359"/>
      <c r="BS24" s="359"/>
      <c r="BT24" s="359"/>
      <c r="BU24" s="441" t="s">
        <v>815</v>
      </c>
      <c r="BV24" s="441">
        <v>25</v>
      </c>
      <c r="BW24" s="441">
        <v>25</v>
      </c>
      <c r="BX24" s="359"/>
      <c r="BY24" s="359"/>
      <c r="BZ24" s="359"/>
      <c r="CA24" s="359"/>
      <c r="CC24" s="70" t="s">
        <v>3800</v>
      </c>
      <c r="CD24" s="365">
        <v>466</v>
      </c>
      <c r="CE24" s="70" t="s">
        <v>3801</v>
      </c>
      <c r="CN24" s="441" t="s">
        <v>893</v>
      </c>
      <c r="CO24" s="441">
        <v>22</v>
      </c>
      <c r="CP24" s="441">
        <v>22</v>
      </c>
      <c r="CR24" s="441" t="s">
        <v>893</v>
      </c>
      <c r="CS24" s="441">
        <v>23</v>
      </c>
      <c r="CT24" s="441">
        <v>23</v>
      </c>
      <c r="CU24" s="359"/>
      <c r="CV24" s="359"/>
      <c r="CW24" s="359"/>
      <c r="CX24" s="359"/>
      <c r="CZ24" s="70" t="s">
        <v>2445</v>
      </c>
      <c r="DA24" s="70">
        <v>24</v>
      </c>
      <c r="DB24" s="70">
        <v>22</v>
      </c>
      <c r="DD24" s="70" t="s">
        <v>2445</v>
      </c>
      <c r="DE24" s="70">
        <v>24</v>
      </c>
      <c r="DF24" s="70">
        <v>22</v>
      </c>
    </row>
    <row r="25" spans="1:110">
      <c r="A25" s="441" t="s">
        <v>807</v>
      </c>
      <c r="B25" s="441">
        <v>33</v>
      </c>
      <c r="C25" s="441">
        <v>23</v>
      </c>
      <c r="E25" s="446" t="s">
        <v>1257</v>
      </c>
      <c r="F25" s="446">
        <v>25</v>
      </c>
      <c r="G25" s="446">
        <v>48</v>
      </c>
      <c r="M25" s="441" t="s">
        <v>1257</v>
      </c>
      <c r="N25" s="441">
        <v>25</v>
      </c>
      <c r="O25" s="441">
        <v>24</v>
      </c>
      <c r="U25" s="448" t="s">
        <v>677</v>
      </c>
      <c r="V25" s="448">
        <v>17</v>
      </c>
      <c r="W25" s="448">
        <v>23</v>
      </c>
      <c r="Y25" s="442" t="s">
        <v>677</v>
      </c>
      <c r="Z25" s="442">
        <v>17</v>
      </c>
      <c r="AA25" s="442">
        <v>24</v>
      </c>
      <c r="AB25" s="359"/>
      <c r="AC25" s="363"/>
      <c r="AD25" s="363"/>
      <c r="AE25" s="363"/>
      <c r="AF25" s="359"/>
      <c r="AG25" s="448" t="s">
        <v>677</v>
      </c>
      <c r="AH25" s="448">
        <v>17</v>
      </c>
      <c r="AI25" s="448">
        <v>28</v>
      </c>
      <c r="AJ25" s="359"/>
      <c r="AK25" s="363"/>
      <c r="AL25" s="363"/>
      <c r="AM25" s="363"/>
      <c r="AO25" s="441" t="s">
        <v>849</v>
      </c>
      <c r="AP25" s="443">
        <v>40</v>
      </c>
      <c r="AQ25" s="443">
        <v>23</v>
      </c>
      <c r="AS25" s="441" t="s">
        <v>849</v>
      </c>
      <c r="AT25" s="442">
        <v>52</v>
      </c>
      <c r="AU25" s="97">
        <v>24</v>
      </c>
      <c r="AV25" s="359"/>
      <c r="AW25" s="442" t="s">
        <v>1253</v>
      </c>
      <c r="AX25" s="442">
        <v>82</v>
      </c>
      <c r="AY25" s="442">
        <v>93</v>
      </c>
      <c r="AZ25" s="359"/>
      <c r="BA25" s="441" t="s">
        <v>881</v>
      </c>
      <c r="BB25" s="448">
        <v>25</v>
      </c>
      <c r="BC25" s="448">
        <v>26</v>
      </c>
      <c r="BD25" s="359"/>
      <c r="BE25" s="359"/>
      <c r="BF25" s="359"/>
      <c r="BG25" s="359"/>
      <c r="BI25" s="441" t="s">
        <v>829</v>
      </c>
      <c r="BJ25" s="441">
        <v>17</v>
      </c>
      <c r="BK25" s="441">
        <v>23</v>
      </c>
      <c r="BM25" s="442" t="s">
        <v>829</v>
      </c>
      <c r="BN25" s="442">
        <v>14</v>
      </c>
      <c r="BO25" s="442">
        <v>28</v>
      </c>
      <c r="BP25" s="359"/>
      <c r="BQ25" s="359"/>
      <c r="BR25" s="359"/>
      <c r="BS25" s="359"/>
      <c r="BT25" s="359"/>
      <c r="BU25" s="441" t="s">
        <v>829</v>
      </c>
      <c r="BV25" s="441">
        <v>26</v>
      </c>
      <c r="BW25" s="441">
        <v>26</v>
      </c>
      <c r="BX25" s="359"/>
      <c r="BY25" s="359"/>
      <c r="BZ25" s="359"/>
      <c r="CA25" s="359"/>
      <c r="CC25" s="70" t="s">
        <v>3802</v>
      </c>
      <c r="CD25" s="365" t="s">
        <v>3803</v>
      </c>
      <c r="CE25" s="70" t="s">
        <v>3804</v>
      </c>
      <c r="CN25" s="441" t="s">
        <v>1696</v>
      </c>
      <c r="CO25" s="441">
        <v>23</v>
      </c>
      <c r="CP25" s="441">
        <v>23</v>
      </c>
      <c r="CR25" s="441" t="s">
        <v>1696</v>
      </c>
      <c r="CS25" s="441">
        <v>24</v>
      </c>
      <c r="CT25" s="441">
        <v>24</v>
      </c>
      <c r="CU25" s="359"/>
      <c r="CV25" s="359"/>
      <c r="CW25" s="359"/>
      <c r="CX25" s="359"/>
      <c r="CZ25" s="70" t="s">
        <v>2466</v>
      </c>
      <c r="DA25" s="70">
        <v>17</v>
      </c>
      <c r="DB25" s="70">
        <v>23</v>
      </c>
      <c r="DD25" s="70" t="s">
        <v>2466</v>
      </c>
      <c r="DE25" s="70">
        <v>17</v>
      </c>
      <c r="DF25" s="70">
        <v>23</v>
      </c>
    </row>
    <row r="26" spans="1:110">
      <c r="A26" s="441" t="s">
        <v>881</v>
      </c>
      <c r="B26" s="441">
        <v>27</v>
      </c>
      <c r="C26" s="441">
        <v>24</v>
      </c>
      <c r="E26" s="446" t="s">
        <v>1264</v>
      </c>
      <c r="F26" s="446">
        <v>26</v>
      </c>
      <c r="G26" s="446">
        <v>49</v>
      </c>
      <c r="M26" s="441" t="s">
        <v>1264</v>
      </c>
      <c r="N26" s="441">
        <v>26</v>
      </c>
      <c r="O26" s="441">
        <v>25</v>
      </c>
      <c r="U26" s="448" t="s">
        <v>693</v>
      </c>
      <c r="V26" s="448">
        <v>38</v>
      </c>
      <c r="W26" s="448">
        <v>24</v>
      </c>
      <c r="Y26" s="442" t="s">
        <v>693</v>
      </c>
      <c r="Z26" s="442">
        <v>40</v>
      </c>
      <c r="AA26" s="442">
        <v>25</v>
      </c>
      <c r="AB26" s="359"/>
      <c r="AC26" s="363"/>
      <c r="AD26" s="363"/>
      <c r="AE26" s="363"/>
      <c r="AF26" s="359"/>
      <c r="AG26" s="448" t="s">
        <v>693</v>
      </c>
      <c r="AH26" s="448">
        <v>41</v>
      </c>
      <c r="AI26" s="448">
        <v>29</v>
      </c>
      <c r="AJ26" s="359"/>
      <c r="AK26" s="363"/>
      <c r="AL26" s="363"/>
      <c r="AM26" s="363"/>
      <c r="AO26" s="441" t="s">
        <v>881</v>
      </c>
      <c r="AP26" s="443">
        <v>30</v>
      </c>
      <c r="AQ26" s="443">
        <v>24</v>
      </c>
      <c r="AS26" s="441" t="s">
        <v>881</v>
      </c>
      <c r="AT26" s="442">
        <v>37</v>
      </c>
      <c r="AU26" s="442">
        <v>26</v>
      </c>
      <c r="AV26" s="359"/>
      <c r="AW26" s="359"/>
      <c r="AX26" s="359"/>
      <c r="AY26" s="359"/>
      <c r="AZ26" s="359"/>
      <c r="BA26" s="441" t="s">
        <v>893</v>
      </c>
      <c r="BB26" s="448">
        <v>26</v>
      </c>
      <c r="BC26" s="448">
        <v>27</v>
      </c>
      <c r="BD26" s="359"/>
      <c r="BE26" s="359"/>
      <c r="BF26" s="359"/>
      <c r="BG26" s="359"/>
      <c r="BI26" s="441" t="s">
        <v>841</v>
      </c>
      <c r="BJ26" s="441">
        <v>23</v>
      </c>
      <c r="BK26" s="441">
        <v>24</v>
      </c>
      <c r="BM26" s="442" t="s">
        <v>841</v>
      </c>
      <c r="BN26" s="442">
        <v>26</v>
      </c>
      <c r="BO26" s="442">
        <v>29</v>
      </c>
      <c r="BP26" s="359"/>
      <c r="BQ26" s="359"/>
      <c r="BR26" s="359"/>
      <c r="BS26" s="359"/>
      <c r="BT26" s="359"/>
      <c r="BU26" s="441" t="s">
        <v>841</v>
      </c>
      <c r="BV26" s="441">
        <v>27</v>
      </c>
      <c r="BW26" s="441">
        <v>27</v>
      </c>
      <c r="BX26" s="359"/>
      <c r="BY26" s="359"/>
      <c r="BZ26" s="359"/>
      <c r="CA26" s="359"/>
      <c r="CC26" s="70" t="s">
        <v>3805</v>
      </c>
      <c r="CD26" s="365">
        <v>1009</v>
      </c>
      <c r="CE26" s="70" t="s">
        <v>3806</v>
      </c>
      <c r="CN26" s="441" t="s">
        <v>1702</v>
      </c>
      <c r="CO26" s="441">
        <v>24</v>
      </c>
      <c r="CP26" s="441">
        <v>24</v>
      </c>
      <c r="CR26" s="441" t="s">
        <v>1702</v>
      </c>
      <c r="CS26" s="441">
        <v>25</v>
      </c>
      <c r="CT26" s="441">
        <v>25</v>
      </c>
      <c r="CU26" s="359"/>
      <c r="CV26" s="359"/>
      <c r="CW26" s="359"/>
      <c r="CX26" s="359"/>
      <c r="CZ26" s="70" t="s">
        <v>3807</v>
      </c>
      <c r="DA26" s="70">
        <v>43</v>
      </c>
      <c r="DB26" s="70">
        <v>24</v>
      </c>
      <c r="DD26" s="70" t="s">
        <v>3807</v>
      </c>
      <c r="DE26" s="70">
        <v>43</v>
      </c>
      <c r="DF26" s="70">
        <v>24</v>
      </c>
    </row>
    <row r="27" spans="1:110">
      <c r="A27" s="441" t="s">
        <v>893</v>
      </c>
      <c r="B27" s="441">
        <v>28</v>
      </c>
      <c r="C27" s="441">
        <v>25</v>
      </c>
      <c r="E27" s="446" t="s">
        <v>1425</v>
      </c>
      <c r="F27" s="446">
        <v>61</v>
      </c>
      <c r="G27" s="446">
        <v>51</v>
      </c>
      <c r="M27" s="441" t="s">
        <v>1425</v>
      </c>
      <c r="N27" s="441">
        <v>59</v>
      </c>
      <c r="O27" s="441">
        <v>26</v>
      </c>
      <c r="U27" s="448" t="s">
        <v>1517</v>
      </c>
      <c r="V27" s="448">
        <v>29</v>
      </c>
      <c r="W27" s="448">
        <v>25</v>
      </c>
      <c r="Y27" s="442" t="s">
        <v>1517</v>
      </c>
      <c r="Z27" s="442">
        <v>30</v>
      </c>
      <c r="AA27" s="442">
        <v>26</v>
      </c>
      <c r="AB27" s="359"/>
      <c r="AC27" s="363"/>
      <c r="AD27" s="363"/>
      <c r="AE27" s="363"/>
      <c r="AF27" s="359"/>
      <c r="AG27" s="448" t="s">
        <v>1517</v>
      </c>
      <c r="AH27" s="448">
        <v>30</v>
      </c>
      <c r="AI27" s="448">
        <v>30</v>
      </c>
      <c r="AJ27" s="359"/>
      <c r="AK27" s="363"/>
      <c r="AL27" s="363"/>
      <c r="AM27" s="363"/>
      <c r="AO27" s="441" t="s">
        <v>893</v>
      </c>
      <c r="AP27" s="443">
        <v>31</v>
      </c>
      <c r="AQ27" s="443">
        <v>25</v>
      </c>
      <c r="AS27" s="441" t="s">
        <v>893</v>
      </c>
      <c r="AT27" s="442">
        <v>38</v>
      </c>
      <c r="AU27" s="97">
        <v>27</v>
      </c>
      <c r="AV27" s="359"/>
      <c r="AW27" s="359"/>
      <c r="AX27" s="359"/>
      <c r="AY27" s="359"/>
      <c r="AZ27" s="359"/>
      <c r="BA27" s="441" t="s">
        <v>906</v>
      </c>
      <c r="BB27" s="448">
        <v>28</v>
      </c>
      <c r="BC27" s="448">
        <v>58</v>
      </c>
      <c r="BD27" s="359"/>
      <c r="BE27" s="359"/>
      <c r="BF27" s="359"/>
      <c r="BG27" s="359"/>
      <c r="BI27" s="441" t="s">
        <v>849</v>
      </c>
      <c r="BJ27" s="441">
        <v>24</v>
      </c>
      <c r="BK27" s="441">
        <v>25</v>
      </c>
      <c r="BM27" s="442" t="s">
        <v>849</v>
      </c>
      <c r="BN27" s="442">
        <v>27</v>
      </c>
      <c r="BO27" s="442">
        <v>30</v>
      </c>
      <c r="BP27" s="359"/>
      <c r="BQ27" s="359"/>
      <c r="BR27" s="359"/>
      <c r="BS27" s="359"/>
      <c r="BT27" s="359"/>
      <c r="BU27" s="441" t="s">
        <v>849</v>
      </c>
      <c r="BV27" s="441">
        <v>28</v>
      </c>
      <c r="BW27" s="441">
        <v>28</v>
      </c>
      <c r="BX27" s="359"/>
      <c r="BY27" s="359"/>
      <c r="BZ27" s="359"/>
      <c r="CA27" s="359"/>
      <c r="CC27" s="70" t="s">
        <v>3808</v>
      </c>
      <c r="CD27" s="365">
        <v>809</v>
      </c>
      <c r="CE27" s="70" t="s">
        <v>3809</v>
      </c>
      <c r="CN27" s="441" t="s">
        <v>1709</v>
      </c>
      <c r="CO27" s="441">
        <v>25</v>
      </c>
      <c r="CP27" s="441">
        <v>25</v>
      </c>
      <c r="CR27" s="441" t="s">
        <v>1709</v>
      </c>
      <c r="CS27" s="441">
        <v>26</v>
      </c>
      <c r="CT27" s="441">
        <v>26</v>
      </c>
      <c r="CU27" s="359"/>
      <c r="CV27" s="359"/>
      <c r="CW27" s="359"/>
      <c r="CX27" s="359"/>
      <c r="CZ27" s="70" t="s">
        <v>711</v>
      </c>
      <c r="DA27" s="70">
        <v>25</v>
      </c>
      <c r="DB27" s="70">
        <v>25</v>
      </c>
      <c r="DD27" s="70" t="s">
        <v>711</v>
      </c>
      <c r="DE27" s="70">
        <v>25</v>
      </c>
      <c r="DF27" s="70">
        <v>25</v>
      </c>
    </row>
    <row r="28" spans="1:110">
      <c r="A28" s="441" t="s">
        <v>1696</v>
      </c>
      <c r="B28" s="441">
        <v>29</v>
      </c>
      <c r="C28" s="441">
        <v>26</v>
      </c>
      <c r="E28" s="446" t="s">
        <v>1436</v>
      </c>
      <c r="F28" s="446">
        <v>28</v>
      </c>
      <c r="G28" s="446">
        <v>52</v>
      </c>
      <c r="M28" s="441" t="s">
        <v>1436</v>
      </c>
      <c r="N28" s="441">
        <v>27</v>
      </c>
      <c r="O28" s="441">
        <v>27</v>
      </c>
      <c r="U28" s="448" t="s">
        <v>711</v>
      </c>
      <c r="V28" s="448">
        <v>18</v>
      </c>
      <c r="W28" s="448">
        <v>26</v>
      </c>
      <c r="Y28" s="442" t="s">
        <v>711</v>
      </c>
      <c r="Z28" s="442">
        <v>18</v>
      </c>
      <c r="AA28" s="442">
        <v>27</v>
      </c>
      <c r="AB28" s="359"/>
      <c r="AC28" s="363"/>
      <c r="AD28" s="363"/>
      <c r="AE28" s="363"/>
      <c r="AF28" s="359"/>
      <c r="AG28" s="448" t="s">
        <v>711</v>
      </c>
      <c r="AH28" s="448">
        <v>18</v>
      </c>
      <c r="AI28" s="448">
        <v>31</v>
      </c>
      <c r="AJ28" s="359"/>
      <c r="AK28" s="363"/>
      <c r="AL28" s="363"/>
      <c r="AM28" s="363"/>
      <c r="AO28" s="441" t="s">
        <v>906</v>
      </c>
      <c r="AP28" s="443">
        <v>20</v>
      </c>
      <c r="AQ28" s="443">
        <v>26</v>
      </c>
      <c r="AS28" s="441" t="s">
        <v>906</v>
      </c>
      <c r="AT28" s="442">
        <v>25</v>
      </c>
      <c r="AU28" s="442">
        <v>29</v>
      </c>
      <c r="AV28" s="359"/>
      <c r="AW28" s="359"/>
      <c r="AX28" s="359"/>
      <c r="AY28" s="359"/>
      <c r="AZ28" s="359"/>
      <c r="BA28" s="441" t="s">
        <v>914</v>
      </c>
      <c r="BB28" s="448">
        <v>29</v>
      </c>
      <c r="BC28" s="448">
        <v>59</v>
      </c>
      <c r="BD28" s="359"/>
      <c r="BE28" s="359"/>
      <c r="BF28" s="359"/>
      <c r="BG28" s="359"/>
      <c r="BI28" s="441" t="s">
        <v>858</v>
      </c>
      <c r="BJ28" s="441">
        <v>10</v>
      </c>
      <c r="BK28" s="441">
        <v>26</v>
      </c>
      <c r="BM28" s="442" t="s">
        <v>858</v>
      </c>
      <c r="BN28" s="442">
        <v>13</v>
      </c>
      <c r="BO28" s="442">
        <v>31</v>
      </c>
      <c r="BP28" s="359"/>
      <c r="BQ28" s="359"/>
      <c r="BR28" s="359"/>
      <c r="BS28" s="359"/>
      <c r="BT28" s="359"/>
      <c r="BU28" s="441" t="s">
        <v>858</v>
      </c>
      <c r="BV28" s="441">
        <v>29</v>
      </c>
      <c r="BW28" s="441">
        <v>29</v>
      </c>
      <c r="BX28" s="359"/>
      <c r="BY28" s="359"/>
      <c r="BZ28" s="359"/>
      <c r="CA28" s="359"/>
      <c r="CC28" s="70" t="s">
        <v>3810</v>
      </c>
      <c r="CD28" s="365">
        <v>409</v>
      </c>
      <c r="CE28" s="70" t="s">
        <v>3811</v>
      </c>
      <c r="CU28" s="359"/>
      <c r="CV28" s="359"/>
      <c r="CW28" s="359"/>
      <c r="CX28" s="359"/>
      <c r="CZ28" s="70" t="s">
        <v>723</v>
      </c>
      <c r="DA28" s="70">
        <v>26</v>
      </c>
      <c r="DB28" s="70">
        <v>26</v>
      </c>
      <c r="DD28" s="70" t="s">
        <v>723</v>
      </c>
      <c r="DE28" s="70">
        <v>26</v>
      </c>
      <c r="DF28" s="70">
        <v>26</v>
      </c>
    </row>
    <row r="29" spans="1:110">
      <c r="A29" s="441" t="s">
        <v>1702</v>
      </c>
      <c r="B29" s="441">
        <v>30</v>
      </c>
      <c r="C29" s="441">
        <v>27</v>
      </c>
      <c r="E29" s="446" t="s">
        <v>1448</v>
      </c>
      <c r="F29" s="446">
        <v>62</v>
      </c>
      <c r="G29" s="446">
        <v>53</v>
      </c>
      <c r="M29" s="441" t="s">
        <v>1448</v>
      </c>
      <c r="N29" s="441">
        <v>60</v>
      </c>
      <c r="O29" s="441">
        <v>28</v>
      </c>
      <c r="U29" s="448" t="s">
        <v>723</v>
      </c>
      <c r="V29" s="448">
        <v>19</v>
      </c>
      <c r="W29" s="448">
        <v>27</v>
      </c>
      <c r="Y29" s="442" t="s">
        <v>723</v>
      </c>
      <c r="Z29" s="442">
        <v>19</v>
      </c>
      <c r="AA29" s="442">
        <v>28</v>
      </c>
      <c r="AB29" s="359"/>
      <c r="AC29" s="363"/>
      <c r="AD29" s="363"/>
      <c r="AE29" s="363"/>
      <c r="AF29" s="359"/>
      <c r="AG29" s="448" t="s">
        <v>723</v>
      </c>
      <c r="AH29" s="448">
        <v>19</v>
      </c>
      <c r="AI29" s="448">
        <v>32</v>
      </c>
      <c r="AJ29" s="359"/>
      <c r="AK29" s="363"/>
      <c r="AL29" s="363"/>
      <c r="AM29" s="363"/>
      <c r="AO29" s="441" t="s">
        <v>914</v>
      </c>
      <c r="AP29" s="443">
        <v>21</v>
      </c>
      <c r="AQ29" s="443">
        <v>27</v>
      </c>
      <c r="AS29" s="441" t="s">
        <v>914</v>
      </c>
      <c r="AT29" s="442">
        <v>26</v>
      </c>
      <c r="AU29" s="442">
        <v>30</v>
      </c>
      <c r="AV29" s="359"/>
      <c r="AW29" s="359"/>
      <c r="AX29" s="359"/>
      <c r="AY29" s="359"/>
      <c r="AZ29" s="359"/>
      <c r="BA29" s="441" t="s">
        <v>918</v>
      </c>
      <c r="BB29" s="448">
        <v>30</v>
      </c>
      <c r="BC29" s="448">
        <v>60</v>
      </c>
      <c r="BD29" s="359"/>
      <c r="BE29" s="359"/>
      <c r="BF29" s="359"/>
      <c r="BG29" s="359"/>
      <c r="BI29" s="441" t="s">
        <v>871</v>
      </c>
      <c r="BJ29" s="441">
        <v>18</v>
      </c>
      <c r="BK29" s="441">
        <v>27</v>
      </c>
      <c r="BM29" s="442" t="s">
        <v>871</v>
      </c>
      <c r="BN29" s="442">
        <v>15</v>
      </c>
      <c r="BO29" s="442">
        <v>32</v>
      </c>
      <c r="BP29" s="359"/>
      <c r="BQ29" s="359"/>
      <c r="BR29" s="359"/>
      <c r="BS29" s="359"/>
      <c r="BT29" s="359"/>
      <c r="BU29" s="441" t="s">
        <v>871</v>
      </c>
      <c r="BV29" s="441">
        <v>30</v>
      </c>
      <c r="BW29" s="441">
        <v>30</v>
      </c>
      <c r="BX29" s="359"/>
      <c r="BY29" s="359"/>
      <c r="BZ29" s="359"/>
      <c r="CA29" s="359"/>
      <c r="CC29" s="70" t="s">
        <v>3812</v>
      </c>
      <c r="CD29" s="365">
        <v>425</v>
      </c>
      <c r="CE29" s="70" t="s">
        <v>3813</v>
      </c>
      <c r="CU29" s="359"/>
      <c r="CV29" s="359"/>
      <c r="CW29" s="359"/>
      <c r="CX29" s="359"/>
      <c r="CZ29" s="70" t="s">
        <v>738</v>
      </c>
      <c r="DA29" s="70">
        <v>27</v>
      </c>
      <c r="DB29" s="70">
        <v>27</v>
      </c>
      <c r="DD29" s="70" t="s">
        <v>738</v>
      </c>
      <c r="DE29" s="70">
        <v>27</v>
      </c>
      <c r="DF29" s="70">
        <v>27</v>
      </c>
    </row>
    <row r="30" spans="1:110">
      <c r="A30" s="441" t="s">
        <v>1709</v>
      </c>
      <c r="B30" s="441">
        <v>31</v>
      </c>
      <c r="C30" s="441">
        <v>28</v>
      </c>
      <c r="E30" s="446" t="s">
        <v>1848</v>
      </c>
      <c r="F30" s="446">
        <v>63</v>
      </c>
      <c r="G30" s="446">
        <v>54</v>
      </c>
      <c r="M30" s="441" t="s">
        <v>1848</v>
      </c>
      <c r="N30" s="441">
        <v>61</v>
      </c>
      <c r="O30" s="441">
        <v>29</v>
      </c>
      <c r="U30" s="448" t="s">
        <v>738</v>
      </c>
      <c r="V30" s="448">
        <v>20</v>
      </c>
      <c r="W30" s="448">
        <v>28</v>
      </c>
      <c r="Y30" s="442" t="s">
        <v>738</v>
      </c>
      <c r="Z30" s="442">
        <v>20</v>
      </c>
      <c r="AA30" s="442">
        <v>29</v>
      </c>
      <c r="AB30" s="359"/>
      <c r="AC30" s="363"/>
      <c r="AD30" s="363"/>
      <c r="AE30" s="363"/>
      <c r="AF30" s="359"/>
      <c r="AG30" s="448" t="s">
        <v>738</v>
      </c>
      <c r="AH30" s="448">
        <v>20</v>
      </c>
      <c r="AI30" s="448">
        <v>33</v>
      </c>
      <c r="AJ30" s="359"/>
      <c r="AK30" s="363"/>
      <c r="AL30" s="363"/>
      <c r="AM30" s="363"/>
      <c r="AO30" s="441" t="s">
        <v>918</v>
      </c>
      <c r="AP30" s="443">
        <v>22</v>
      </c>
      <c r="AQ30" s="443">
        <v>28</v>
      </c>
      <c r="AS30" s="441" t="s">
        <v>918</v>
      </c>
      <c r="AT30" s="442">
        <v>27</v>
      </c>
      <c r="AU30" s="442">
        <v>31</v>
      </c>
      <c r="AV30" s="359"/>
      <c r="AW30" s="359"/>
      <c r="AX30" s="359"/>
      <c r="AY30" s="359"/>
      <c r="AZ30" s="359"/>
      <c r="BA30" s="441" t="s">
        <v>920</v>
      </c>
      <c r="BB30" s="448">
        <v>31</v>
      </c>
      <c r="BC30" s="448">
        <v>61</v>
      </c>
      <c r="BD30" s="359"/>
      <c r="BE30" s="359"/>
      <c r="BF30" s="359"/>
      <c r="BG30" s="359"/>
      <c r="BI30" s="441" t="s">
        <v>881</v>
      </c>
      <c r="BJ30" s="441">
        <v>8</v>
      </c>
      <c r="BK30" s="441">
        <v>28</v>
      </c>
      <c r="BM30" s="442" t="s">
        <v>881</v>
      </c>
      <c r="BN30" s="442">
        <v>16</v>
      </c>
      <c r="BO30" s="442">
        <v>33</v>
      </c>
      <c r="BP30" s="359"/>
      <c r="BQ30" s="359"/>
      <c r="BR30" s="359"/>
      <c r="BS30" s="359"/>
      <c r="BT30" s="359"/>
      <c r="BU30" s="441" t="s">
        <v>881</v>
      </c>
      <c r="BV30" s="441">
        <v>32</v>
      </c>
      <c r="BW30" s="441">
        <v>32</v>
      </c>
      <c r="BX30" s="359"/>
      <c r="BY30" s="359"/>
      <c r="BZ30" s="359"/>
      <c r="CA30" s="359"/>
      <c r="CC30" s="70" t="s">
        <v>3814</v>
      </c>
      <c r="CD30" s="365">
        <v>438</v>
      </c>
      <c r="CE30" s="70" t="s">
        <v>3815</v>
      </c>
      <c r="CU30" s="359"/>
      <c r="CV30" s="359"/>
      <c r="CW30" s="359"/>
      <c r="CX30" s="359"/>
      <c r="CZ30" s="70" t="s">
        <v>753</v>
      </c>
      <c r="DA30" s="70">
        <v>28</v>
      </c>
      <c r="DB30" s="70">
        <v>28</v>
      </c>
      <c r="DD30" s="70" t="s">
        <v>753</v>
      </c>
      <c r="DE30" s="70">
        <v>28</v>
      </c>
      <c r="DF30" s="70">
        <v>28</v>
      </c>
    </row>
    <row r="31" spans="1:110">
      <c r="A31" s="441" t="s">
        <v>1712</v>
      </c>
      <c r="B31" s="441">
        <v>32</v>
      </c>
      <c r="C31" s="441">
        <v>29</v>
      </c>
      <c r="E31" s="446" t="s">
        <v>638</v>
      </c>
      <c r="F31" s="446">
        <v>4</v>
      </c>
      <c r="G31" s="446">
        <v>7</v>
      </c>
      <c r="M31" s="441" t="s">
        <v>638</v>
      </c>
      <c r="N31" s="441">
        <v>5</v>
      </c>
      <c r="O31" s="441">
        <v>30</v>
      </c>
      <c r="U31" s="448" t="s">
        <v>753</v>
      </c>
      <c r="V31" s="448">
        <v>21</v>
      </c>
      <c r="W31" s="448">
        <v>29</v>
      </c>
      <c r="Y31" s="442" t="s">
        <v>753</v>
      </c>
      <c r="Z31" s="442">
        <v>21</v>
      </c>
      <c r="AA31" s="442">
        <v>30</v>
      </c>
      <c r="AB31" s="359"/>
      <c r="AC31" s="363"/>
      <c r="AD31" s="363"/>
      <c r="AE31" s="363"/>
      <c r="AF31" s="359"/>
      <c r="AG31" s="448" t="s">
        <v>753</v>
      </c>
      <c r="AH31" s="448">
        <v>21</v>
      </c>
      <c r="AI31" s="448">
        <v>34</v>
      </c>
      <c r="AJ31" s="359"/>
      <c r="AK31" s="363"/>
      <c r="AL31" s="363"/>
      <c r="AM31" s="363"/>
      <c r="AO31" s="441" t="s">
        <v>920</v>
      </c>
      <c r="AP31" s="443">
        <v>23</v>
      </c>
      <c r="AQ31" s="443">
        <v>29</v>
      </c>
      <c r="AS31" s="441" t="s">
        <v>920</v>
      </c>
      <c r="AT31" s="442">
        <v>28</v>
      </c>
      <c r="AU31" s="442">
        <v>32</v>
      </c>
      <c r="AV31" s="359"/>
      <c r="AW31" s="359"/>
      <c r="AX31" s="359"/>
      <c r="AY31" s="359"/>
      <c r="AZ31" s="359"/>
      <c r="BA31" s="441" t="s">
        <v>753</v>
      </c>
      <c r="BB31" s="448">
        <v>32</v>
      </c>
      <c r="BC31" s="448">
        <v>18</v>
      </c>
      <c r="BD31" s="359"/>
      <c r="BE31" s="359"/>
      <c r="BF31" s="359"/>
      <c r="BG31" s="359"/>
      <c r="BI31" s="441" t="s">
        <v>893</v>
      </c>
      <c r="BJ31" s="441">
        <v>9</v>
      </c>
      <c r="BK31" s="441">
        <v>29</v>
      </c>
      <c r="BM31" s="442" t="s">
        <v>893</v>
      </c>
      <c r="BN31" s="442">
        <v>17</v>
      </c>
      <c r="BO31" s="442">
        <v>34</v>
      </c>
      <c r="BP31" s="359"/>
      <c r="BQ31" s="359"/>
      <c r="BR31" s="359"/>
      <c r="BS31" s="359"/>
      <c r="BT31" s="359"/>
      <c r="BU31" s="441" t="s">
        <v>893</v>
      </c>
      <c r="BV31" s="441">
        <v>33</v>
      </c>
      <c r="BW31" s="441">
        <v>33</v>
      </c>
      <c r="BX31" s="359"/>
      <c r="BY31" s="359"/>
      <c r="BZ31" s="359"/>
      <c r="CA31" s="359"/>
      <c r="CC31" s="70" t="s">
        <v>3816</v>
      </c>
      <c r="CD31" s="365">
        <v>464</v>
      </c>
      <c r="CE31" s="70" t="s">
        <v>3817</v>
      </c>
      <c r="CU31" s="359"/>
      <c r="CV31" s="359"/>
      <c r="CW31" s="359"/>
      <c r="CX31" s="359"/>
      <c r="CZ31" s="70" t="s">
        <v>761</v>
      </c>
      <c r="DA31" s="70">
        <v>29</v>
      </c>
      <c r="DB31" s="70">
        <v>29</v>
      </c>
      <c r="DD31" s="70" t="s">
        <v>761</v>
      </c>
      <c r="DE31" s="70">
        <v>29</v>
      </c>
      <c r="DF31" s="70">
        <v>29</v>
      </c>
    </row>
    <row r="32" spans="1:110">
      <c r="A32" s="441" t="s">
        <v>906</v>
      </c>
      <c r="B32" s="441">
        <v>34</v>
      </c>
      <c r="C32" s="441">
        <v>30</v>
      </c>
      <c r="E32" s="446" t="s">
        <v>652</v>
      </c>
      <c r="F32" s="446">
        <v>5</v>
      </c>
      <c r="G32" s="446">
        <v>8</v>
      </c>
      <c r="M32" s="441" t="s">
        <v>652</v>
      </c>
      <c r="N32" s="441">
        <v>6</v>
      </c>
      <c r="O32" s="441">
        <v>31</v>
      </c>
      <c r="U32" s="448" t="s">
        <v>797</v>
      </c>
      <c r="V32" s="448">
        <v>22</v>
      </c>
      <c r="W32" s="448">
        <v>30</v>
      </c>
      <c r="Y32" s="442" t="s">
        <v>797</v>
      </c>
      <c r="Z32" s="442">
        <v>22</v>
      </c>
      <c r="AA32" s="442">
        <v>31</v>
      </c>
      <c r="AB32" s="359"/>
      <c r="AC32" s="363"/>
      <c r="AD32" s="363"/>
      <c r="AE32" s="363"/>
      <c r="AF32" s="359"/>
      <c r="AG32" s="448" t="s">
        <v>797</v>
      </c>
      <c r="AH32" s="448">
        <v>22</v>
      </c>
      <c r="AI32" s="448">
        <v>35</v>
      </c>
      <c r="AJ32" s="359"/>
      <c r="AK32" s="363"/>
      <c r="AL32" s="363"/>
      <c r="AM32" s="363"/>
      <c r="AO32" s="441" t="s">
        <v>932</v>
      </c>
      <c r="AP32" s="443">
        <v>41</v>
      </c>
      <c r="AQ32" s="443">
        <v>30</v>
      </c>
      <c r="AS32" s="442" t="s">
        <v>932</v>
      </c>
      <c r="AT32" s="442">
        <v>53</v>
      </c>
      <c r="AU32" s="442">
        <v>33</v>
      </c>
      <c r="AV32" s="359"/>
      <c r="AW32" s="359"/>
      <c r="AX32" s="359"/>
      <c r="AY32" s="359"/>
      <c r="AZ32" s="359"/>
      <c r="BA32" s="441" t="s">
        <v>941</v>
      </c>
      <c r="BB32" s="448">
        <v>33</v>
      </c>
      <c r="BC32" s="448">
        <v>63</v>
      </c>
      <c r="BD32" s="359"/>
      <c r="BE32" s="359"/>
      <c r="BF32" s="359"/>
      <c r="BG32" s="359"/>
      <c r="BI32" s="441" t="s">
        <v>906</v>
      </c>
      <c r="BJ32" s="441">
        <v>32</v>
      </c>
      <c r="BK32" s="441">
        <v>30</v>
      </c>
      <c r="BM32" s="442" t="s">
        <v>906</v>
      </c>
      <c r="BN32" s="442">
        <v>49</v>
      </c>
      <c r="BO32" s="442">
        <v>40</v>
      </c>
      <c r="BP32" s="359"/>
      <c r="BQ32" s="359"/>
      <c r="BR32" s="359"/>
      <c r="BS32" s="359"/>
      <c r="BT32" s="359"/>
      <c r="BU32" s="441" t="s">
        <v>906</v>
      </c>
      <c r="BV32" s="441">
        <v>34</v>
      </c>
      <c r="BW32" s="441">
        <v>34</v>
      </c>
      <c r="BX32" s="359"/>
      <c r="BY32" s="359"/>
      <c r="BZ32" s="359"/>
      <c r="CA32" s="359"/>
      <c r="CC32" s="70" t="s">
        <v>3818</v>
      </c>
      <c r="CD32" s="365" t="s">
        <v>3819</v>
      </c>
      <c r="CE32" s="70" t="s">
        <v>3820</v>
      </c>
      <c r="CU32" s="359"/>
      <c r="CV32" s="359"/>
      <c r="CW32" s="359"/>
      <c r="CX32" s="359"/>
      <c r="CZ32" s="70" t="s">
        <v>769</v>
      </c>
      <c r="DA32" s="70">
        <v>30</v>
      </c>
      <c r="DB32" s="70">
        <v>30</v>
      </c>
      <c r="DD32" s="70" t="s">
        <v>769</v>
      </c>
      <c r="DE32" s="70">
        <v>30</v>
      </c>
      <c r="DF32" s="70">
        <v>30</v>
      </c>
    </row>
    <row r="33" spans="1:110">
      <c r="A33" s="441" t="s">
        <v>914</v>
      </c>
      <c r="B33" s="441">
        <v>35</v>
      </c>
      <c r="C33" s="441">
        <v>31</v>
      </c>
      <c r="E33" s="446" t="s">
        <v>661</v>
      </c>
      <c r="F33" s="446">
        <v>7</v>
      </c>
      <c r="G33" s="446">
        <v>9</v>
      </c>
      <c r="M33" s="441" t="s">
        <v>661</v>
      </c>
      <c r="N33" s="441">
        <v>8</v>
      </c>
      <c r="O33" s="441">
        <v>32</v>
      </c>
      <c r="U33" s="448" t="s">
        <v>807</v>
      </c>
      <c r="V33" s="448">
        <v>23</v>
      </c>
      <c r="W33" s="448">
        <v>31</v>
      </c>
      <c r="Y33" s="442" t="s">
        <v>807</v>
      </c>
      <c r="Z33" s="442">
        <v>23</v>
      </c>
      <c r="AA33" s="442">
        <v>32</v>
      </c>
      <c r="AB33" s="359"/>
      <c r="AC33" s="363"/>
      <c r="AD33" s="363"/>
      <c r="AE33" s="363"/>
      <c r="AF33" s="359"/>
      <c r="AG33" s="448" t="s">
        <v>807</v>
      </c>
      <c r="AH33" s="448">
        <v>23</v>
      </c>
      <c r="AI33" s="448">
        <v>36</v>
      </c>
      <c r="AJ33" s="359"/>
      <c r="AK33" s="363"/>
      <c r="AL33" s="363"/>
      <c r="AM33" s="363"/>
      <c r="AO33" s="441" t="s">
        <v>941</v>
      </c>
      <c r="AP33" s="443">
        <v>42</v>
      </c>
      <c r="AQ33" s="443">
        <v>31</v>
      </c>
      <c r="AS33" s="442" t="s">
        <v>941</v>
      </c>
      <c r="AT33" s="442">
        <v>54</v>
      </c>
      <c r="AU33" s="442">
        <v>34</v>
      </c>
      <c r="AV33" s="359"/>
      <c r="AW33" s="359"/>
      <c r="AX33" s="359"/>
      <c r="AY33" s="359"/>
      <c r="AZ33" s="359"/>
      <c r="BA33" s="441" t="s">
        <v>950</v>
      </c>
      <c r="BB33" s="448">
        <v>34</v>
      </c>
      <c r="BC33" s="448">
        <v>64</v>
      </c>
      <c r="BD33" s="359"/>
      <c r="BE33" s="359"/>
      <c r="BF33" s="359"/>
      <c r="BG33" s="359"/>
      <c r="BI33" s="441" t="s">
        <v>914</v>
      </c>
      <c r="BJ33" s="441">
        <v>33</v>
      </c>
      <c r="BK33" s="441">
        <v>31</v>
      </c>
      <c r="BM33" s="442" t="s">
        <v>914</v>
      </c>
      <c r="BN33" s="442">
        <v>50</v>
      </c>
      <c r="BO33" s="442">
        <v>41</v>
      </c>
      <c r="BP33" s="359"/>
      <c r="BQ33" s="359"/>
      <c r="BR33" s="359"/>
      <c r="BS33" s="359"/>
      <c r="BT33" s="359"/>
      <c r="BU33" s="441" t="s">
        <v>914</v>
      </c>
      <c r="BV33" s="441">
        <v>35</v>
      </c>
      <c r="BW33" s="441">
        <v>35</v>
      </c>
      <c r="BX33" s="359"/>
      <c r="BY33" s="359"/>
      <c r="BZ33" s="359"/>
      <c r="CA33" s="359"/>
      <c r="CC33" s="366" t="s">
        <v>138</v>
      </c>
      <c r="CD33" s="367" t="s">
        <v>3821</v>
      </c>
      <c r="CE33" s="70" t="s">
        <v>3822</v>
      </c>
      <c r="CU33" s="359"/>
      <c r="CV33" s="359"/>
      <c r="CW33" s="359"/>
      <c r="CX33" s="359"/>
      <c r="CZ33" s="70" t="s">
        <v>777</v>
      </c>
      <c r="DA33" s="70">
        <v>31</v>
      </c>
      <c r="DB33" s="70">
        <v>31</v>
      </c>
      <c r="DD33" s="70" t="s">
        <v>777</v>
      </c>
      <c r="DE33" s="70">
        <v>31</v>
      </c>
      <c r="DF33" s="70">
        <v>31</v>
      </c>
    </row>
    <row r="34" spans="1:110">
      <c r="A34" s="441" t="s">
        <v>918</v>
      </c>
      <c r="B34" s="441">
        <v>36</v>
      </c>
      <c r="C34" s="441">
        <v>32</v>
      </c>
      <c r="E34" s="446" t="s">
        <v>677</v>
      </c>
      <c r="F34" s="446">
        <v>8</v>
      </c>
      <c r="G34" s="446">
        <v>10</v>
      </c>
      <c r="M34" s="441" t="s">
        <v>677</v>
      </c>
      <c r="N34" s="441">
        <v>9</v>
      </c>
      <c r="O34" s="441">
        <v>33</v>
      </c>
      <c r="U34" s="448" t="s">
        <v>815</v>
      </c>
      <c r="V34" s="448">
        <v>24</v>
      </c>
      <c r="W34" s="448">
        <v>32</v>
      </c>
      <c r="Y34" s="442" t="s">
        <v>815</v>
      </c>
      <c r="Z34" s="442">
        <v>24</v>
      </c>
      <c r="AA34" s="442">
        <v>33</v>
      </c>
      <c r="AB34" s="359"/>
      <c r="AC34" s="363"/>
      <c r="AD34" s="363"/>
      <c r="AE34" s="363"/>
      <c r="AF34" s="359"/>
      <c r="AG34" s="448" t="s">
        <v>815</v>
      </c>
      <c r="AH34" s="448">
        <v>24</v>
      </c>
      <c r="AI34" s="448">
        <v>37</v>
      </c>
      <c r="AJ34" s="359"/>
      <c r="AK34" s="363"/>
      <c r="AL34" s="363"/>
      <c r="AM34" s="363"/>
      <c r="AO34" s="441" t="s">
        <v>950</v>
      </c>
      <c r="AP34" s="443">
        <v>43</v>
      </c>
      <c r="AQ34" s="443">
        <v>32</v>
      </c>
      <c r="AS34" s="442" t="s">
        <v>950</v>
      </c>
      <c r="AT34" s="442">
        <v>55</v>
      </c>
      <c r="AU34" s="442">
        <v>35</v>
      </c>
      <c r="AV34" s="359"/>
      <c r="AW34" s="359"/>
      <c r="AX34" s="359"/>
      <c r="AY34" s="359"/>
      <c r="AZ34" s="359"/>
      <c r="BA34" s="441" t="s">
        <v>967</v>
      </c>
      <c r="BB34" s="448">
        <v>35</v>
      </c>
      <c r="BC34" s="448">
        <v>66</v>
      </c>
      <c r="BD34" s="359"/>
      <c r="BE34" s="359"/>
      <c r="BF34" s="359"/>
      <c r="BG34" s="359"/>
      <c r="BI34" s="441" t="s">
        <v>918</v>
      </c>
      <c r="BJ34" s="441">
        <v>34</v>
      </c>
      <c r="BK34" s="441">
        <v>32</v>
      </c>
      <c r="BM34" s="442" t="s">
        <v>918</v>
      </c>
      <c r="BN34" s="442">
        <v>51</v>
      </c>
      <c r="BO34" s="442">
        <v>42</v>
      </c>
      <c r="BP34" s="359"/>
      <c r="BQ34" s="359"/>
      <c r="BR34" s="359"/>
      <c r="BS34" s="359"/>
      <c r="BT34" s="359"/>
      <c r="BU34" s="441" t="s">
        <v>918</v>
      </c>
      <c r="BV34" s="441">
        <v>36</v>
      </c>
      <c r="BW34" s="441">
        <v>36</v>
      </c>
      <c r="BX34" s="359"/>
      <c r="BY34" s="359"/>
      <c r="BZ34" s="359"/>
      <c r="CA34" s="359"/>
      <c r="CC34" s="366" t="s">
        <v>3823</v>
      </c>
      <c r="CD34" s="367" t="s">
        <v>3824</v>
      </c>
      <c r="CE34" s="70" t="s">
        <v>3825</v>
      </c>
      <c r="CU34" s="359"/>
      <c r="CV34" s="359"/>
      <c r="CW34" s="359"/>
      <c r="CX34" s="359"/>
      <c r="CZ34" s="70" t="s">
        <v>785</v>
      </c>
      <c r="DA34" s="70">
        <v>32</v>
      </c>
      <c r="DB34" s="70">
        <v>32</v>
      </c>
      <c r="DD34" s="70" t="s">
        <v>785</v>
      </c>
      <c r="DE34" s="70">
        <v>32</v>
      </c>
      <c r="DF34" s="70">
        <v>32</v>
      </c>
    </row>
    <row r="35" spans="1:110">
      <c r="A35" s="441" t="s">
        <v>920</v>
      </c>
      <c r="B35" s="441">
        <v>37</v>
      </c>
      <c r="C35" s="441">
        <v>33</v>
      </c>
      <c r="E35" s="446" t="s">
        <v>693</v>
      </c>
      <c r="F35" s="446">
        <v>9</v>
      </c>
      <c r="G35" s="446">
        <v>11</v>
      </c>
      <c r="M35" s="441" t="s">
        <v>693</v>
      </c>
      <c r="N35" s="441">
        <v>10</v>
      </c>
      <c r="O35" s="441">
        <v>34</v>
      </c>
      <c r="U35" s="448" t="s">
        <v>829</v>
      </c>
      <c r="V35" s="448">
        <v>25</v>
      </c>
      <c r="W35" s="448">
        <v>33</v>
      </c>
      <c r="Y35" s="442" t="s">
        <v>829</v>
      </c>
      <c r="Z35" s="442">
        <v>25</v>
      </c>
      <c r="AA35" s="442">
        <v>34</v>
      </c>
      <c r="AB35" s="359"/>
      <c r="AC35" s="363"/>
      <c r="AD35" s="363"/>
      <c r="AE35" s="363"/>
      <c r="AF35" s="359"/>
      <c r="AG35" s="448" t="s">
        <v>829</v>
      </c>
      <c r="AH35" s="448">
        <v>25</v>
      </c>
      <c r="AI35" s="448">
        <v>38</v>
      </c>
      <c r="AJ35" s="359"/>
      <c r="AK35" s="363"/>
      <c r="AL35" s="363"/>
      <c r="AM35" s="363"/>
      <c r="AO35" s="441" t="s">
        <v>958</v>
      </c>
      <c r="AP35" s="443">
        <v>44</v>
      </c>
      <c r="AQ35" s="443">
        <v>33</v>
      </c>
      <c r="AS35" s="441" t="s">
        <v>958</v>
      </c>
      <c r="AT35" s="442">
        <v>56</v>
      </c>
      <c r="AU35" s="442">
        <v>36</v>
      </c>
      <c r="AV35" s="359"/>
      <c r="AW35" s="359"/>
      <c r="AX35" s="359"/>
      <c r="AY35" s="359"/>
      <c r="AZ35" s="359"/>
      <c r="BA35" s="441" t="s">
        <v>958</v>
      </c>
      <c r="BB35" s="448">
        <v>36</v>
      </c>
      <c r="BC35" s="448">
        <v>65</v>
      </c>
      <c r="BD35" s="359"/>
      <c r="BE35" s="359"/>
      <c r="BF35" s="359"/>
      <c r="BG35" s="359"/>
      <c r="BI35" s="441" t="s">
        <v>920</v>
      </c>
      <c r="BJ35" s="441">
        <v>35</v>
      </c>
      <c r="BK35" s="441">
        <v>33</v>
      </c>
      <c r="BM35" s="442" t="s">
        <v>920</v>
      </c>
      <c r="BN35" s="442">
        <v>52</v>
      </c>
      <c r="BO35" s="442">
        <v>43</v>
      </c>
      <c r="BP35" s="359"/>
      <c r="BQ35" s="359"/>
      <c r="BR35" s="359"/>
      <c r="BS35" s="359"/>
      <c r="BT35" s="359"/>
      <c r="BU35" s="441" t="s">
        <v>920</v>
      </c>
      <c r="BV35" s="441">
        <v>37</v>
      </c>
      <c r="BW35" s="441">
        <v>37</v>
      </c>
      <c r="BX35" s="359"/>
      <c r="BY35" s="359"/>
      <c r="BZ35" s="359"/>
      <c r="CA35" s="359"/>
      <c r="CC35" s="70" t="s">
        <v>3826</v>
      </c>
      <c r="CD35" s="365">
        <v>462</v>
      </c>
      <c r="CE35" s="70" t="s">
        <v>3827</v>
      </c>
      <c r="CU35" s="359"/>
      <c r="CV35" s="359"/>
      <c r="CW35" s="359"/>
      <c r="CX35" s="359"/>
      <c r="CZ35" s="70" t="s">
        <v>3828</v>
      </c>
      <c r="DA35" s="70">
        <v>33</v>
      </c>
      <c r="DB35" s="70">
        <v>33</v>
      </c>
      <c r="DD35" s="70" t="s">
        <v>3828</v>
      </c>
      <c r="DE35" s="70">
        <v>33</v>
      </c>
      <c r="DF35" s="70">
        <v>33</v>
      </c>
    </row>
    <row r="36" spans="1:110">
      <c r="A36" s="441" t="s">
        <v>924</v>
      </c>
      <c r="B36" s="441">
        <v>38</v>
      </c>
      <c r="C36" s="441">
        <v>34</v>
      </c>
      <c r="E36" s="446" t="s">
        <v>1517</v>
      </c>
      <c r="F36" s="446">
        <v>68</v>
      </c>
      <c r="G36" s="446">
        <v>12</v>
      </c>
      <c r="M36" s="441" t="s">
        <v>1517</v>
      </c>
      <c r="N36" s="441">
        <v>62</v>
      </c>
      <c r="O36" s="441">
        <v>35</v>
      </c>
      <c r="U36" s="448" t="s">
        <v>841</v>
      </c>
      <c r="V36" s="448">
        <v>26</v>
      </c>
      <c r="W36" s="448">
        <v>34</v>
      </c>
      <c r="Y36" s="442" t="s">
        <v>841</v>
      </c>
      <c r="Z36" s="442">
        <v>26</v>
      </c>
      <c r="AA36" s="442">
        <v>35</v>
      </c>
      <c r="AB36" s="359"/>
      <c r="AC36" s="363"/>
      <c r="AD36" s="363"/>
      <c r="AE36" s="363"/>
      <c r="AF36" s="359"/>
      <c r="AG36" s="448" t="s">
        <v>841</v>
      </c>
      <c r="AH36" s="448">
        <v>26</v>
      </c>
      <c r="AI36" s="448">
        <v>39</v>
      </c>
      <c r="AJ36" s="359"/>
      <c r="AK36" s="363"/>
      <c r="AL36" s="363"/>
      <c r="AM36" s="363"/>
      <c r="AO36" s="441" t="s">
        <v>967</v>
      </c>
      <c r="AP36" s="443">
        <v>45</v>
      </c>
      <c r="AQ36" s="443">
        <v>34</v>
      </c>
      <c r="AS36" s="441" t="s">
        <v>967</v>
      </c>
      <c r="AT36" s="442">
        <v>57</v>
      </c>
      <c r="AU36" s="442">
        <v>37</v>
      </c>
      <c r="AV36" s="359"/>
      <c r="AW36" s="359"/>
      <c r="AX36" s="359"/>
      <c r="AY36" s="359"/>
      <c r="AZ36" s="359"/>
      <c r="BA36" s="441" t="s">
        <v>1394</v>
      </c>
      <c r="BB36" s="448">
        <v>37</v>
      </c>
      <c r="BC36" s="448">
        <v>67</v>
      </c>
      <c r="BD36" s="359"/>
      <c r="BE36" s="359"/>
      <c r="BF36" s="359"/>
      <c r="BG36" s="359"/>
      <c r="BI36" s="441" t="s">
        <v>924</v>
      </c>
      <c r="BJ36" s="441">
        <v>36</v>
      </c>
      <c r="BK36" s="441">
        <v>34</v>
      </c>
      <c r="BM36" s="442" t="s">
        <v>924</v>
      </c>
      <c r="BN36" s="442">
        <v>53</v>
      </c>
      <c r="BO36" s="442">
        <v>44</v>
      </c>
      <c r="BP36" s="359"/>
      <c r="BQ36" s="359"/>
      <c r="BR36" s="359"/>
      <c r="BS36" s="359"/>
      <c r="BT36" s="359"/>
      <c r="BU36" s="441" t="s">
        <v>924</v>
      </c>
      <c r="BV36" s="441">
        <v>38</v>
      </c>
      <c r="BW36" s="441">
        <v>38</v>
      </c>
      <c r="BX36" s="359"/>
      <c r="BY36" s="359"/>
      <c r="BZ36" s="359"/>
      <c r="CA36" s="359"/>
      <c r="CC36" s="70" t="s">
        <v>3829</v>
      </c>
      <c r="CD36" s="365">
        <v>467</v>
      </c>
      <c r="CE36" s="70" t="s">
        <v>3830</v>
      </c>
      <c r="CU36" s="359"/>
      <c r="CV36" s="359"/>
      <c r="CW36" s="359"/>
      <c r="CX36" s="359"/>
      <c r="CZ36" s="70" t="s">
        <v>797</v>
      </c>
      <c r="DA36" s="70">
        <v>34</v>
      </c>
      <c r="DB36" s="70">
        <v>34</v>
      </c>
      <c r="DD36" s="70" t="s">
        <v>797</v>
      </c>
      <c r="DE36" s="70">
        <v>34</v>
      </c>
      <c r="DF36" s="70">
        <v>34</v>
      </c>
    </row>
    <row r="37" spans="1:110">
      <c r="A37" s="441" t="s">
        <v>926</v>
      </c>
      <c r="B37" s="441">
        <v>39</v>
      </c>
      <c r="C37" s="441">
        <v>35</v>
      </c>
      <c r="E37" s="446" t="s">
        <v>1637</v>
      </c>
      <c r="F37" s="446">
        <v>6</v>
      </c>
      <c r="G37" s="446">
        <v>13</v>
      </c>
      <c r="M37" s="441" t="s">
        <v>1637</v>
      </c>
      <c r="N37" s="441">
        <v>7</v>
      </c>
      <c r="O37" s="441">
        <v>36</v>
      </c>
      <c r="U37" s="448" t="s">
        <v>849</v>
      </c>
      <c r="V37" s="448">
        <v>27</v>
      </c>
      <c r="W37" s="448">
        <v>35</v>
      </c>
      <c r="Y37" s="442" t="s">
        <v>849</v>
      </c>
      <c r="Z37" s="442">
        <v>27</v>
      </c>
      <c r="AA37" s="442">
        <v>36</v>
      </c>
      <c r="AB37" s="359"/>
      <c r="AC37" s="363"/>
      <c r="AD37" s="363"/>
      <c r="AE37" s="363"/>
      <c r="AF37" s="359"/>
      <c r="AG37" s="448" t="s">
        <v>849</v>
      </c>
      <c r="AH37" s="448">
        <v>27</v>
      </c>
      <c r="AI37" s="448">
        <v>40</v>
      </c>
      <c r="AJ37" s="359"/>
      <c r="AK37" s="363"/>
      <c r="AL37" s="363"/>
      <c r="AM37" s="363"/>
      <c r="AO37" s="441" t="s">
        <v>1394</v>
      </c>
      <c r="AP37" s="443">
        <v>46</v>
      </c>
      <c r="AQ37" s="443">
        <v>35</v>
      </c>
      <c r="AS37" s="441" t="s">
        <v>1394</v>
      </c>
      <c r="AT37" s="442">
        <v>58</v>
      </c>
      <c r="AU37" s="442">
        <v>38</v>
      </c>
      <c r="AV37" s="359"/>
      <c r="AW37" s="359"/>
      <c r="AX37" s="359"/>
      <c r="AY37" s="359"/>
      <c r="AZ37" s="359"/>
      <c r="BA37" s="441" t="s">
        <v>1568</v>
      </c>
      <c r="BB37" s="448">
        <v>38</v>
      </c>
      <c r="BC37" s="448">
        <v>70</v>
      </c>
      <c r="BD37" s="359"/>
      <c r="BE37" s="359"/>
      <c r="BF37" s="359"/>
      <c r="BG37" s="359"/>
      <c r="BI37" s="441" t="s">
        <v>926</v>
      </c>
      <c r="BJ37" s="441">
        <v>37</v>
      </c>
      <c r="BK37" s="441">
        <v>35</v>
      </c>
      <c r="BM37" s="442" t="s">
        <v>926</v>
      </c>
      <c r="BN37" s="442">
        <v>54</v>
      </c>
      <c r="BO37" s="442">
        <v>45</v>
      </c>
      <c r="BP37" s="359"/>
      <c r="BQ37" s="359"/>
      <c r="BR37" s="359"/>
      <c r="BS37" s="359"/>
      <c r="BT37" s="359"/>
      <c r="BU37" s="441" t="s">
        <v>926</v>
      </c>
      <c r="BV37" s="441">
        <v>39</v>
      </c>
      <c r="BW37" s="441">
        <v>39</v>
      </c>
      <c r="BX37" s="359"/>
      <c r="BY37" s="359"/>
      <c r="BZ37" s="359"/>
      <c r="CA37" s="359"/>
      <c r="CC37" s="70" t="s">
        <v>3831</v>
      </c>
      <c r="CD37" s="365">
        <v>456</v>
      </c>
      <c r="CE37" s="70" t="s">
        <v>3832</v>
      </c>
      <c r="CU37" s="359"/>
      <c r="CV37" s="359"/>
      <c r="CW37" s="359"/>
      <c r="CX37" s="359"/>
      <c r="CZ37" s="70" t="s">
        <v>807</v>
      </c>
      <c r="DA37" s="70">
        <v>35</v>
      </c>
      <c r="DB37" s="70">
        <v>35</v>
      </c>
      <c r="DD37" s="70" t="s">
        <v>807</v>
      </c>
      <c r="DE37" s="70">
        <v>35</v>
      </c>
      <c r="DF37" s="70">
        <v>35</v>
      </c>
    </row>
    <row r="38" spans="1:110">
      <c r="A38" s="441" t="s">
        <v>932</v>
      </c>
      <c r="B38" s="441">
        <v>40</v>
      </c>
      <c r="C38" s="441">
        <v>36</v>
      </c>
      <c r="E38" s="446" t="s">
        <v>1650</v>
      </c>
      <c r="F38" s="446">
        <v>10</v>
      </c>
      <c r="G38" s="446">
        <v>14</v>
      </c>
      <c r="M38" s="441" t="s">
        <v>1650</v>
      </c>
      <c r="N38" s="441">
        <v>11</v>
      </c>
      <c r="O38" s="441">
        <v>37</v>
      </c>
      <c r="U38" s="448" t="s">
        <v>858</v>
      </c>
      <c r="V38" s="448">
        <v>28</v>
      </c>
      <c r="W38" s="448">
        <v>36</v>
      </c>
      <c r="Y38" s="442" t="s">
        <v>858</v>
      </c>
      <c r="Z38" s="442">
        <v>28</v>
      </c>
      <c r="AA38" s="442">
        <v>37</v>
      </c>
      <c r="AB38" s="359"/>
      <c r="AC38" s="363"/>
      <c r="AD38" s="363"/>
      <c r="AE38" s="363"/>
      <c r="AF38" s="359"/>
      <c r="AG38" s="448" t="s">
        <v>858</v>
      </c>
      <c r="AH38" s="448">
        <v>28</v>
      </c>
      <c r="AI38" s="448">
        <v>41</v>
      </c>
      <c r="AJ38" s="359"/>
      <c r="AK38" s="363"/>
      <c r="AL38" s="363"/>
      <c r="AM38" s="363"/>
      <c r="AO38" s="441" t="s">
        <v>1404</v>
      </c>
      <c r="AP38" s="443">
        <v>47</v>
      </c>
      <c r="AQ38" s="443">
        <v>36</v>
      </c>
      <c r="AS38" s="441" t="s">
        <v>1404</v>
      </c>
      <c r="AT38" s="442">
        <v>59</v>
      </c>
      <c r="AU38" s="442">
        <v>39</v>
      </c>
      <c r="AV38" s="359"/>
      <c r="AW38" s="359"/>
      <c r="AX38" s="359"/>
      <c r="AY38" s="359"/>
      <c r="AZ38" s="359"/>
      <c r="BA38" s="441" t="s">
        <v>1576</v>
      </c>
      <c r="BB38" s="448">
        <v>39</v>
      </c>
      <c r="BC38" s="448">
        <v>71</v>
      </c>
      <c r="BD38" s="359"/>
      <c r="BE38" s="359"/>
      <c r="BF38" s="359"/>
      <c r="BG38" s="359"/>
      <c r="BI38" s="441" t="s">
        <v>930</v>
      </c>
      <c r="BJ38" s="441">
        <v>38</v>
      </c>
      <c r="BK38" s="441">
        <v>36</v>
      </c>
      <c r="BM38" s="442" t="s">
        <v>930</v>
      </c>
      <c r="BN38" s="442">
        <v>55</v>
      </c>
      <c r="BO38" s="442">
        <v>46</v>
      </c>
      <c r="BP38" s="359"/>
      <c r="BQ38" s="359"/>
      <c r="BR38" s="359"/>
      <c r="BS38" s="359"/>
      <c r="BT38" s="359"/>
      <c r="BU38" s="441" t="s">
        <v>930</v>
      </c>
      <c r="BV38" s="441">
        <v>40</v>
      </c>
      <c r="BW38" s="441">
        <v>40</v>
      </c>
      <c r="BX38" s="359"/>
      <c r="BY38" s="359"/>
      <c r="BZ38" s="359"/>
      <c r="CA38" s="359"/>
      <c r="CC38" s="70" t="s">
        <v>3833</v>
      </c>
      <c r="CD38" s="365">
        <v>437</v>
      </c>
      <c r="CE38" s="70" t="s">
        <v>3834</v>
      </c>
      <c r="CU38" s="359"/>
      <c r="CV38" s="359"/>
      <c r="CW38" s="359"/>
      <c r="CX38" s="359"/>
      <c r="CZ38" s="70" t="s">
        <v>815</v>
      </c>
      <c r="DA38" s="70">
        <v>37</v>
      </c>
      <c r="DB38" s="70">
        <v>36</v>
      </c>
      <c r="DD38" s="70" t="s">
        <v>815</v>
      </c>
      <c r="DE38" s="70">
        <v>37</v>
      </c>
      <c r="DF38" s="70">
        <v>36</v>
      </c>
    </row>
    <row r="39" spans="1:110">
      <c r="A39" s="441" t="s">
        <v>941</v>
      </c>
      <c r="B39" s="441">
        <v>41</v>
      </c>
      <c r="C39" s="441">
        <v>37</v>
      </c>
      <c r="E39" s="446" t="s">
        <v>711</v>
      </c>
      <c r="F39" s="446">
        <v>11</v>
      </c>
      <c r="G39" s="446">
        <v>15</v>
      </c>
      <c r="M39" s="441" t="s">
        <v>711</v>
      </c>
      <c r="N39" s="441">
        <v>12</v>
      </c>
      <c r="O39" s="441">
        <v>38</v>
      </c>
      <c r="U39" s="448" t="s">
        <v>881</v>
      </c>
      <c r="V39" s="448">
        <v>33</v>
      </c>
      <c r="W39" s="448">
        <v>37</v>
      </c>
      <c r="Y39" s="442" t="s">
        <v>881</v>
      </c>
      <c r="Z39" s="442">
        <v>34</v>
      </c>
      <c r="AA39" s="442">
        <v>41</v>
      </c>
      <c r="AB39" s="359"/>
      <c r="AC39" s="363"/>
      <c r="AD39" s="363"/>
      <c r="AE39" s="363"/>
      <c r="AF39" s="359"/>
      <c r="AG39" s="448" t="s">
        <v>881</v>
      </c>
      <c r="AH39" s="448">
        <v>36</v>
      </c>
      <c r="AI39" s="448">
        <v>42</v>
      </c>
      <c r="AJ39" s="359"/>
      <c r="AK39" s="363"/>
      <c r="AL39" s="363"/>
      <c r="AM39" s="363"/>
      <c r="AO39" s="441" t="s">
        <v>1414</v>
      </c>
      <c r="AP39" s="443">
        <v>48</v>
      </c>
      <c r="AQ39" s="443">
        <v>37</v>
      </c>
      <c r="AS39" s="442" t="s">
        <v>1414</v>
      </c>
      <c r="AT39" s="442">
        <v>60</v>
      </c>
      <c r="AU39" s="97">
        <v>40</v>
      </c>
      <c r="AV39" s="359"/>
      <c r="AW39" s="359"/>
      <c r="AX39" s="359"/>
      <c r="AY39" s="359"/>
      <c r="AZ39" s="359"/>
      <c r="BA39" s="441" t="s">
        <v>1272</v>
      </c>
      <c r="BB39" s="448">
        <v>40</v>
      </c>
      <c r="BC39" s="448">
        <v>36</v>
      </c>
      <c r="BD39" s="359"/>
      <c r="BE39" s="359"/>
      <c r="BF39" s="359"/>
      <c r="BG39" s="359"/>
      <c r="BI39" s="441" t="s">
        <v>932</v>
      </c>
      <c r="BJ39" s="441">
        <v>11</v>
      </c>
      <c r="BK39" s="441">
        <v>37</v>
      </c>
      <c r="BM39" s="442" t="s">
        <v>932</v>
      </c>
      <c r="BN39" s="442">
        <v>39</v>
      </c>
      <c r="BO39" s="442">
        <v>47</v>
      </c>
      <c r="BP39" s="359"/>
      <c r="BQ39" s="359"/>
      <c r="BR39" s="359"/>
      <c r="BS39" s="359"/>
      <c r="BT39" s="359"/>
      <c r="BU39" s="441" t="s">
        <v>932</v>
      </c>
      <c r="BV39" s="441">
        <v>41</v>
      </c>
      <c r="BW39" s="441">
        <v>41</v>
      </c>
      <c r="BX39" s="359"/>
      <c r="BY39" s="359"/>
      <c r="BZ39" s="359"/>
      <c r="CA39" s="359"/>
      <c r="CC39" s="70" t="s">
        <v>3835</v>
      </c>
      <c r="CD39" s="365">
        <v>407</v>
      </c>
      <c r="CE39" s="70" t="s">
        <v>3836</v>
      </c>
      <c r="CU39" s="359"/>
      <c r="CV39" s="359"/>
      <c r="CW39" s="359"/>
      <c r="CX39" s="359"/>
      <c r="CZ39" s="70" t="s">
        <v>829</v>
      </c>
      <c r="DA39" s="70">
        <v>38</v>
      </c>
      <c r="DB39" s="70">
        <v>37</v>
      </c>
      <c r="DD39" s="70" t="s">
        <v>829</v>
      </c>
      <c r="DE39" s="70">
        <v>38</v>
      </c>
      <c r="DF39" s="70">
        <v>37</v>
      </c>
    </row>
    <row r="40" spans="1:110">
      <c r="A40" s="441" t="s">
        <v>1568</v>
      </c>
      <c r="B40" s="441">
        <v>42</v>
      </c>
      <c r="C40" s="441">
        <v>38</v>
      </c>
      <c r="E40" s="446" t="s">
        <v>723</v>
      </c>
      <c r="F40" s="446">
        <v>12</v>
      </c>
      <c r="G40" s="446">
        <v>16</v>
      </c>
      <c r="M40" s="441" t="s">
        <v>723</v>
      </c>
      <c r="N40" s="441">
        <v>13</v>
      </c>
      <c r="O40" s="441">
        <v>39</v>
      </c>
      <c r="U40" s="448" t="s">
        <v>893</v>
      </c>
      <c r="V40" s="448">
        <v>39</v>
      </c>
      <c r="W40" s="448">
        <v>38</v>
      </c>
      <c r="Y40" s="442" t="s">
        <v>893</v>
      </c>
      <c r="Z40" s="442">
        <v>41</v>
      </c>
      <c r="AA40" s="442">
        <v>42</v>
      </c>
      <c r="AB40" s="359"/>
      <c r="AC40" s="363"/>
      <c r="AD40" s="363"/>
      <c r="AE40" s="363"/>
      <c r="AF40" s="359"/>
      <c r="AG40" s="448" t="s">
        <v>893</v>
      </c>
      <c r="AH40" s="448">
        <v>42</v>
      </c>
      <c r="AI40" s="448">
        <v>43</v>
      </c>
      <c r="AJ40" s="359"/>
      <c r="AK40" s="363"/>
      <c r="AL40" s="363"/>
      <c r="AM40" s="363"/>
      <c r="AO40" s="441" t="s">
        <v>1568</v>
      </c>
      <c r="AP40" s="443">
        <v>27</v>
      </c>
      <c r="AQ40" s="443">
        <v>38</v>
      </c>
      <c r="AS40" s="441" t="s">
        <v>1568</v>
      </c>
      <c r="AT40" s="442">
        <v>32</v>
      </c>
      <c r="AU40" s="442">
        <v>45</v>
      </c>
      <c r="AV40" s="359"/>
      <c r="AW40" s="359"/>
      <c r="AX40" s="359"/>
      <c r="AY40" s="359"/>
      <c r="AZ40" s="359"/>
      <c r="BA40" s="441" t="s">
        <v>1276</v>
      </c>
      <c r="BB40" s="448">
        <v>41</v>
      </c>
      <c r="BC40" s="448">
        <v>37</v>
      </c>
      <c r="BD40" s="359"/>
      <c r="BE40" s="359"/>
      <c r="BF40" s="359"/>
      <c r="BG40" s="359"/>
      <c r="BI40" s="441" t="s">
        <v>941</v>
      </c>
      <c r="BJ40" s="441">
        <v>14</v>
      </c>
      <c r="BK40" s="441">
        <v>38</v>
      </c>
      <c r="BM40" s="442" t="s">
        <v>941</v>
      </c>
      <c r="BN40" s="442">
        <v>40</v>
      </c>
      <c r="BO40" s="442">
        <v>48</v>
      </c>
      <c r="BP40" s="359"/>
      <c r="BQ40" s="359"/>
      <c r="BR40" s="359"/>
      <c r="BS40" s="359"/>
      <c r="BT40" s="359"/>
      <c r="BU40" s="441" t="s">
        <v>941</v>
      </c>
      <c r="BV40" s="441">
        <v>42</v>
      </c>
      <c r="BW40" s="441">
        <v>42</v>
      </c>
      <c r="BX40" s="359"/>
      <c r="BY40" s="359"/>
      <c r="BZ40" s="359"/>
      <c r="CA40" s="359"/>
      <c r="CC40" s="70" t="s">
        <v>3837</v>
      </c>
      <c r="CD40" s="365" t="s">
        <v>3838</v>
      </c>
      <c r="CE40" s="70" t="s">
        <v>3839</v>
      </c>
      <c r="CU40" s="359"/>
      <c r="CV40" s="359"/>
      <c r="CW40" s="359"/>
      <c r="CX40" s="359"/>
      <c r="CZ40" s="70" t="s">
        <v>841</v>
      </c>
      <c r="DA40" s="70">
        <v>39</v>
      </c>
      <c r="DB40" s="70">
        <v>38</v>
      </c>
      <c r="DD40" s="70" t="s">
        <v>841</v>
      </c>
      <c r="DE40" s="70">
        <v>39</v>
      </c>
      <c r="DF40" s="70">
        <v>38</v>
      </c>
    </row>
    <row r="41" spans="1:110">
      <c r="A41" s="441" t="s">
        <v>1576</v>
      </c>
      <c r="B41" s="441">
        <v>43</v>
      </c>
      <c r="C41" s="441">
        <v>39</v>
      </c>
      <c r="E41" s="446" t="s">
        <v>738</v>
      </c>
      <c r="F41" s="446">
        <v>13</v>
      </c>
      <c r="G41" s="446">
        <v>17</v>
      </c>
      <c r="M41" s="441" t="s">
        <v>738</v>
      </c>
      <c r="N41" s="441">
        <v>14</v>
      </c>
      <c r="O41" s="441">
        <v>40</v>
      </c>
      <c r="U41" s="448" t="s">
        <v>1696</v>
      </c>
      <c r="V41" s="448">
        <v>40</v>
      </c>
      <c r="W41" s="448">
        <v>39</v>
      </c>
      <c r="Y41" s="442" t="s">
        <v>1696</v>
      </c>
      <c r="Z41" s="442">
        <v>42</v>
      </c>
      <c r="AA41" s="442">
        <v>43</v>
      </c>
      <c r="AB41" s="359"/>
      <c r="AC41" s="363"/>
      <c r="AD41" s="363"/>
      <c r="AE41" s="363"/>
      <c r="AF41" s="359"/>
      <c r="AG41" s="448" t="s">
        <v>1696</v>
      </c>
      <c r="AH41" s="448">
        <v>43</v>
      </c>
      <c r="AI41" s="448">
        <v>44</v>
      </c>
      <c r="AJ41" s="359"/>
      <c r="AK41" s="363"/>
      <c r="AL41" s="363"/>
      <c r="AM41" s="363"/>
      <c r="AO41" s="441" t="s">
        <v>1576</v>
      </c>
      <c r="AP41" s="443">
        <v>28</v>
      </c>
      <c r="AQ41" s="443">
        <v>39</v>
      </c>
      <c r="AS41" s="441" t="s">
        <v>1576</v>
      </c>
      <c r="AT41" s="442">
        <v>33</v>
      </c>
      <c r="AU41" s="442">
        <v>46</v>
      </c>
      <c r="AV41" s="359"/>
      <c r="AW41" s="359"/>
      <c r="AX41" s="359"/>
      <c r="AY41" s="359"/>
      <c r="AZ41" s="359"/>
      <c r="BA41" s="441" t="s">
        <v>932</v>
      </c>
      <c r="BB41" s="448">
        <v>42</v>
      </c>
      <c r="BC41" s="448">
        <v>62</v>
      </c>
      <c r="BD41" s="359"/>
      <c r="BE41" s="359"/>
      <c r="BF41" s="359"/>
      <c r="BG41" s="359"/>
      <c r="BI41" s="441" t="s">
        <v>950</v>
      </c>
      <c r="BJ41" s="441">
        <v>13</v>
      </c>
      <c r="BK41" s="441">
        <v>39</v>
      </c>
      <c r="BM41" s="442" t="s">
        <v>950</v>
      </c>
      <c r="BN41" s="442">
        <v>41</v>
      </c>
      <c r="BO41" s="442">
        <v>49</v>
      </c>
      <c r="BP41" s="359"/>
      <c r="BQ41" s="359"/>
      <c r="BR41" s="359"/>
      <c r="BS41" s="359"/>
      <c r="BT41" s="359"/>
      <c r="BU41" s="441" t="s">
        <v>950</v>
      </c>
      <c r="BV41" s="441">
        <v>43</v>
      </c>
      <c r="BW41" s="441">
        <v>43</v>
      </c>
      <c r="BX41" s="359"/>
      <c r="BY41" s="359"/>
      <c r="BZ41" s="359"/>
      <c r="CA41" s="359"/>
      <c r="CC41" s="70" t="s">
        <v>3840</v>
      </c>
      <c r="CD41" s="365">
        <v>807</v>
      </c>
      <c r="CE41" s="70" t="s">
        <v>3841</v>
      </c>
      <c r="CU41" s="359"/>
      <c r="CV41" s="359"/>
      <c r="CW41" s="359"/>
      <c r="CX41" s="359"/>
      <c r="CZ41" s="70" t="s">
        <v>849</v>
      </c>
      <c r="DA41" s="70">
        <v>36</v>
      </c>
      <c r="DB41" s="70">
        <v>39</v>
      </c>
      <c r="DD41" s="70" t="s">
        <v>849</v>
      </c>
      <c r="DE41" s="70">
        <v>36</v>
      </c>
      <c r="DF41" s="70">
        <v>39</v>
      </c>
    </row>
    <row r="42" spans="1:110">
      <c r="A42" s="441" t="s">
        <v>1583</v>
      </c>
      <c r="B42" s="441">
        <v>19</v>
      </c>
      <c r="C42" s="441">
        <v>40</v>
      </c>
      <c r="E42" s="446" t="s">
        <v>753</v>
      </c>
      <c r="F42" s="446">
        <v>14</v>
      </c>
      <c r="G42" s="446">
        <v>18</v>
      </c>
      <c r="M42" s="441" t="s">
        <v>753</v>
      </c>
      <c r="N42" s="441">
        <v>15</v>
      </c>
      <c r="O42" s="441">
        <v>41</v>
      </c>
      <c r="U42" s="448" t="s">
        <v>1702</v>
      </c>
      <c r="V42" s="448">
        <v>34</v>
      </c>
      <c r="W42" s="448">
        <v>40</v>
      </c>
      <c r="Y42" s="442" t="s">
        <v>1702</v>
      </c>
      <c r="Z42" s="442">
        <v>35</v>
      </c>
      <c r="AA42" s="442">
        <v>44</v>
      </c>
      <c r="AB42" s="359"/>
      <c r="AC42" s="363"/>
      <c r="AD42" s="363"/>
      <c r="AE42" s="363"/>
      <c r="AF42" s="359"/>
      <c r="AG42" s="448" t="s">
        <v>1702</v>
      </c>
      <c r="AH42" s="448">
        <v>37</v>
      </c>
      <c r="AI42" s="448">
        <v>45</v>
      </c>
      <c r="AJ42" s="359"/>
      <c r="AK42" s="363"/>
      <c r="AL42" s="363"/>
      <c r="AM42" s="363"/>
      <c r="AO42" s="441" t="s">
        <v>1583</v>
      </c>
      <c r="AP42" s="443">
        <v>29</v>
      </c>
      <c r="AQ42" s="443">
        <v>40</v>
      </c>
      <c r="AS42" s="441" t="s">
        <v>1583</v>
      </c>
      <c r="AT42" s="442">
        <v>34</v>
      </c>
      <c r="AU42" s="442">
        <v>47</v>
      </c>
      <c r="AV42" s="359"/>
      <c r="AW42" s="359"/>
      <c r="AX42" s="359"/>
      <c r="AY42" s="359"/>
      <c r="AZ42" s="359"/>
      <c r="BA42" s="441" t="s">
        <v>1404</v>
      </c>
      <c r="BB42" s="448">
        <v>43</v>
      </c>
      <c r="BC42" s="448">
        <v>68</v>
      </c>
      <c r="BD42" s="359"/>
      <c r="BE42" s="359"/>
      <c r="BF42" s="359"/>
      <c r="BG42" s="359"/>
      <c r="BI42" s="441" t="s">
        <v>958</v>
      </c>
      <c r="BJ42" s="441">
        <v>12</v>
      </c>
      <c r="BK42" s="441">
        <v>40</v>
      </c>
      <c r="BM42" s="442" t="s">
        <v>958</v>
      </c>
      <c r="BN42" s="442">
        <v>42</v>
      </c>
      <c r="BO42" s="442">
        <v>50</v>
      </c>
      <c r="BP42" s="359"/>
      <c r="BQ42" s="359"/>
      <c r="BR42" s="359"/>
      <c r="BS42" s="359"/>
      <c r="BT42" s="359"/>
      <c r="BU42" s="441" t="s">
        <v>958</v>
      </c>
      <c r="BV42" s="441">
        <v>44</v>
      </c>
      <c r="BW42" s="441">
        <v>44</v>
      </c>
      <c r="BX42" s="359"/>
      <c r="BY42" s="359"/>
      <c r="BZ42" s="359"/>
      <c r="CA42" s="359"/>
      <c r="CC42" s="70" t="s">
        <v>3842</v>
      </c>
      <c r="CD42" s="365">
        <v>408</v>
      </c>
      <c r="CE42" s="70" t="s">
        <v>3843</v>
      </c>
      <c r="CU42" s="359"/>
      <c r="CZ42" s="70" t="s">
        <v>881</v>
      </c>
      <c r="DA42" s="70">
        <v>41</v>
      </c>
      <c r="DB42" s="70">
        <v>40</v>
      </c>
      <c r="DD42" s="70" t="s">
        <v>881</v>
      </c>
      <c r="DE42" s="70">
        <v>41</v>
      </c>
      <c r="DF42" s="70">
        <v>40</v>
      </c>
    </row>
    <row r="43" spans="1:110">
      <c r="A43" s="441" t="s">
        <v>1216</v>
      </c>
      <c r="B43" s="441">
        <v>20</v>
      </c>
      <c r="C43" s="441">
        <v>41</v>
      </c>
      <c r="E43" s="446" t="s">
        <v>761</v>
      </c>
      <c r="F43" s="446">
        <v>15</v>
      </c>
      <c r="G43" s="446">
        <v>19</v>
      </c>
      <c r="M43" s="441" t="s">
        <v>761</v>
      </c>
      <c r="N43" s="441">
        <v>16</v>
      </c>
      <c r="O43" s="441">
        <v>42</v>
      </c>
      <c r="U43" s="448" t="s">
        <v>1709</v>
      </c>
      <c r="V43" s="448">
        <v>35</v>
      </c>
      <c r="W43" s="448">
        <v>41</v>
      </c>
      <c r="Y43" s="442" t="s">
        <v>1709</v>
      </c>
      <c r="Z43" s="442">
        <v>36</v>
      </c>
      <c r="AA43" s="442">
        <v>45</v>
      </c>
      <c r="AB43" s="359"/>
      <c r="AC43" s="363"/>
      <c r="AD43" s="363"/>
      <c r="AE43" s="363"/>
      <c r="AF43" s="359"/>
      <c r="AG43" s="448" t="s">
        <v>1709</v>
      </c>
      <c r="AH43" s="448">
        <v>38</v>
      </c>
      <c r="AI43" s="448">
        <v>46</v>
      </c>
      <c r="AJ43" s="359"/>
      <c r="AK43" s="363"/>
      <c r="AL43" s="363"/>
      <c r="AM43" s="363"/>
      <c r="AO43" s="441" t="s">
        <v>1216</v>
      </c>
      <c r="AP43" s="443">
        <v>26</v>
      </c>
      <c r="AQ43" s="443">
        <v>41</v>
      </c>
      <c r="AS43" s="441" t="s">
        <v>1216</v>
      </c>
      <c r="AT43" s="442">
        <v>31</v>
      </c>
      <c r="AU43" s="442">
        <v>48</v>
      </c>
      <c r="AV43" s="359"/>
      <c r="AW43" s="359"/>
      <c r="AX43" s="359"/>
      <c r="AY43" s="359"/>
      <c r="AZ43" s="359"/>
      <c r="BA43" s="441" t="s">
        <v>1414</v>
      </c>
      <c r="BB43" s="448">
        <v>44</v>
      </c>
      <c r="BC43" s="448">
        <v>69</v>
      </c>
      <c r="BD43" s="359"/>
      <c r="BE43" s="359"/>
      <c r="BF43" s="359"/>
      <c r="BG43" s="359"/>
      <c r="BI43" s="441" t="s">
        <v>967</v>
      </c>
      <c r="BJ43" s="441">
        <v>15</v>
      </c>
      <c r="BK43" s="441">
        <v>41</v>
      </c>
      <c r="BM43" s="442" t="s">
        <v>967</v>
      </c>
      <c r="BN43" s="442">
        <v>43</v>
      </c>
      <c r="BO43" s="442">
        <v>51</v>
      </c>
      <c r="BP43" s="359"/>
      <c r="BQ43" s="359"/>
      <c r="BR43" s="359"/>
      <c r="BS43" s="359"/>
      <c r="BT43" s="359"/>
      <c r="BU43" s="441" t="s">
        <v>967</v>
      </c>
      <c r="BV43" s="441">
        <v>45</v>
      </c>
      <c r="BW43" s="441">
        <v>45</v>
      </c>
      <c r="BX43" s="359"/>
      <c r="BY43" s="359"/>
      <c r="BZ43" s="359"/>
      <c r="CA43" s="359"/>
      <c r="CC43" s="70" t="s">
        <v>3844</v>
      </c>
      <c r="CD43" s="365">
        <v>447</v>
      </c>
      <c r="CE43" s="70" t="s">
        <v>3845</v>
      </c>
      <c r="CU43" s="359"/>
      <c r="CZ43" s="70" t="s">
        <v>893</v>
      </c>
      <c r="DA43" s="70">
        <v>42</v>
      </c>
      <c r="DB43" s="70">
        <v>41</v>
      </c>
      <c r="DD43" s="70" t="s">
        <v>893</v>
      </c>
      <c r="DE43" s="70">
        <v>42</v>
      </c>
      <c r="DF43" s="70">
        <v>41</v>
      </c>
    </row>
    <row r="44" spans="1:110">
      <c r="A44" s="441" t="s">
        <v>1312</v>
      </c>
      <c r="B44" s="441">
        <v>44</v>
      </c>
      <c r="C44" s="441">
        <v>42</v>
      </c>
      <c r="E44" s="446" t="s">
        <v>769</v>
      </c>
      <c r="F44" s="446">
        <v>16</v>
      </c>
      <c r="G44" s="446">
        <v>20</v>
      </c>
      <c r="M44" s="441" t="s">
        <v>769</v>
      </c>
      <c r="N44" s="441">
        <v>17</v>
      </c>
      <c r="O44" s="441">
        <v>43</v>
      </c>
      <c r="U44" s="448" t="s">
        <v>1712</v>
      </c>
      <c r="V44" s="448">
        <v>36</v>
      </c>
      <c r="W44" s="448">
        <v>42</v>
      </c>
      <c r="Y44" s="442" t="s">
        <v>1712</v>
      </c>
      <c r="Z44" s="442">
        <v>37</v>
      </c>
      <c r="AA44" s="442">
        <v>46</v>
      </c>
      <c r="AB44" s="359"/>
      <c r="AC44" s="363"/>
      <c r="AD44" s="363"/>
      <c r="AE44" s="363"/>
      <c r="AF44" s="359"/>
      <c r="AG44" s="448" t="s">
        <v>1712</v>
      </c>
      <c r="AH44" s="448">
        <v>39</v>
      </c>
      <c r="AI44" s="448">
        <v>47</v>
      </c>
      <c r="AJ44" s="359"/>
      <c r="AK44" s="363"/>
      <c r="AL44" s="363"/>
      <c r="AM44" s="363"/>
      <c r="AO44" s="441" t="s">
        <v>1226</v>
      </c>
      <c r="AP44" s="443">
        <v>25</v>
      </c>
      <c r="AQ44" s="443">
        <v>42</v>
      </c>
      <c r="AS44" s="441" t="s">
        <v>1226</v>
      </c>
      <c r="AT44" s="442">
        <v>30</v>
      </c>
      <c r="AU44" s="442">
        <v>49</v>
      </c>
      <c r="AV44" s="359"/>
      <c r="AW44" s="359"/>
      <c r="AX44" s="359"/>
      <c r="AY44" s="359"/>
      <c r="AZ44" s="359"/>
      <c r="BA44" s="441" t="s">
        <v>1257</v>
      </c>
      <c r="BB44" s="448">
        <v>45</v>
      </c>
      <c r="BC44" s="448">
        <v>34</v>
      </c>
      <c r="BD44" s="359"/>
      <c r="BE44" s="359"/>
      <c r="BF44" s="359"/>
      <c r="BG44" s="359"/>
      <c r="BI44" s="359"/>
      <c r="BJ44" s="359"/>
      <c r="BK44" s="359"/>
      <c r="BM44" s="364"/>
      <c r="BN44" s="364"/>
      <c r="BO44" s="364"/>
      <c r="BP44" s="359"/>
      <c r="BQ44" s="359"/>
      <c r="BR44" s="359"/>
      <c r="BS44" s="359"/>
      <c r="BT44" s="359"/>
      <c r="BU44" s="359"/>
      <c r="BV44" s="359"/>
      <c r="BW44" s="359"/>
      <c r="BX44" s="359"/>
      <c r="BY44" s="359"/>
      <c r="BZ44" s="359"/>
      <c r="CA44" s="359"/>
      <c r="CC44" s="70" t="s">
        <v>3846</v>
      </c>
      <c r="CD44" s="365">
        <v>468</v>
      </c>
      <c r="CE44" s="70" t="s">
        <v>3847</v>
      </c>
      <c r="CU44" s="359"/>
      <c r="CZ44" s="70" t="s">
        <v>906</v>
      </c>
      <c r="DA44" s="70">
        <v>44</v>
      </c>
      <c r="DB44" s="70">
        <v>43</v>
      </c>
      <c r="DD44" s="70" t="s">
        <v>906</v>
      </c>
      <c r="DE44" s="70">
        <v>44</v>
      </c>
      <c r="DF44" s="104">
        <v>43</v>
      </c>
    </row>
    <row r="45" spans="1:110">
      <c r="A45" s="441" t="s">
        <v>1326</v>
      </c>
      <c r="B45" s="441">
        <v>45</v>
      </c>
      <c r="C45" s="441">
        <v>43</v>
      </c>
      <c r="E45" s="446" t="s">
        <v>777</v>
      </c>
      <c r="F45" s="446">
        <v>17</v>
      </c>
      <c r="G45" s="446">
        <v>21</v>
      </c>
      <c r="M45" s="441" t="s">
        <v>777</v>
      </c>
      <c r="N45" s="441">
        <v>18</v>
      </c>
      <c r="O45" s="441">
        <v>44</v>
      </c>
      <c r="U45" s="448" t="s">
        <v>2069</v>
      </c>
      <c r="V45" s="448">
        <v>37</v>
      </c>
      <c r="W45" s="448">
        <v>43</v>
      </c>
      <c r="Y45" s="442" t="s">
        <v>2069</v>
      </c>
      <c r="Z45" s="442">
        <v>38</v>
      </c>
      <c r="AA45" s="442">
        <v>47</v>
      </c>
      <c r="AB45" s="359"/>
      <c r="AC45" s="363"/>
      <c r="AD45" s="363"/>
      <c r="AE45" s="363"/>
      <c r="AF45" s="359"/>
      <c r="AG45" s="448" t="s">
        <v>2069</v>
      </c>
      <c r="AH45" s="448">
        <v>40</v>
      </c>
      <c r="AI45" s="448">
        <v>48</v>
      </c>
      <c r="AJ45" s="359"/>
      <c r="AK45" s="363"/>
      <c r="AL45" s="363"/>
      <c r="AM45" s="363"/>
      <c r="AO45" s="441" t="s">
        <v>1237</v>
      </c>
      <c r="AP45" s="443">
        <v>24</v>
      </c>
      <c r="AQ45" s="443">
        <v>43</v>
      </c>
      <c r="AS45" s="441" t="s">
        <v>1237</v>
      </c>
      <c r="AT45" s="442">
        <v>29</v>
      </c>
      <c r="AU45" s="97">
        <v>50</v>
      </c>
      <c r="AV45" s="359"/>
      <c r="AW45" s="359"/>
      <c r="AX45" s="359"/>
      <c r="AY45" s="359"/>
      <c r="AZ45" s="359"/>
      <c r="BA45" s="441" t="s">
        <v>1264</v>
      </c>
      <c r="BB45" s="448">
        <v>46</v>
      </c>
      <c r="BC45" s="448">
        <v>35</v>
      </c>
      <c r="BD45" s="359"/>
      <c r="BE45" s="359"/>
      <c r="BF45" s="359"/>
      <c r="BG45" s="359"/>
      <c r="BI45" s="359"/>
      <c r="BJ45" s="359"/>
      <c r="BK45" s="359"/>
      <c r="BM45" s="359"/>
      <c r="BN45" s="359"/>
      <c r="BO45" s="359"/>
      <c r="BP45" s="359"/>
      <c r="BQ45" s="359"/>
      <c r="BR45" s="359"/>
      <c r="BS45" s="359"/>
      <c r="BT45" s="359"/>
      <c r="BU45" s="359"/>
      <c r="BV45" s="359"/>
      <c r="BW45" s="359"/>
      <c r="BX45" s="359"/>
      <c r="BY45" s="359"/>
      <c r="BZ45" s="359"/>
      <c r="CA45" s="359"/>
      <c r="CC45" s="70" t="s">
        <v>3848</v>
      </c>
      <c r="CD45" s="365">
        <v>475</v>
      </c>
      <c r="CE45" s="70" t="s">
        <v>3849</v>
      </c>
      <c r="CU45" s="359"/>
      <c r="CZ45" s="70" t="s">
        <v>914</v>
      </c>
      <c r="DA45" s="70">
        <v>19</v>
      </c>
      <c r="DB45" s="70">
        <v>44</v>
      </c>
      <c r="DD45" s="70" t="s">
        <v>914</v>
      </c>
      <c r="DE45" s="70">
        <v>19</v>
      </c>
      <c r="DF45" s="105">
        <v>44</v>
      </c>
    </row>
    <row r="46" spans="1:110">
      <c r="A46" s="441" t="s">
        <v>1343</v>
      </c>
      <c r="B46" s="441">
        <v>46</v>
      </c>
      <c r="C46" s="441">
        <v>44</v>
      </c>
      <c r="E46" s="446" t="s">
        <v>797</v>
      </c>
      <c r="F46" s="446">
        <v>18</v>
      </c>
      <c r="G46" s="446">
        <v>22</v>
      </c>
      <c r="M46" s="441" t="s">
        <v>797</v>
      </c>
      <c r="N46" s="441">
        <v>19</v>
      </c>
      <c r="O46" s="441">
        <v>45</v>
      </c>
      <c r="U46" s="448" t="s">
        <v>906</v>
      </c>
      <c r="V46" s="448">
        <v>41</v>
      </c>
      <c r="W46" s="448">
        <v>44</v>
      </c>
      <c r="Y46" s="442" t="s">
        <v>906</v>
      </c>
      <c r="Z46" s="442">
        <v>44</v>
      </c>
      <c r="AA46" s="442">
        <v>49</v>
      </c>
      <c r="AB46" s="359"/>
      <c r="AC46" s="363"/>
      <c r="AD46" s="363"/>
      <c r="AE46" s="363"/>
      <c r="AF46" s="359"/>
      <c r="AG46" s="448" t="s">
        <v>906</v>
      </c>
      <c r="AH46" s="448">
        <v>44</v>
      </c>
      <c r="AI46" s="448">
        <v>53</v>
      </c>
      <c r="AJ46" s="359"/>
      <c r="AK46" s="363"/>
      <c r="AL46" s="363"/>
      <c r="AM46" s="363"/>
      <c r="AO46" s="441" t="s">
        <v>1312</v>
      </c>
      <c r="AP46" s="443">
        <v>34</v>
      </c>
      <c r="AQ46" s="443">
        <v>44</v>
      </c>
      <c r="AS46" s="441" t="s">
        <v>1312</v>
      </c>
      <c r="AT46" s="442">
        <v>41</v>
      </c>
      <c r="AU46" s="442">
        <v>52</v>
      </c>
      <c r="AV46" s="359"/>
      <c r="AW46" s="359"/>
      <c r="AX46" s="359"/>
      <c r="AY46" s="359"/>
      <c r="AZ46" s="359"/>
      <c r="BA46" s="441" t="s">
        <v>1281</v>
      </c>
      <c r="BB46" s="448">
        <v>47</v>
      </c>
      <c r="BC46" s="448">
        <v>38</v>
      </c>
      <c r="BD46" s="359"/>
      <c r="BE46" s="359"/>
      <c r="BF46" s="359"/>
      <c r="BG46" s="359"/>
      <c r="BI46" s="359"/>
      <c r="BJ46" s="359"/>
      <c r="BK46" s="359"/>
      <c r="BM46" s="359"/>
      <c r="BN46" s="359"/>
      <c r="BO46" s="359"/>
      <c r="BP46" s="359"/>
      <c r="BQ46" s="359"/>
      <c r="BR46" s="359"/>
      <c r="BS46" s="359"/>
      <c r="BT46" s="359"/>
      <c r="BU46" s="359"/>
      <c r="BV46" s="359"/>
      <c r="BW46" s="359"/>
      <c r="BX46" s="359"/>
      <c r="BY46" s="359"/>
      <c r="BZ46" s="359"/>
      <c r="CA46" s="359"/>
      <c r="CC46" s="70" t="s">
        <v>3850</v>
      </c>
      <c r="CD46" s="365" t="s">
        <v>3851</v>
      </c>
      <c r="CE46" s="70" t="s">
        <v>3852</v>
      </c>
      <c r="CU46" s="359"/>
      <c r="CZ46" s="70" t="s">
        <v>932</v>
      </c>
      <c r="DA46" s="70">
        <v>48</v>
      </c>
      <c r="DB46" s="70">
        <v>48</v>
      </c>
      <c r="DD46" s="70" t="s">
        <v>932</v>
      </c>
      <c r="DE46" s="70">
        <v>48</v>
      </c>
      <c r="DF46" s="70">
        <v>48</v>
      </c>
    </row>
    <row r="47" spans="1:110">
      <c r="A47" s="441" t="s">
        <v>1766</v>
      </c>
      <c r="B47" s="441">
        <v>47</v>
      </c>
      <c r="C47" s="441">
        <v>45</v>
      </c>
      <c r="E47" s="446" t="s">
        <v>807</v>
      </c>
      <c r="F47" s="446">
        <v>36</v>
      </c>
      <c r="G47" s="446">
        <v>23</v>
      </c>
      <c r="M47" s="441" t="s">
        <v>807</v>
      </c>
      <c r="N47" s="441">
        <v>34</v>
      </c>
      <c r="O47" s="441">
        <v>46</v>
      </c>
      <c r="U47" s="448" t="s">
        <v>914</v>
      </c>
      <c r="V47" s="448">
        <v>42</v>
      </c>
      <c r="W47" s="448">
        <v>45</v>
      </c>
      <c r="Y47" s="442" t="s">
        <v>914</v>
      </c>
      <c r="Z47" s="442">
        <v>45</v>
      </c>
      <c r="AA47" s="442">
        <v>50</v>
      </c>
      <c r="AB47" s="359"/>
      <c r="AC47" s="363"/>
      <c r="AD47" s="363"/>
      <c r="AE47" s="363"/>
      <c r="AF47" s="359"/>
      <c r="AG47" s="448" t="s">
        <v>914</v>
      </c>
      <c r="AH47" s="448">
        <v>45</v>
      </c>
      <c r="AI47" s="448">
        <v>54</v>
      </c>
      <c r="AJ47" s="359"/>
      <c r="AK47" s="363"/>
      <c r="AL47" s="363"/>
      <c r="AM47" s="363"/>
      <c r="AO47" s="441" t="s">
        <v>1326</v>
      </c>
      <c r="AP47" s="443">
        <v>35</v>
      </c>
      <c r="AQ47" s="443">
        <v>45</v>
      </c>
      <c r="AS47" s="441" t="s">
        <v>1326</v>
      </c>
      <c r="AT47" s="442">
        <v>42</v>
      </c>
      <c r="AU47" s="442">
        <v>53</v>
      </c>
      <c r="AV47" s="359"/>
      <c r="AW47" s="359"/>
      <c r="AX47" s="359"/>
      <c r="AY47" s="359"/>
      <c r="AZ47" s="359"/>
      <c r="BA47" s="441" t="s">
        <v>1583</v>
      </c>
      <c r="BB47" s="448">
        <v>48</v>
      </c>
      <c r="BC47" s="448">
        <v>72</v>
      </c>
      <c r="BD47" s="359"/>
      <c r="BE47" s="359"/>
      <c r="BF47" s="359"/>
      <c r="BG47" s="359"/>
      <c r="BI47" s="359"/>
      <c r="BJ47" s="359"/>
      <c r="BK47" s="359"/>
      <c r="BM47" s="359"/>
      <c r="BN47" s="359"/>
      <c r="BO47" s="359"/>
      <c r="BP47" s="359"/>
      <c r="BQ47" s="359"/>
      <c r="BR47" s="359"/>
      <c r="BS47" s="359"/>
      <c r="BT47" s="359"/>
      <c r="BU47" s="359"/>
      <c r="BV47" s="359"/>
      <c r="BW47" s="359"/>
      <c r="BX47" s="359"/>
      <c r="BY47" s="359"/>
      <c r="BZ47" s="359"/>
      <c r="CA47" s="359"/>
      <c r="CC47" s="70" t="s">
        <v>3853</v>
      </c>
      <c r="CD47" s="365">
        <v>439</v>
      </c>
      <c r="CE47" s="70" t="s">
        <v>3854</v>
      </c>
      <c r="CU47" s="359"/>
      <c r="CZ47" s="70" t="s">
        <v>941</v>
      </c>
      <c r="DA47" s="70">
        <v>49</v>
      </c>
      <c r="DB47" s="70">
        <v>49</v>
      </c>
      <c r="DD47" s="70" t="s">
        <v>941</v>
      </c>
      <c r="DE47" s="70">
        <v>49</v>
      </c>
      <c r="DF47" s="70">
        <v>49</v>
      </c>
    </row>
    <row r="48" spans="1:110">
      <c r="A48" s="441" t="s">
        <v>1770</v>
      </c>
      <c r="B48" s="441">
        <v>48</v>
      </c>
      <c r="C48" s="441">
        <v>46</v>
      </c>
      <c r="E48" s="446" t="s">
        <v>881</v>
      </c>
      <c r="F48" s="446">
        <v>29</v>
      </c>
      <c r="G48" s="446">
        <v>26</v>
      </c>
      <c r="M48" s="441" t="s">
        <v>881</v>
      </c>
      <c r="N48" s="441">
        <v>28</v>
      </c>
      <c r="O48" s="441">
        <v>47</v>
      </c>
      <c r="U48" s="448" t="s">
        <v>932</v>
      </c>
      <c r="V48" s="448">
        <v>43</v>
      </c>
      <c r="W48" s="448">
        <v>46</v>
      </c>
      <c r="Y48" s="442" t="s">
        <v>932</v>
      </c>
      <c r="Z48" s="442">
        <v>46</v>
      </c>
      <c r="AA48" s="442">
        <v>52</v>
      </c>
      <c r="AB48" s="359"/>
      <c r="AC48" s="363"/>
      <c r="AD48" s="363"/>
      <c r="AE48" s="363"/>
      <c r="AF48" s="359"/>
      <c r="AG48" s="448" t="s">
        <v>932</v>
      </c>
      <c r="AH48" s="448">
        <v>48</v>
      </c>
      <c r="AI48" s="448">
        <v>55</v>
      </c>
      <c r="AJ48" s="359"/>
      <c r="AK48" s="363"/>
      <c r="AL48" s="363"/>
      <c r="AM48" s="363"/>
      <c r="AO48" s="441" t="s">
        <v>1343</v>
      </c>
      <c r="AP48" s="443">
        <v>36</v>
      </c>
      <c r="AQ48" s="443">
        <v>46</v>
      </c>
      <c r="AS48" s="441" t="s">
        <v>1343</v>
      </c>
      <c r="AT48" s="442">
        <v>43</v>
      </c>
      <c r="AU48" s="442">
        <v>54</v>
      </c>
      <c r="AV48" s="359"/>
      <c r="AW48" s="359"/>
      <c r="AX48" s="359"/>
      <c r="AY48" s="359"/>
      <c r="AZ48" s="359"/>
      <c r="BA48" s="441" t="s">
        <v>1298</v>
      </c>
      <c r="BB48" s="448">
        <v>49</v>
      </c>
      <c r="BC48" s="448">
        <v>39</v>
      </c>
      <c r="BD48" s="359"/>
      <c r="BE48" s="359"/>
      <c r="BF48" s="359"/>
      <c r="BG48" s="359"/>
      <c r="BI48" s="359"/>
      <c r="BJ48" s="359"/>
      <c r="BK48" s="359"/>
      <c r="BP48" s="359"/>
      <c r="BQ48" s="359"/>
      <c r="BR48" s="359"/>
      <c r="BS48" s="359"/>
      <c r="BT48" s="359"/>
      <c r="BU48" s="359"/>
      <c r="BV48" s="359"/>
      <c r="BW48" s="359"/>
      <c r="BX48" s="359"/>
      <c r="BY48" s="359"/>
      <c r="BZ48" s="359"/>
      <c r="CA48" s="359"/>
      <c r="CC48" s="70" t="s">
        <v>3855</v>
      </c>
      <c r="CD48" s="365" t="s">
        <v>3856</v>
      </c>
      <c r="CE48" s="70" t="s">
        <v>3857</v>
      </c>
      <c r="CU48" s="359"/>
      <c r="CZ48" s="70" t="s">
        <v>950</v>
      </c>
      <c r="DA48" s="70">
        <v>50</v>
      </c>
      <c r="DB48" s="70">
        <v>50</v>
      </c>
      <c r="DD48" s="70" t="s">
        <v>950</v>
      </c>
      <c r="DE48" s="70">
        <v>50</v>
      </c>
      <c r="DF48" s="70">
        <v>50</v>
      </c>
    </row>
    <row r="49" spans="1:110">
      <c r="A49" s="441" t="s">
        <v>1774</v>
      </c>
      <c r="B49" s="441">
        <v>49</v>
      </c>
      <c r="C49" s="441">
        <v>47</v>
      </c>
      <c r="E49" s="446" t="s">
        <v>893</v>
      </c>
      <c r="F49" s="446">
        <v>30</v>
      </c>
      <c r="G49" s="446">
        <v>27</v>
      </c>
      <c r="M49" s="441" t="s">
        <v>893</v>
      </c>
      <c r="N49" s="441">
        <v>29</v>
      </c>
      <c r="O49" s="441">
        <v>48</v>
      </c>
      <c r="U49" s="448" t="s">
        <v>941</v>
      </c>
      <c r="V49" s="448">
        <v>44</v>
      </c>
      <c r="W49" s="448">
        <v>47</v>
      </c>
      <c r="Y49" s="442" t="s">
        <v>941</v>
      </c>
      <c r="Z49" s="442">
        <v>47</v>
      </c>
      <c r="AA49" s="442">
        <v>53</v>
      </c>
      <c r="AB49" s="359"/>
      <c r="AC49" s="363"/>
      <c r="AD49" s="363"/>
      <c r="AE49" s="363"/>
      <c r="AF49" s="359"/>
      <c r="AG49" s="448" t="s">
        <v>941</v>
      </c>
      <c r="AH49" s="448">
        <v>49</v>
      </c>
      <c r="AI49" s="448">
        <v>56</v>
      </c>
      <c r="AJ49" s="359"/>
      <c r="AK49" s="363"/>
      <c r="AL49" s="363"/>
      <c r="AM49" s="363"/>
      <c r="AO49" s="445" t="s">
        <v>1244</v>
      </c>
      <c r="AP49" s="443">
        <v>32</v>
      </c>
      <c r="AQ49" s="443">
        <v>47</v>
      </c>
      <c r="AS49" s="441" t="s">
        <v>1244</v>
      </c>
      <c r="AT49" s="442">
        <v>39</v>
      </c>
      <c r="AU49" s="442">
        <v>55</v>
      </c>
      <c r="AV49" s="359"/>
      <c r="AW49" s="359"/>
      <c r="AX49" s="359"/>
      <c r="AY49" s="359"/>
      <c r="AZ49" s="359"/>
      <c r="BA49" s="441" t="s">
        <v>1548</v>
      </c>
      <c r="BB49" s="448">
        <v>50</v>
      </c>
      <c r="BC49" s="448">
        <v>45</v>
      </c>
      <c r="BD49" s="359"/>
      <c r="BE49" s="359"/>
      <c r="BF49" s="359"/>
      <c r="BG49" s="359"/>
      <c r="BP49" s="359"/>
      <c r="BQ49" s="359"/>
      <c r="BR49" s="359"/>
      <c r="BS49" s="359"/>
      <c r="BT49" s="359"/>
      <c r="BU49" s="359"/>
      <c r="BV49" s="359"/>
      <c r="BW49" s="359"/>
      <c r="BX49" s="359"/>
      <c r="BY49" s="359"/>
      <c r="BZ49" s="359"/>
      <c r="CA49" s="359"/>
      <c r="CC49" s="70" t="s">
        <v>3858</v>
      </c>
      <c r="CD49" s="365">
        <v>469</v>
      </c>
      <c r="CE49" s="70" t="s">
        <v>3859</v>
      </c>
      <c r="CU49" s="359"/>
      <c r="CZ49" s="70" t="s">
        <v>958</v>
      </c>
      <c r="DA49" s="70">
        <v>51</v>
      </c>
      <c r="DB49" s="70">
        <v>51</v>
      </c>
      <c r="DD49" s="70" t="s">
        <v>958</v>
      </c>
      <c r="DE49" s="70">
        <v>51</v>
      </c>
      <c r="DF49" s="70">
        <v>51</v>
      </c>
    </row>
    <row r="50" spans="1:110">
      <c r="A50" s="441" t="s">
        <v>1779</v>
      </c>
      <c r="B50" s="441">
        <v>50</v>
      </c>
      <c r="C50" s="441">
        <v>48</v>
      </c>
      <c r="E50" s="446" t="s">
        <v>1696</v>
      </c>
      <c r="F50" s="446">
        <v>31</v>
      </c>
      <c r="G50" s="446">
        <v>28</v>
      </c>
      <c r="M50" s="441" t="s">
        <v>1696</v>
      </c>
      <c r="N50" s="441">
        <v>30</v>
      </c>
      <c r="O50" s="441">
        <v>49</v>
      </c>
      <c r="U50" s="448" t="s">
        <v>950</v>
      </c>
      <c r="V50" s="448">
        <v>45</v>
      </c>
      <c r="W50" s="448">
        <v>48</v>
      </c>
      <c r="Y50" s="442" t="s">
        <v>950</v>
      </c>
      <c r="Z50" s="442">
        <v>48</v>
      </c>
      <c r="AA50" s="442">
        <v>54</v>
      </c>
      <c r="AB50" s="359"/>
      <c r="AC50" s="363"/>
      <c r="AD50" s="363"/>
      <c r="AE50" s="363"/>
      <c r="AF50" s="359"/>
      <c r="AG50" s="448" t="s">
        <v>950</v>
      </c>
      <c r="AH50" s="448">
        <v>50</v>
      </c>
      <c r="AI50" s="448">
        <v>57</v>
      </c>
      <c r="AJ50" s="359"/>
      <c r="AK50" s="363"/>
      <c r="AL50" s="363"/>
      <c r="AM50" s="363"/>
      <c r="AO50" s="441" t="s">
        <v>1541</v>
      </c>
      <c r="AP50" s="443">
        <v>33</v>
      </c>
      <c r="AQ50" s="443">
        <v>48</v>
      </c>
      <c r="AS50" s="441" t="s">
        <v>1541</v>
      </c>
      <c r="AT50" s="442">
        <v>40</v>
      </c>
      <c r="AU50" s="442">
        <v>56</v>
      </c>
      <c r="AV50" s="359"/>
      <c r="AW50" s="359"/>
      <c r="AX50" s="359"/>
      <c r="AY50" s="359"/>
      <c r="AZ50" s="359"/>
      <c r="BA50" s="441" t="s">
        <v>1553</v>
      </c>
      <c r="BB50" s="448">
        <v>51</v>
      </c>
      <c r="BC50" s="448">
        <v>46</v>
      </c>
      <c r="BD50" s="359"/>
      <c r="BE50" s="359"/>
      <c r="BF50" s="359"/>
      <c r="BG50" s="359"/>
      <c r="BP50" s="359"/>
      <c r="BT50" s="359"/>
      <c r="BU50" s="359"/>
      <c r="BV50" s="359"/>
      <c r="BW50" s="359"/>
      <c r="BX50" s="359"/>
      <c r="BY50" s="359"/>
      <c r="BZ50" s="359"/>
      <c r="CA50" s="359"/>
      <c r="CC50" s="70" t="s">
        <v>3860</v>
      </c>
      <c r="CD50" s="365" t="s">
        <v>3861</v>
      </c>
      <c r="CE50" s="70" t="s">
        <v>3862</v>
      </c>
      <c r="CZ50" s="70" t="s">
        <v>967</v>
      </c>
      <c r="DA50" s="70">
        <v>52</v>
      </c>
      <c r="DB50" s="70">
        <v>52</v>
      </c>
      <c r="DD50" s="70" t="s">
        <v>967</v>
      </c>
      <c r="DE50" s="70">
        <v>52</v>
      </c>
      <c r="DF50" s="70">
        <v>52</v>
      </c>
    </row>
    <row r="51" spans="1:110">
      <c r="A51" s="441" t="s">
        <v>1783</v>
      </c>
      <c r="B51" s="441">
        <v>51</v>
      </c>
      <c r="C51" s="441">
        <v>49</v>
      </c>
      <c r="E51" s="446" t="s">
        <v>1702</v>
      </c>
      <c r="F51" s="446">
        <v>32</v>
      </c>
      <c r="G51" s="446">
        <v>29</v>
      </c>
      <c r="M51" s="441" t="s">
        <v>1702</v>
      </c>
      <c r="N51" s="441">
        <v>31</v>
      </c>
      <c r="O51" s="441">
        <v>50</v>
      </c>
      <c r="U51" s="448" t="s">
        <v>958</v>
      </c>
      <c r="V51" s="448">
        <v>46</v>
      </c>
      <c r="W51" s="448">
        <v>49</v>
      </c>
      <c r="Y51" s="442" t="s">
        <v>958</v>
      </c>
      <c r="Z51" s="442">
        <v>49</v>
      </c>
      <c r="AA51" s="442">
        <v>55</v>
      </c>
      <c r="AB51" s="359"/>
      <c r="AC51" s="363"/>
      <c r="AD51" s="363"/>
      <c r="AE51" s="363"/>
      <c r="AF51" s="359"/>
      <c r="AG51" s="448" t="s">
        <v>958</v>
      </c>
      <c r="AH51" s="448">
        <v>51</v>
      </c>
      <c r="AI51" s="448">
        <v>58</v>
      </c>
      <c r="AJ51" s="359"/>
      <c r="AK51" s="363"/>
      <c r="AL51" s="363"/>
      <c r="AM51" s="363"/>
      <c r="AO51" s="441" t="s">
        <v>1257</v>
      </c>
      <c r="AP51" s="443">
        <v>49</v>
      </c>
      <c r="AQ51" s="443">
        <v>49</v>
      </c>
      <c r="AS51" s="441" t="s">
        <v>1257</v>
      </c>
      <c r="AT51" s="442">
        <v>65</v>
      </c>
      <c r="AU51" s="442">
        <v>57</v>
      </c>
      <c r="AV51" s="359"/>
      <c r="AW51" s="359"/>
      <c r="AX51" s="359"/>
      <c r="AY51" s="359"/>
      <c r="AZ51" s="359"/>
      <c r="BA51" s="441" t="s">
        <v>1216</v>
      </c>
      <c r="BB51" s="448">
        <v>52</v>
      </c>
      <c r="BC51" s="448">
        <v>73</v>
      </c>
      <c r="BD51" s="359"/>
      <c r="BE51" s="359"/>
      <c r="BF51" s="359"/>
      <c r="BG51" s="359"/>
      <c r="BT51" s="359"/>
      <c r="BU51" s="359"/>
      <c r="BV51" s="359"/>
      <c r="BW51" s="359"/>
      <c r="BX51" s="359"/>
      <c r="BY51" s="359"/>
      <c r="BZ51" s="359"/>
      <c r="CA51" s="359"/>
      <c r="CC51" s="70" t="s">
        <v>3863</v>
      </c>
      <c r="CD51" s="365">
        <v>470</v>
      </c>
      <c r="CE51" s="70" t="s">
        <v>3864</v>
      </c>
      <c r="CZ51" s="70" t="s">
        <v>1568</v>
      </c>
      <c r="DA51" s="70">
        <v>18</v>
      </c>
      <c r="DB51" s="70">
        <v>53</v>
      </c>
      <c r="DD51" s="70" t="s">
        <v>1568</v>
      </c>
      <c r="DE51" s="70">
        <v>18</v>
      </c>
      <c r="DF51" s="70">
        <v>53</v>
      </c>
    </row>
    <row r="52" spans="1:110">
      <c r="A52" s="441" t="s">
        <v>1789</v>
      </c>
      <c r="B52" s="441">
        <v>52</v>
      </c>
      <c r="C52" s="441">
        <v>50</v>
      </c>
      <c r="E52" s="446" t="s">
        <v>1709</v>
      </c>
      <c r="F52" s="446">
        <v>33</v>
      </c>
      <c r="G52" s="446">
        <v>30</v>
      </c>
      <c r="M52" s="441" t="s">
        <v>1709</v>
      </c>
      <c r="N52" s="441">
        <v>32</v>
      </c>
      <c r="O52" s="441">
        <v>51</v>
      </c>
      <c r="U52" s="448" t="s">
        <v>1568</v>
      </c>
      <c r="V52" s="448">
        <v>53</v>
      </c>
      <c r="W52" s="448">
        <v>50</v>
      </c>
      <c r="Y52" s="442" t="s">
        <v>1568</v>
      </c>
      <c r="Z52" s="442">
        <v>59</v>
      </c>
      <c r="AA52" s="442">
        <v>56</v>
      </c>
      <c r="AB52" s="359"/>
      <c r="AC52" s="363"/>
      <c r="AD52" s="363"/>
      <c r="AE52" s="363"/>
      <c r="AF52" s="359"/>
      <c r="AG52" s="448" t="s">
        <v>1568</v>
      </c>
      <c r="AH52" s="448">
        <v>58</v>
      </c>
      <c r="AI52" s="448">
        <v>61</v>
      </c>
      <c r="AJ52" s="359"/>
      <c r="AK52" s="363"/>
      <c r="AL52" s="363"/>
      <c r="AM52" s="363"/>
      <c r="AO52" s="441" t="s">
        <v>1264</v>
      </c>
      <c r="AP52" s="443">
        <v>50</v>
      </c>
      <c r="AQ52" s="443">
        <v>50</v>
      </c>
      <c r="AS52" s="441" t="s">
        <v>1264</v>
      </c>
      <c r="AT52" s="442">
        <v>66</v>
      </c>
      <c r="AU52" s="442">
        <v>58</v>
      </c>
      <c r="AV52" s="359"/>
      <c r="AW52" s="359"/>
      <c r="AX52" s="359"/>
      <c r="AY52" s="359"/>
      <c r="AZ52" s="359"/>
      <c r="BA52" s="441" t="s">
        <v>1226</v>
      </c>
      <c r="BB52" s="448">
        <v>53</v>
      </c>
      <c r="BC52" s="448">
        <v>74</v>
      </c>
      <c r="BD52" s="359"/>
      <c r="BE52" s="359"/>
      <c r="BF52" s="359"/>
      <c r="BG52" s="359"/>
      <c r="BT52" s="359"/>
      <c r="BX52" s="359"/>
      <c r="BY52" s="359"/>
      <c r="BZ52" s="359"/>
      <c r="CA52" s="359"/>
      <c r="CC52" s="70" t="s">
        <v>3865</v>
      </c>
      <c r="CD52" s="365">
        <v>421</v>
      </c>
      <c r="CE52" s="70" t="s">
        <v>3866</v>
      </c>
    </row>
    <row r="53" spans="1:110">
      <c r="A53" s="441" t="s">
        <v>1795</v>
      </c>
      <c r="B53" s="441">
        <v>53</v>
      </c>
      <c r="C53" s="441">
        <v>51</v>
      </c>
      <c r="E53" s="446" t="s">
        <v>1712</v>
      </c>
      <c r="F53" s="446">
        <v>34</v>
      </c>
      <c r="G53" s="446">
        <v>31</v>
      </c>
      <c r="M53" s="441" t="s">
        <v>1712</v>
      </c>
      <c r="N53" s="441">
        <v>33</v>
      </c>
      <c r="O53" s="441">
        <v>52</v>
      </c>
      <c r="U53" s="448" t="s">
        <v>1576</v>
      </c>
      <c r="V53" s="448">
        <v>54</v>
      </c>
      <c r="W53" s="448">
        <v>51</v>
      </c>
      <c r="Y53" s="442" t="s">
        <v>1576</v>
      </c>
      <c r="Z53" s="442">
        <v>60</v>
      </c>
      <c r="AA53" s="442">
        <v>57</v>
      </c>
      <c r="AB53" s="359"/>
      <c r="AC53" s="363"/>
      <c r="AD53" s="363"/>
      <c r="AE53" s="363"/>
      <c r="AF53" s="359"/>
      <c r="AG53" s="448" t="s">
        <v>1576</v>
      </c>
      <c r="AH53" s="448">
        <v>59</v>
      </c>
      <c r="AI53" s="448">
        <v>62</v>
      </c>
      <c r="AJ53" s="359"/>
      <c r="AK53" s="363"/>
      <c r="AL53" s="363"/>
      <c r="AM53" s="363"/>
      <c r="AO53" s="441" t="s">
        <v>1272</v>
      </c>
      <c r="AP53" s="443">
        <v>53</v>
      </c>
      <c r="AQ53" s="443">
        <v>51</v>
      </c>
      <c r="AS53" s="441" t="s">
        <v>1272</v>
      </c>
      <c r="AT53" s="442">
        <v>69</v>
      </c>
      <c r="AU53" s="442">
        <v>59</v>
      </c>
      <c r="AV53" s="359"/>
      <c r="AW53" s="359"/>
      <c r="AX53" s="359"/>
      <c r="AY53" s="359"/>
      <c r="AZ53" s="359"/>
      <c r="BA53" s="441" t="s">
        <v>1237</v>
      </c>
      <c r="BB53" s="448">
        <v>54</v>
      </c>
      <c r="BC53" s="448">
        <v>75</v>
      </c>
      <c r="BD53" s="359"/>
      <c r="BE53" s="359"/>
      <c r="BF53" s="359"/>
      <c r="BG53" s="359"/>
      <c r="BM53" s="70" t="s">
        <v>69</v>
      </c>
      <c r="BN53" s="70" t="s">
        <v>559</v>
      </c>
      <c r="BO53" s="70" t="s">
        <v>115</v>
      </c>
      <c r="BQ53" s="70" t="s">
        <v>69</v>
      </c>
      <c r="BR53" s="70" t="s">
        <v>559</v>
      </c>
      <c r="BS53" s="70" t="s">
        <v>115</v>
      </c>
      <c r="BT53" s="359"/>
      <c r="BX53" s="359"/>
      <c r="BY53" s="359"/>
      <c r="BZ53" s="359"/>
      <c r="CA53" s="359"/>
      <c r="CC53" s="70" t="s">
        <v>3867</v>
      </c>
      <c r="CD53" s="365" t="s">
        <v>3868</v>
      </c>
      <c r="CE53" s="70" t="s">
        <v>3869</v>
      </c>
    </row>
    <row r="54" spans="1:110" ht="20.149999999999999" customHeight="1">
      <c r="A54" s="441" t="s">
        <v>1799</v>
      </c>
      <c r="B54" s="441">
        <v>54</v>
      </c>
      <c r="C54" s="441">
        <v>52</v>
      </c>
      <c r="E54" s="446" t="s">
        <v>906</v>
      </c>
      <c r="F54" s="446">
        <v>37</v>
      </c>
      <c r="G54" s="446">
        <v>62</v>
      </c>
      <c r="M54" s="441" t="s">
        <v>906</v>
      </c>
      <c r="N54" s="441">
        <v>35</v>
      </c>
      <c r="O54" s="441">
        <v>53</v>
      </c>
      <c r="U54" s="448" t="s">
        <v>1583</v>
      </c>
      <c r="V54" s="448">
        <v>55</v>
      </c>
      <c r="W54" s="448">
        <v>52</v>
      </c>
      <c r="Y54" s="442" t="s">
        <v>1583</v>
      </c>
      <c r="Z54" s="442">
        <v>61</v>
      </c>
      <c r="AA54" s="442">
        <v>58</v>
      </c>
      <c r="AB54" s="359"/>
      <c r="AC54" s="363"/>
      <c r="AD54" s="363"/>
      <c r="AE54" s="363"/>
      <c r="AF54" s="359"/>
      <c r="AG54" s="448" t="s">
        <v>1583</v>
      </c>
      <c r="AH54" s="448">
        <v>60</v>
      </c>
      <c r="AI54" s="448">
        <v>63</v>
      </c>
      <c r="AJ54" s="359"/>
      <c r="AK54" s="363"/>
      <c r="AL54" s="363"/>
      <c r="AM54" s="363"/>
      <c r="AO54" s="441" t="s">
        <v>1276</v>
      </c>
      <c r="AP54" s="443">
        <v>54</v>
      </c>
      <c r="AQ54" s="443">
        <v>52</v>
      </c>
      <c r="AS54" s="441" t="s">
        <v>1276</v>
      </c>
      <c r="AT54" s="442">
        <v>70</v>
      </c>
      <c r="AU54" s="442">
        <v>60</v>
      </c>
      <c r="AV54" s="359"/>
      <c r="AW54" s="359"/>
      <c r="AX54" s="359"/>
      <c r="AY54" s="359"/>
      <c r="AZ54" s="359"/>
      <c r="BA54" s="441" t="s">
        <v>1312</v>
      </c>
      <c r="BB54" s="448">
        <v>55</v>
      </c>
      <c r="BC54" s="448">
        <v>29</v>
      </c>
      <c r="BD54" s="359"/>
      <c r="BE54" s="359"/>
      <c r="BF54" s="359"/>
      <c r="BG54" s="359"/>
      <c r="BM54" s="70" t="s">
        <v>576</v>
      </c>
      <c r="BN54" s="70">
        <v>1</v>
      </c>
      <c r="BO54" s="70">
        <v>1</v>
      </c>
      <c r="BQ54" s="70" t="s">
        <v>669</v>
      </c>
      <c r="BR54" s="70">
        <v>24</v>
      </c>
      <c r="BS54" s="70">
        <v>22</v>
      </c>
      <c r="BT54" s="359"/>
      <c r="CC54" s="70" t="s">
        <v>3870</v>
      </c>
      <c r="CD54" s="365">
        <v>410</v>
      </c>
      <c r="CE54" s="70" t="s">
        <v>3871</v>
      </c>
      <c r="CG54" s="566" t="s">
        <v>3872</v>
      </c>
      <c r="CH54" s="566"/>
      <c r="CI54" s="566"/>
      <c r="CJ54" s="99"/>
      <c r="CK54" s="566" t="s">
        <v>3873</v>
      </c>
      <c r="CL54" s="566"/>
      <c r="CM54" s="566"/>
    </row>
    <row r="55" spans="1:110" ht="15" customHeight="1">
      <c r="A55" s="441" t="s">
        <v>1802</v>
      </c>
      <c r="B55" s="441">
        <v>55</v>
      </c>
      <c r="C55" s="441">
        <v>53</v>
      </c>
      <c r="E55" s="446" t="s">
        <v>914</v>
      </c>
      <c r="F55" s="446">
        <v>38</v>
      </c>
      <c r="G55" s="446">
        <v>63</v>
      </c>
      <c r="M55" s="441" t="s">
        <v>914</v>
      </c>
      <c r="N55" s="441">
        <v>36</v>
      </c>
      <c r="O55" s="441">
        <v>54</v>
      </c>
      <c r="U55" s="448" t="s">
        <v>1216</v>
      </c>
      <c r="V55" s="448">
        <v>56</v>
      </c>
      <c r="W55" s="448">
        <v>53</v>
      </c>
      <c r="Y55" s="442" t="s">
        <v>1216</v>
      </c>
      <c r="Z55" s="442">
        <v>62</v>
      </c>
      <c r="AA55" s="442">
        <v>59</v>
      </c>
      <c r="AB55" s="359"/>
      <c r="AC55" s="363"/>
      <c r="AD55" s="363"/>
      <c r="AE55" s="363"/>
      <c r="AF55" s="359"/>
      <c r="AG55" s="448" t="s">
        <v>1216</v>
      </c>
      <c r="AH55" s="448">
        <v>63</v>
      </c>
      <c r="AI55" s="448">
        <v>64</v>
      </c>
      <c r="AJ55" s="359"/>
      <c r="AK55" s="363"/>
      <c r="AL55" s="363"/>
      <c r="AM55" s="363"/>
      <c r="AO55" s="441" t="s">
        <v>1281</v>
      </c>
      <c r="AP55" s="443">
        <v>52</v>
      </c>
      <c r="AQ55" s="443">
        <v>53</v>
      </c>
      <c r="AS55" s="441" t="s">
        <v>1281</v>
      </c>
      <c r="AT55" s="442">
        <v>68</v>
      </c>
      <c r="AU55" s="442">
        <v>61</v>
      </c>
      <c r="AV55" s="359"/>
      <c r="AW55" s="359"/>
      <c r="AX55" s="359"/>
      <c r="AY55" s="359"/>
      <c r="AZ55" s="359"/>
      <c r="BA55" s="441" t="s">
        <v>1326</v>
      </c>
      <c r="BB55" s="448">
        <v>56</v>
      </c>
      <c r="BC55" s="448">
        <v>30</v>
      </c>
      <c r="BD55" s="359"/>
      <c r="BE55" s="359"/>
      <c r="BF55" s="359"/>
      <c r="BG55" s="359"/>
      <c r="BM55" s="70" t="s">
        <v>589</v>
      </c>
      <c r="BN55" s="70">
        <v>2</v>
      </c>
      <c r="BO55" s="70">
        <v>2</v>
      </c>
      <c r="BQ55" s="70" t="s">
        <v>823</v>
      </c>
      <c r="BR55" s="70">
        <v>17</v>
      </c>
      <c r="BS55" s="70">
        <v>31</v>
      </c>
      <c r="BT55" s="359"/>
      <c r="CC55" s="70" t="s">
        <v>3874</v>
      </c>
      <c r="CD55" s="365">
        <v>411</v>
      </c>
      <c r="CE55" s="70" t="s">
        <v>3875</v>
      </c>
      <c r="CG55" s="566"/>
      <c r="CH55" s="566"/>
      <c r="CI55" s="566"/>
      <c r="CJ55" s="99"/>
      <c r="CK55" s="566"/>
      <c r="CL55" s="566"/>
      <c r="CM55" s="566"/>
    </row>
    <row r="56" spans="1:110">
      <c r="A56" s="441" t="s">
        <v>1808</v>
      </c>
      <c r="B56" s="441">
        <v>56</v>
      </c>
      <c r="C56" s="441">
        <v>54</v>
      </c>
      <c r="E56" s="446" t="s">
        <v>918</v>
      </c>
      <c r="F56" s="446">
        <v>39</v>
      </c>
      <c r="G56" s="446">
        <v>64</v>
      </c>
      <c r="M56" s="441" t="s">
        <v>918</v>
      </c>
      <c r="N56" s="441">
        <v>37</v>
      </c>
      <c r="O56" s="441">
        <v>55</v>
      </c>
      <c r="U56" s="448" t="s">
        <v>1312</v>
      </c>
      <c r="V56" s="448">
        <v>30</v>
      </c>
      <c r="W56" s="448">
        <v>54</v>
      </c>
      <c r="Y56" s="442" t="s">
        <v>1312</v>
      </c>
      <c r="Z56" s="442">
        <v>31</v>
      </c>
      <c r="AA56" s="442">
        <v>62</v>
      </c>
      <c r="AB56" s="359"/>
      <c r="AC56" s="363"/>
      <c r="AD56" s="363"/>
      <c r="AE56" s="363"/>
      <c r="AF56" s="359"/>
      <c r="AG56" s="448" t="s">
        <v>1312</v>
      </c>
      <c r="AH56" s="448">
        <v>31</v>
      </c>
      <c r="AI56" s="448">
        <v>50</v>
      </c>
      <c r="AJ56" s="359"/>
      <c r="AK56" s="363"/>
      <c r="AL56" s="363"/>
      <c r="AM56" s="363"/>
      <c r="AO56" s="441" t="s">
        <v>1298</v>
      </c>
      <c r="AP56" s="443">
        <v>51</v>
      </c>
      <c r="AQ56" s="443">
        <v>54</v>
      </c>
      <c r="AS56" s="441" t="s">
        <v>1298</v>
      </c>
      <c r="AT56" s="442">
        <v>67</v>
      </c>
      <c r="AU56" s="442">
        <v>62</v>
      </c>
      <c r="AV56" s="359"/>
      <c r="AW56" s="359"/>
      <c r="AX56" s="359"/>
      <c r="AY56" s="359"/>
      <c r="AZ56" s="359"/>
      <c r="BA56" s="441" t="s">
        <v>1343</v>
      </c>
      <c r="BB56" s="448">
        <v>57</v>
      </c>
      <c r="BC56" s="448">
        <v>31</v>
      </c>
      <c r="BD56" s="359"/>
      <c r="BE56" s="359"/>
      <c r="BF56" s="359"/>
      <c r="BG56" s="359"/>
      <c r="BM56" s="70" t="s">
        <v>598</v>
      </c>
      <c r="BN56" s="70">
        <v>3</v>
      </c>
      <c r="BO56" s="70">
        <v>3</v>
      </c>
      <c r="BP56" s="359"/>
      <c r="BQ56" s="70" t="s">
        <v>1591</v>
      </c>
      <c r="BR56" s="70">
        <v>19</v>
      </c>
      <c r="BS56" s="70">
        <v>32</v>
      </c>
      <c r="BT56" s="359"/>
      <c r="CC56" s="70" t="s">
        <v>3876</v>
      </c>
      <c r="CD56" s="365" t="s">
        <v>3877</v>
      </c>
      <c r="CE56" s="70" t="s">
        <v>3878</v>
      </c>
      <c r="CG56" s="70" t="s">
        <v>69</v>
      </c>
      <c r="CH56" s="70" t="s">
        <v>559</v>
      </c>
      <c r="CI56" s="70" t="s">
        <v>115</v>
      </c>
      <c r="CJ56" s="359"/>
      <c r="CK56" s="359" t="s">
        <v>69</v>
      </c>
      <c r="CL56" s="359" t="s">
        <v>559</v>
      </c>
      <c r="CM56" s="359" t="s">
        <v>115</v>
      </c>
    </row>
    <row r="57" spans="1:110">
      <c r="A57" s="441" t="s">
        <v>1815</v>
      </c>
      <c r="B57" s="441">
        <v>57</v>
      </c>
      <c r="C57" s="441">
        <v>55</v>
      </c>
      <c r="E57" s="446" t="s">
        <v>920</v>
      </c>
      <c r="F57" s="446">
        <v>40</v>
      </c>
      <c r="G57" s="446">
        <v>65</v>
      </c>
      <c r="M57" s="441" t="s">
        <v>920</v>
      </c>
      <c r="N57" s="441">
        <v>38</v>
      </c>
      <c r="O57" s="441">
        <v>56</v>
      </c>
      <c r="U57" s="448" t="s">
        <v>1326</v>
      </c>
      <c r="V57" s="448">
        <v>31</v>
      </c>
      <c r="W57" s="448">
        <v>55</v>
      </c>
      <c r="Y57" s="442" t="s">
        <v>1326</v>
      </c>
      <c r="Z57" s="442">
        <v>32</v>
      </c>
      <c r="AA57" s="442">
        <v>63</v>
      </c>
      <c r="AB57" s="359"/>
      <c r="AC57" s="363"/>
      <c r="AD57" s="363"/>
      <c r="AE57" s="363"/>
      <c r="AF57" s="359"/>
      <c r="AG57" s="448" t="s">
        <v>1326</v>
      </c>
      <c r="AH57" s="448">
        <v>32</v>
      </c>
      <c r="AI57" s="448">
        <v>51</v>
      </c>
      <c r="AJ57" s="359"/>
      <c r="AK57" s="363"/>
      <c r="AL57" s="363"/>
      <c r="AM57" s="363"/>
      <c r="AO57" s="441" t="s">
        <v>1425</v>
      </c>
      <c r="AP57" s="443">
        <v>37</v>
      </c>
      <c r="AQ57" s="443">
        <v>55</v>
      </c>
      <c r="AS57" s="441" t="s">
        <v>1425</v>
      </c>
      <c r="AT57" s="442">
        <v>44</v>
      </c>
      <c r="AU57" s="442">
        <v>63</v>
      </c>
      <c r="AV57" s="359"/>
      <c r="AW57" s="359"/>
      <c r="AX57" s="359"/>
      <c r="AY57" s="359"/>
      <c r="AZ57" s="359"/>
      <c r="BA57" s="441" t="s">
        <v>1070</v>
      </c>
      <c r="BB57" s="448">
        <v>58</v>
      </c>
      <c r="BC57" s="448">
        <v>51</v>
      </c>
      <c r="BD57" s="359"/>
      <c r="BE57" s="359"/>
      <c r="BF57" s="359"/>
      <c r="BG57" s="359"/>
      <c r="BM57" s="70" t="s">
        <v>607</v>
      </c>
      <c r="BN57" s="70">
        <v>38</v>
      </c>
      <c r="BO57" s="70">
        <v>4</v>
      </c>
      <c r="BP57" s="359"/>
      <c r="BQ57" s="70" t="s">
        <v>1859</v>
      </c>
      <c r="BR57" s="70">
        <v>21</v>
      </c>
      <c r="BS57" s="70">
        <v>33</v>
      </c>
      <c r="BT57" s="359"/>
      <c r="CC57" s="70" t="s">
        <v>3879</v>
      </c>
      <c r="CD57" s="365">
        <v>471</v>
      </c>
      <c r="CE57" s="70" t="s">
        <v>3880</v>
      </c>
      <c r="CG57" s="359" t="s">
        <v>576</v>
      </c>
      <c r="CH57" s="359">
        <v>1</v>
      </c>
      <c r="CI57" s="359">
        <v>1</v>
      </c>
      <c r="CJ57" s="359"/>
      <c r="CK57" s="359" t="s">
        <v>1645</v>
      </c>
      <c r="CL57" s="359">
        <v>26</v>
      </c>
      <c r="CM57" s="359">
        <v>26</v>
      </c>
    </row>
    <row r="58" spans="1:110">
      <c r="A58" s="441" t="s">
        <v>1244</v>
      </c>
      <c r="B58" s="441">
        <v>22</v>
      </c>
      <c r="C58" s="441">
        <v>56</v>
      </c>
      <c r="E58" s="446" t="s">
        <v>924</v>
      </c>
      <c r="F58" s="446">
        <v>41</v>
      </c>
      <c r="G58" s="446">
        <v>66</v>
      </c>
      <c r="M58" s="441" t="s">
        <v>924</v>
      </c>
      <c r="N58" s="441">
        <v>39</v>
      </c>
      <c r="O58" s="441">
        <v>57</v>
      </c>
      <c r="U58" s="448" t="s">
        <v>1343</v>
      </c>
      <c r="V58" s="448">
        <v>32</v>
      </c>
      <c r="W58" s="448">
        <v>56</v>
      </c>
      <c r="Y58" s="442" t="s">
        <v>1343</v>
      </c>
      <c r="Z58" s="442">
        <v>33</v>
      </c>
      <c r="AA58" s="442">
        <v>64</v>
      </c>
      <c r="AB58" s="359"/>
      <c r="AC58" s="363"/>
      <c r="AD58" s="363"/>
      <c r="AE58" s="363"/>
      <c r="AF58" s="359"/>
      <c r="AG58" s="448" t="s">
        <v>1343</v>
      </c>
      <c r="AH58" s="448">
        <v>34</v>
      </c>
      <c r="AI58" s="448">
        <v>52</v>
      </c>
      <c r="AJ58" s="359"/>
      <c r="AK58" s="363"/>
      <c r="AL58" s="363"/>
      <c r="AM58" s="363"/>
      <c r="AO58" s="441" t="s">
        <v>1436</v>
      </c>
      <c r="AP58" s="443">
        <v>38</v>
      </c>
      <c r="AQ58" s="443">
        <v>56</v>
      </c>
      <c r="AS58" s="441" t="s">
        <v>1436</v>
      </c>
      <c r="AT58" s="442">
        <v>45</v>
      </c>
      <c r="AU58" s="442">
        <v>64</v>
      </c>
      <c r="AV58" s="359"/>
      <c r="AW58" s="359"/>
      <c r="AX58" s="359"/>
      <c r="AY58" s="359"/>
      <c r="AZ58" s="359"/>
      <c r="BA58" s="441" t="s">
        <v>1080</v>
      </c>
      <c r="BB58" s="448">
        <v>59</v>
      </c>
      <c r="BC58" s="448">
        <v>52</v>
      </c>
      <c r="BD58" s="359"/>
      <c r="BE58" s="359"/>
      <c r="BF58" s="359"/>
      <c r="BG58" s="359"/>
      <c r="BM58" s="70" t="s">
        <v>618</v>
      </c>
      <c r="BN58" s="70">
        <v>39</v>
      </c>
      <c r="BO58" s="70">
        <v>5</v>
      </c>
      <c r="BP58" s="359"/>
      <c r="BQ58" s="70" t="s">
        <v>3352</v>
      </c>
      <c r="BR58" s="70">
        <v>18</v>
      </c>
      <c r="BS58" s="70">
        <v>34</v>
      </c>
      <c r="BT58" s="359"/>
      <c r="CC58" s="70" t="s">
        <v>3881</v>
      </c>
      <c r="CD58" s="365">
        <v>460</v>
      </c>
      <c r="CE58" s="70" t="s">
        <v>3882</v>
      </c>
      <c r="CG58" s="359" t="s">
        <v>589</v>
      </c>
      <c r="CH58" s="359">
        <v>2</v>
      </c>
      <c r="CI58" s="359">
        <v>2</v>
      </c>
      <c r="CJ58" s="359"/>
      <c r="CK58" s="359" t="s">
        <v>630</v>
      </c>
      <c r="CL58" s="359">
        <v>27</v>
      </c>
      <c r="CM58" s="359">
        <v>27</v>
      </c>
    </row>
    <row r="59" spans="1:110">
      <c r="A59" s="441" t="s">
        <v>1541</v>
      </c>
      <c r="B59" s="441">
        <v>23</v>
      </c>
      <c r="C59" s="441">
        <v>57</v>
      </c>
      <c r="E59" s="446" t="s">
        <v>926</v>
      </c>
      <c r="F59" s="446">
        <v>42</v>
      </c>
      <c r="G59" s="446">
        <v>67</v>
      </c>
      <c r="M59" s="441" t="s">
        <v>926</v>
      </c>
      <c r="N59" s="441">
        <v>40</v>
      </c>
      <c r="O59" s="441">
        <v>58</v>
      </c>
      <c r="U59" s="363"/>
      <c r="V59" s="363"/>
      <c r="W59" s="363"/>
      <c r="Y59" s="103"/>
      <c r="Z59" s="103"/>
      <c r="AA59" s="103"/>
      <c r="AB59" s="359"/>
      <c r="AC59" s="363"/>
      <c r="AD59" s="363"/>
      <c r="AE59" s="363"/>
      <c r="AF59" s="359"/>
      <c r="AG59" s="363"/>
      <c r="AH59" s="363"/>
      <c r="AI59" s="363"/>
      <c r="AJ59" s="359"/>
      <c r="AK59" s="363"/>
      <c r="AL59" s="363"/>
      <c r="AM59" s="363"/>
      <c r="AO59" s="441" t="s">
        <v>1448</v>
      </c>
      <c r="AP59" s="443">
        <v>18</v>
      </c>
      <c r="AQ59" s="443">
        <v>57</v>
      </c>
      <c r="AS59" s="441" t="s">
        <v>1448</v>
      </c>
      <c r="AT59" s="442">
        <v>21</v>
      </c>
      <c r="AU59" s="97">
        <v>65</v>
      </c>
      <c r="AV59" s="359"/>
      <c r="AW59" s="359"/>
      <c r="AX59" s="359"/>
      <c r="AY59" s="359"/>
      <c r="AZ59" s="359"/>
      <c r="BA59" s="441" t="s">
        <v>1094</v>
      </c>
      <c r="BB59" s="448">
        <v>60</v>
      </c>
      <c r="BC59" s="448">
        <v>54</v>
      </c>
      <c r="BD59" s="359"/>
      <c r="BE59" s="359"/>
      <c r="BF59" s="359"/>
      <c r="BG59" s="359"/>
      <c r="BM59" s="70" t="s">
        <v>638</v>
      </c>
      <c r="BN59" s="70">
        <v>4</v>
      </c>
      <c r="BO59" s="70">
        <v>6</v>
      </c>
      <c r="BP59" s="359"/>
      <c r="BT59" s="359"/>
      <c r="CC59" s="70" t="s">
        <v>3883</v>
      </c>
      <c r="CD59" s="365" t="s">
        <v>3884</v>
      </c>
      <c r="CE59" s="70" t="s">
        <v>3885</v>
      </c>
      <c r="CG59" s="359" t="s">
        <v>598</v>
      </c>
      <c r="CH59" s="359">
        <v>3</v>
      </c>
      <c r="CI59" s="359">
        <v>3</v>
      </c>
      <c r="CJ59" s="359"/>
      <c r="CK59" s="359" t="s">
        <v>803</v>
      </c>
      <c r="CL59" s="359">
        <v>28</v>
      </c>
      <c r="CM59" s="359">
        <v>28</v>
      </c>
    </row>
    <row r="60" spans="1:110">
      <c r="A60" s="441" t="s">
        <v>1257</v>
      </c>
      <c r="B60" s="441">
        <v>24</v>
      </c>
      <c r="C60" s="441">
        <v>58</v>
      </c>
      <c r="E60" s="446" t="s">
        <v>932</v>
      </c>
      <c r="F60" s="446">
        <v>43</v>
      </c>
      <c r="G60" s="446">
        <v>68</v>
      </c>
      <c r="M60" s="441" t="s">
        <v>932</v>
      </c>
      <c r="N60" s="441">
        <v>41</v>
      </c>
      <c r="O60" s="441">
        <v>59</v>
      </c>
      <c r="AO60" s="441" t="s">
        <v>1544</v>
      </c>
      <c r="AP60" s="443">
        <v>60</v>
      </c>
      <c r="AQ60" s="443">
        <v>58</v>
      </c>
      <c r="AS60" s="441" t="s">
        <v>1544</v>
      </c>
      <c r="AT60" s="442">
        <v>83</v>
      </c>
      <c r="AU60" s="442">
        <v>73</v>
      </c>
      <c r="AV60" s="359"/>
      <c r="AW60" s="359"/>
      <c r="AX60" s="359"/>
      <c r="AY60" s="359"/>
      <c r="AZ60" s="359"/>
      <c r="BA60" s="441" t="s">
        <v>1121</v>
      </c>
      <c r="BB60" s="448">
        <v>61</v>
      </c>
      <c r="BC60" s="448">
        <v>53</v>
      </c>
      <c r="BD60" s="359"/>
      <c r="BE60" s="359"/>
      <c r="BF60" s="359"/>
      <c r="BG60" s="359"/>
      <c r="BM60" s="70" t="s">
        <v>652</v>
      </c>
      <c r="BN60" s="70">
        <v>5</v>
      </c>
      <c r="BO60" s="70">
        <v>7</v>
      </c>
      <c r="BP60" s="359"/>
      <c r="BT60" s="359"/>
      <c r="CC60" s="70" t="s">
        <v>3886</v>
      </c>
      <c r="CD60" s="365">
        <v>457</v>
      </c>
      <c r="CE60" s="70" t="s">
        <v>3887</v>
      </c>
      <c r="CG60" s="359" t="s">
        <v>618</v>
      </c>
      <c r="CH60" s="359">
        <v>4</v>
      </c>
      <c r="CI60" s="359">
        <v>4</v>
      </c>
      <c r="CJ60" s="359"/>
      <c r="CK60" s="359" t="s">
        <v>810</v>
      </c>
      <c r="CL60" s="359">
        <v>29</v>
      </c>
      <c r="CM60" s="359">
        <v>29</v>
      </c>
    </row>
    <row r="61" spans="1:110">
      <c r="A61" s="441" t="s">
        <v>1264</v>
      </c>
      <c r="B61" s="441">
        <v>25</v>
      </c>
      <c r="C61" s="441">
        <v>59</v>
      </c>
      <c r="E61" s="446" t="s">
        <v>941</v>
      </c>
      <c r="F61" s="446">
        <v>44</v>
      </c>
      <c r="G61" s="446">
        <v>69</v>
      </c>
      <c r="M61" s="441" t="s">
        <v>941</v>
      </c>
      <c r="N61" s="441">
        <v>42</v>
      </c>
      <c r="O61" s="441">
        <v>60</v>
      </c>
      <c r="AO61" s="441" t="s">
        <v>1548</v>
      </c>
      <c r="AP61" s="443">
        <v>61</v>
      </c>
      <c r="AQ61" s="443">
        <v>59</v>
      </c>
      <c r="AS61" s="441" t="s">
        <v>1548</v>
      </c>
      <c r="AT61" s="442">
        <v>84</v>
      </c>
      <c r="AU61" s="442">
        <v>74</v>
      </c>
      <c r="AV61" s="359"/>
      <c r="AW61" s="359"/>
      <c r="AX61" s="359"/>
      <c r="AY61" s="359"/>
      <c r="AZ61" s="359"/>
      <c r="BA61" s="441" t="s">
        <v>1108</v>
      </c>
      <c r="BB61" s="448">
        <v>62</v>
      </c>
      <c r="BC61" s="448">
        <v>55</v>
      </c>
      <c r="BD61" s="359"/>
      <c r="BE61" s="359"/>
      <c r="BF61" s="359"/>
      <c r="BG61" s="359"/>
      <c r="BM61" s="70" t="s">
        <v>661</v>
      </c>
      <c r="BN61" s="70">
        <v>7</v>
      </c>
      <c r="BO61" s="70">
        <v>8</v>
      </c>
      <c r="BP61" s="359"/>
      <c r="BT61" s="359"/>
      <c r="CC61" s="70" t="s">
        <v>3888</v>
      </c>
      <c r="CD61" s="365">
        <v>412</v>
      </c>
      <c r="CE61" s="70" t="s">
        <v>3889</v>
      </c>
      <c r="CG61" s="359" t="s">
        <v>628</v>
      </c>
      <c r="CH61" s="359">
        <v>5</v>
      </c>
      <c r="CI61" s="359">
        <v>5</v>
      </c>
      <c r="CJ61" s="359"/>
      <c r="CK61" s="359" t="s">
        <v>902</v>
      </c>
      <c r="CL61" s="359">
        <v>30</v>
      </c>
      <c r="CM61" s="359">
        <v>30</v>
      </c>
    </row>
    <row r="62" spans="1:110">
      <c r="A62" s="441" t="s">
        <v>1425</v>
      </c>
      <c r="B62" s="441">
        <v>58</v>
      </c>
      <c r="C62" s="441">
        <v>60</v>
      </c>
      <c r="E62" s="446" t="s">
        <v>1568</v>
      </c>
      <c r="F62" s="446">
        <v>45</v>
      </c>
      <c r="G62" s="446">
        <v>70</v>
      </c>
      <c r="M62" s="441" t="s">
        <v>1568</v>
      </c>
      <c r="N62" s="441">
        <v>43</v>
      </c>
      <c r="O62" s="441">
        <v>61</v>
      </c>
      <c r="AO62" s="441" t="s">
        <v>1553</v>
      </c>
      <c r="AP62" s="443">
        <v>62</v>
      </c>
      <c r="AQ62" s="443">
        <v>60</v>
      </c>
      <c r="AS62" s="441" t="s">
        <v>1553</v>
      </c>
      <c r="AT62" s="442">
        <v>85</v>
      </c>
      <c r="AU62" s="442">
        <v>75</v>
      </c>
      <c r="AV62" s="359"/>
      <c r="AW62" s="359"/>
      <c r="AX62" s="359"/>
      <c r="AY62" s="359"/>
      <c r="AZ62" s="359"/>
      <c r="BA62" s="441" t="s">
        <v>1131</v>
      </c>
      <c r="BB62" s="448">
        <v>64</v>
      </c>
      <c r="BC62" s="448">
        <v>56</v>
      </c>
      <c r="BD62" s="359"/>
      <c r="BE62" s="359"/>
      <c r="BF62" s="359"/>
      <c r="BG62" s="359"/>
      <c r="BM62" s="70" t="s">
        <v>677</v>
      </c>
      <c r="BN62" s="70">
        <v>6</v>
      </c>
      <c r="BO62" s="70">
        <v>9</v>
      </c>
      <c r="BP62" s="359"/>
      <c r="BT62" s="359"/>
      <c r="CC62" s="70" t="s">
        <v>3890</v>
      </c>
      <c r="CD62" s="365">
        <v>440</v>
      </c>
      <c r="CE62" s="70" t="s">
        <v>3891</v>
      </c>
      <c r="CG62" s="359" t="s">
        <v>2259</v>
      </c>
      <c r="CH62" s="359">
        <v>6</v>
      </c>
      <c r="CI62" s="359">
        <v>6</v>
      </c>
      <c r="CJ62" s="359"/>
      <c r="CK62" s="359" t="s">
        <v>2869</v>
      </c>
      <c r="CL62" s="359">
        <v>31</v>
      </c>
      <c r="CM62" s="359">
        <v>31</v>
      </c>
    </row>
    <row r="63" spans="1:110">
      <c r="A63" s="441" t="s">
        <v>1436</v>
      </c>
      <c r="B63" s="441">
        <v>26</v>
      </c>
      <c r="C63" s="441">
        <v>61</v>
      </c>
      <c r="E63" s="446" t="s">
        <v>1576</v>
      </c>
      <c r="F63" s="446">
        <v>46</v>
      </c>
      <c r="G63" s="446">
        <v>71</v>
      </c>
      <c r="M63" s="441" t="s">
        <v>1576</v>
      </c>
      <c r="N63" s="441">
        <v>44</v>
      </c>
      <c r="O63" s="441">
        <v>62</v>
      </c>
      <c r="AO63" s="441" t="s">
        <v>1555</v>
      </c>
      <c r="AP63" s="443">
        <v>63</v>
      </c>
      <c r="AQ63" s="443">
        <v>61</v>
      </c>
      <c r="AS63" s="441" t="s">
        <v>1555</v>
      </c>
      <c r="AT63" s="442">
        <v>86</v>
      </c>
      <c r="AU63" s="442">
        <v>76</v>
      </c>
      <c r="AV63" s="359"/>
      <c r="AW63" s="359"/>
      <c r="AX63" s="359"/>
      <c r="AY63" s="359"/>
      <c r="AZ63" s="359"/>
      <c r="BA63" s="441" t="s">
        <v>1244</v>
      </c>
      <c r="BB63" s="448">
        <v>65</v>
      </c>
      <c r="BC63" s="448">
        <v>32</v>
      </c>
      <c r="BD63" s="359"/>
      <c r="BE63" s="359"/>
      <c r="BF63" s="359"/>
      <c r="BG63" s="359"/>
      <c r="BM63" s="70" t="s">
        <v>693</v>
      </c>
      <c r="BN63" s="70">
        <v>10</v>
      </c>
      <c r="BO63" s="70">
        <v>10</v>
      </c>
      <c r="BP63" s="359"/>
      <c r="BT63" s="359"/>
      <c r="CC63" s="70" t="s">
        <v>3892</v>
      </c>
      <c r="CD63" s="365">
        <v>476</v>
      </c>
      <c r="CE63" s="70" t="s">
        <v>3893</v>
      </c>
      <c r="CG63" s="359" t="s">
        <v>638</v>
      </c>
      <c r="CH63" s="359">
        <v>7</v>
      </c>
      <c r="CI63" s="359">
        <v>7</v>
      </c>
      <c r="CJ63" s="359"/>
      <c r="CK63" s="359" t="s">
        <v>2876</v>
      </c>
      <c r="CL63" s="359">
        <v>32</v>
      </c>
      <c r="CM63" s="359">
        <v>32</v>
      </c>
    </row>
    <row r="64" spans="1:110">
      <c r="A64" s="441" t="s">
        <v>1448</v>
      </c>
      <c r="B64" s="441">
        <v>59</v>
      </c>
      <c r="C64" s="441">
        <v>62</v>
      </c>
      <c r="E64" s="446" t="s">
        <v>1583</v>
      </c>
      <c r="F64" s="446">
        <v>19</v>
      </c>
      <c r="G64" s="446">
        <v>72</v>
      </c>
      <c r="M64" s="441" t="s">
        <v>1583</v>
      </c>
      <c r="N64" s="441">
        <v>20</v>
      </c>
      <c r="O64" s="441">
        <v>63</v>
      </c>
      <c r="AO64" s="441" t="s">
        <v>1559</v>
      </c>
      <c r="AP64" s="443">
        <v>64</v>
      </c>
      <c r="AQ64" s="443">
        <v>62</v>
      </c>
      <c r="AS64" s="441" t="s">
        <v>1559</v>
      </c>
      <c r="AT64" s="442">
        <v>87</v>
      </c>
      <c r="AU64" s="442">
        <v>77</v>
      </c>
      <c r="AV64" s="359"/>
      <c r="AW64" s="359"/>
      <c r="AX64" s="359"/>
      <c r="AY64" s="359"/>
      <c r="AZ64" s="359"/>
      <c r="BA64" s="441" t="s">
        <v>1541</v>
      </c>
      <c r="BB64" s="448">
        <v>66</v>
      </c>
      <c r="BC64" s="448">
        <v>33</v>
      </c>
      <c r="BD64" s="359"/>
      <c r="BE64" s="359"/>
      <c r="BF64" s="359"/>
      <c r="BG64" s="359"/>
      <c r="BM64" s="70" t="s">
        <v>1517</v>
      </c>
      <c r="BN64" s="70">
        <v>22</v>
      </c>
      <c r="BO64" s="70">
        <v>11</v>
      </c>
      <c r="BP64" s="359"/>
      <c r="BT64" s="359"/>
      <c r="CC64" s="70" t="s">
        <v>3894</v>
      </c>
      <c r="CD64" s="365">
        <v>426</v>
      </c>
      <c r="CE64" s="70" t="s">
        <v>3895</v>
      </c>
      <c r="CG64" s="359" t="s">
        <v>652</v>
      </c>
      <c r="CH64" s="359">
        <v>8</v>
      </c>
      <c r="CI64" s="359">
        <v>8</v>
      </c>
      <c r="CJ64" s="359"/>
      <c r="CK64" s="359" t="s">
        <v>2889</v>
      </c>
      <c r="CL64" s="359">
        <v>33</v>
      </c>
      <c r="CM64" s="359">
        <v>33</v>
      </c>
    </row>
    <row r="65" spans="1:91">
      <c r="A65" s="441" t="s">
        <v>1848</v>
      </c>
      <c r="B65" s="441">
        <v>60</v>
      </c>
      <c r="C65" s="441">
        <v>63</v>
      </c>
      <c r="E65" s="446" t="s">
        <v>1216</v>
      </c>
      <c r="F65" s="446">
        <v>20</v>
      </c>
      <c r="G65" s="446">
        <v>73</v>
      </c>
      <c r="M65" s="441" t="s">
        <v>1216</v>
      </c>
      <c r="N65" s="441">
        <v>21</v>
      </c>
      <c r="O65" s="441">
        <v>64</v>
      </c>
      <c r="AO65" s="441" t="s">
        <v>1561</v>
      </c>
      <c r="AP65" s="443">
        <v>65</v>
      </c>
      <c r="AQ65" s="443">
        <v>63</v>
      </c>
      <c r="AS65" s="441" t="s">
        <v>1561</v>
      </c>
      <c r="AT65" s="442">
        <v>88</v>
      </c>
      <c r="AU65" s="442">
        <v>78</v>
      </c>
      <c r="AV65" s="359"/>
      <c r="AW65" s="359"/>
      <c r="AX65" s="359"/>
      <c r="AY65" s="359"/>
      <c r="AZ65" s="359"/>
      <c r="BA65" s="441" t="s">
        <v>1544</v>
      </c>
      <c r="BB65" s="448">
        <v>68</v>
      </c>
      <c r="BC65" s="448">
        <v>44</v>
      </c>
      <c r="BD65" s="359"/>
      <c r="BE65" s="359"/>
      <c r="BF65" s="359"/>
      <c r="BG65" s="359"/>
      <c r="BM65" s="70" t="s">
        <v>711</v>
      </c>
      <c r="BN65" s="70">
        <v>31</v>
      </c>
      <c r="BO65" s="70">
        <v>12</v>
      </c>
      <c r="BP65" s="359"/>
      <c r="BT65" s="359"/>
      <c r="CC65" s="70" t="s">
        <v>3896</v>
      </c>
      <c r="CD65" s="365">
        <v>427</v>
      </c>
      <c r="CE65" s="70" t="s">
        <v>3897</v>
      </c>
      <c r="CG65" s="359" t="s">
        <v>1897</v>
      </c>
      <c r="CH65" s="359">
        <v>9</v>
      </c>
      <c r="CI65" s="359">
        <v>9</v>
      </c>
      <c r="CJ65" s="359"/>
      <c r="CK65" s="359" t="s">
        <v>669</v>
      </c>
      <c r="CL65" s="359">
        <v>34</v>
      </c>
      <c r="CM65" s="359">
        <v>34</v>
      </c>
    </row>
    <row r="66" spans="1:91">
      <c r="A66" s="359"/>
      <c r="B66" s="359"/>
      <c r="C66" s="359"/>
      <c r="E66" s="101"/>
      <c r="F66" s="101"/>
      <c r="G66" s="101"/>
      <c r="M66" s="359"/>
      <c r="N66" s="359"/>
      <c r="O66" s="359"/>
      <c r="AO66" s="441" t="s">
        <v>1564</v>
      </c>
      <c r="AP66" s="443">
        <v>66</v>
      </c>
      <c r="AQ66" s="443">
        <v>64</v>
      </c>
      <c r="AS66" s="441" t="s">
        <v>1564</v>
      </c>
      <c r="AT66" s="442">
        <v>89</v>
      </c>
      <c r="AU66" s="442">
        <v>79</v>
      </c>
      <c r="AV66" s="359"/>
      <c r="AW66" s="359"/>
      <c r="AX66" s="359"/>
      <c r="AY66" s="359"/>
      <c r="AZ66" s="359"/>
      <c r="BA66" s="441" t="s">
        <v>1555</v>
      </c>
      <c r="BB66" s="448">
        <v>69</v>
      </c>
      <c r="BC66" s="448">
        <v>47</v>
      </c>
      <c r="BD66" s="359"/>
      <c r="BE66" s="359"/>
      <c r="BF66" s="359"/>
      <c r="BG66" s="359"/>
      <c r="BM66" s="70" t="s">
        <v>723</v>
      </c>
      <c r="BN66" s="70">
        <v>33</v>
      </c>
      <c r="BO66" s="70">
        <v>13</v>
      </c>
      <c r="BP66" s="359"/>
      <c r="BT66" s="359"/>
      <c r="CC66" s="70" t="s">
        <v>3898</v>
      </c>
      <c r="CD66" s="365" t="s">
        <v>3899</v>
      </c>
      <c r="CE66" s="70" t="s">
        <v>3900</v>
      </c>
      <c r="CG66" s="359" t="s">
        <v>1902</v>
      </c>
      <c r="CH66" s="359">
        <v>10</v>
      </c>
      <c r="CI66" s="359">
        <v>10</v>
      </c>
      <c r="CJ66" s="359"/>
      <c r="CK66" s="359"/>
      <c r="CL66" s="359"/>
      <c r="CM66" s="359"/>
    </row>
    <row r="67" spans="1:91">
      <c r="A67" s="359"/>
      <c r="B67" s="359"/>
      <c r="C67" s="359"/>
      <c r="E67" s="101"/>
      <c r="F67" s="101"/>
      <c r="G67" s="101"/>
      <c r="M67" s="359"/>
      <c r="N67" s="359"/>
      <c r="O67" s="359"/>
      <c r="AO67" s="441" t="s">
        <v>1070</v>
      </c>
      <c r="AP67" s="443">
        <v>39</v>
      </c>
      <c r="AQ67" s="443">
        <v>65</v>
      </c>
      <c r="AS67" s="441" t="s">
        <v>1070</v>
      </c>
      <c r="AT67" s="442">
        <v>51</v>
      </c>
      <c r="AU67" s="442">
        <v>80</v>
      </c>
      <c r="AV67" s="359"/>
      <c r="AW67" s="359"/>
      <c r="AX67" s="359"/>
      <c r="AY67" s="359"/>
      <c r="AZ67" s="359"/>
      <c r="BA67" s="441" t="s">
        <v>1559</v>
      </c>
      <c r="BB67" s="448">
        <v>70</v>
      </c>
      <c r="BC67" s="448">
        <v>48</v>
      </c>
      <c r="BD67" s="359"/>
      <c r="BE67" s="359"/>
      <c r="BF67" s="359"/>
      <c r="BG67" s="359"/>
      <c r="BM67" s="70" t="s">
        <v>738</v>
      </c>
      <c r="BN67" s="70">
        <v>32</v>
      </c>
      <c r="BO67" s="70">
        <v>14</v>
      </c>
      <c r="BP67" s="359"/>
      <c r="BT67" s="359"/>
      <c r="CC67" s="70" t="s">
        <v>3901</v>
      </c>
      <c r="CD67" s="365" t="s">
        <v>3902</v>
      </c>
      <c r="CE67" s="70" t="s">
        <v>3903</v>
      </c>
      <c r="CG67" s="359" t="s">
        <v>1905</v>
      </c>
      <c r="CH67" s="359">
        <v>11</v>
      </c>
      <c r="CI67" s="359">
        <v>11</v>
      </c>
      <c r="CJ67" s="359"/>
      <c r="CK67" s="359"/>
      <c r="CL67" s="359"/>
      <c r="CM67" s="359"/>
    </row>
    <row r="68" spans="1:91">
      <c r="E68" s="101"/>
      <c r="F68" s="101"/>
      <c r="G68" s="101"/>
      <c r="AO68" s="441" t="s">
        <v>1080</v>
      </c>
      <c r="AP68" s="443">
        <v>55</v>
      </c>
      <c r="AQ68" s="443">
        <v>66</v>
      </c>
      <c r="AS68" s="441" t="s">
        <v>1080</v>
      </c>
      <c r="AT68" s="442">
        <v>71</v>
      </c>
      <c r="AU68" s="442">
        <v>81</v>
      </c>
      <c r="AV68" s="359"/>
      <c r="AW68" s="359"/>
      <c r="AX68" s="359"/>
      <c r="AY68" s="359"/>
      <c r="AZ68" s="359"/>
      <c r="BA68" s="441" t="s">
        <v>1561</v>
      </c>
      <c r="BB68" s="448">
        <v>71</v>
      </c>
      <c r="BC68" s="448">
        <v>49</v>
      </c>
      <c r="BD68" s="359"/>
      <c r="BE68" s="359"/>
      <c r="BF68" s="359"/>
      <c r="BG68" s="359"/>
      <c r="BM68" s="70" t="s">
        <v>753</v>
      </c>
      <c r="BN68" s="70">
        <v>35</v>
      </c>
      <c r="BO68" s="70">
        <v>15</v>
      </c>
      <c r="BP68" s="359"/>
      <c r="BT68" s="359"/>
      <c r="CC68" s="70" t="s">
        <v>3904</v>
      </c>
      <c r="CD68" s="365" t="s">
        <v>3905</v>
      </c>
      <c r="CE68" s="70" t="s">
        <v>3906</v>
      </c>
      <c r="CG68" s="359" t="s">
        <v>661</v>
      </c>
      <c r="CH68" s="359">
        <v>12</v>
      </c>
      <c r="CI68" s="359">
        <v>12</v>
      </c>
      <c r="CJ68" s="359"/>
      <c r="CK68" s="359"/>
      <c r="CL68" s="359"/>
      <c r="CM68" s="359"/>
    </row>
    <row r="69" spans="1:91">
      <c r="E69" s="101"/>
      <c r="F69" s="101"/>
      <c r="G69" s="101"/>
      <c r="AO69" s="441" t="s">
        <v>1121</v>
      </c>
      <c r="AP69" s="443">
        <v>57</v>
      </c>
      <c r="AQ69" s="443">
        <v>67</v>
      </c>
      <c r="AS69" s="441" t="s">
        <v>1121</v>
      </c>
      <c r="AT69" s="442">
        <v>73</v>
      </c>
      <c r="AU69" s="442">
        <v>82</v>
      </c>
      <c r="AV69" s="359"/>
      <c r="AW69" s="359"/>
      <c r="AX69" s="359"/>
      <c r="AY69" s="359"/>
      <c r="AZ69" s="359"/>
      <c r="BA69" s="441" t="s">
        <v>1564</v>
      </c>
      <c r="BB69" s="448">
        <v>72</v>
      </c>
      <c r="BC69" s="448">
        <v>50</v>
      </c>
      <c r="BD69" s="359"/>
      <c r="BE69" s="359"/>
      <c r="BF69" s="359"/>
      <c r="BG69" s="359"/>
      <c r="BM69" s="70" t="s">
        <v>761</v>
      </c>
      <c r="BN69" s="70">
        <v>34</v>
      </c>
      <c r="BO69" s="70">
        <v>16</v>
      </c>
      <c r="BP69" s="359"/>
      <c r="BT69" s="359"/>
      <c r="CC69" s="70" t="s">
        <v>3907</v>
      </c>
      <c r="CD69" s="365" t="s">
        <v>3908</v>
      </c>
      <c r="CE69" s="70" t="s">
        <v>3909</v>
      </c>
      <c r="CG69" s="359" t="s">
        <v>677</v>
      </c>
      <c r="CH69" s="359">
        <v>13</v>
      </c>
      <c r="CI69" s="359">
        <v>13</v>
      </c>
      <c r="CJ69" s="359"/>
      <c r="CK69" s="359"/>
      <c r="CL69" s="359"/>
      <c r="CM69" s="359"/>
    </row>
    <row r="70" spans="1:91">
      <c r="E70" s="101"/>
      <c r="F70" s="101"/>
      <c r="G70" s="101"/>
      <c r="AO70" s="441" t="s">
        <v>1094</v>
      </c>
      <c r="AP70" s="443">
        <v>56</v>
      </c>
      <c r="AQ70" s="443">
        <v>68</v>
      </c>
      <c r="AS70" s="441" t="s">
        <v>1094</v>
      </c>
      <c r="AT70" s="442">
        <v>72</v>
      </c>
      <c r="AU70" s="442">
        <v>83</v>
      </c>
      <c r="AV70" s="359"/>
      <c r="AW70" s="359"/>
      <c r="AX70" s="359"/>
      <c r="AY70" s="359"/>
      <c r="AZ70" s="359"/>
      <c r="BA70" s="441" t="s">
        <v>607</v>
      </c>
      <c r="BB70" s="448">
        <v>73</v>
      </c>
      <c r="BC70" s="448">
        <v>4</v>
      </c>
      <c r="BD70" s="359"/>
      <c r="BE70" s="359"/>
      <c r="BF70" s="359"/>
      <c r="BG70" s="359"/>
      <c r="BM70" s="70" t="s">
        <v>769</v>
      </c>
      <c r="BN70" s="70">
        <v>29</v>
      </c>
      <c r="BO70" s="70">
        <v>17</v>
      </c>
      <c r="BP70" s="359"/>
      <c r="BQ70" s="359"/>
      <c r="BR70" s="359"/>
      <c r="BS70" s="359"/>
      <c r="BT70" s="359"/>
      <c r="CC70" s="70" t="s">
        <v>3910</v>
      </c>
      <c r="CD70" s="365">
        <v>458</v>
      </c>
      <c r="CE70" s="70" t="s">
        <v>3911</v>
      </c>
      <c r="CG70" s="359" t="s">
        <v>693</v>
      </c>
      <c r="CH70" s="359">
        <v>14</v>
      </c>
      <c r="CI70" s="359">
        <v>14</v>
      </c>
      <c r="CJ70" s="359"/>
      <c r="CK70" s="359"/>
      <c r="CL70" s="359"/>
      <c r="CM70" s="359"/>
    </row>
    <row r="71" spans="1:91">
      <c r="AO71" s="441" t="s">
        <v>1108</v>
      </c>
      <c r="AP71" s="443">
        <v>58</v>
      </c>
      <c r="AQ71" s="443">
        <v>69</v>
      </c>
      <c r="AS71" s="441" t="s">
        <v>1108</v>
      </c>
      <c r="AT71" s="442">
        <v>74</v>
      </c>
      <c r="AU71" s="442">
        <v>84</v>
      </c>
      <c r="AV71" s="359"/>
      <c r="AW71" s="359"/>
      <c r="AX71" s="359"/>
      <c r="AY71" s="359"/>
      <c r="AZ71" s="359"/>
      <c r="BA71" s="441" t="s">
        <v>618</v>
      </c>
      <c r="BB71" s="448">
        <v>74</v>
      </c>
      <c r="BC71" s="448">
        <v>5</v>
      </c>
      <c r="BD71" s="359"/>
      <c r="BE71" s="359"/>
      <c r="BF71" s="359"/>
      <c r="BG71" s="359"/>
      <c r="BM71" s="70" t="s">
        <v>777</v>
      </c>
      <c r="BN71" s="70">
        <v>30</v>
      </c>
      <c r="BO71" s="70">
        <v>18</v>
      </c>
      <c r="BP71" s="359"/>
      <c r="BQ71" s="359"/>
      <c r="BR71" s="359"/>
      <c r="BS71" s="359"/>
      <c r="BT71" s="359"/>
      <c r="CC71" s="70" t="s">
        <v>3912</v>
      </c>
      <c r="CD71" s="365" t="s">
        <v>3913</v>
      </c>
      <c r="CE71" s="70" t="s">
        <v>3914</v>
      </c>
      <c r="CG71" s="359" t="s">
        <v>1517</v>
      </c>
      <c r="CH71" s="359">
        <v>15</v>
      </c>
      <c r="CI71" s="359">
        <v>15</v>
      </c>
      <c r="CJ71" s="359"/>
      <c r="CK71" s="359"/>
      <c r="CL71" s="359"/>
      <c r="CM71" s="359"/>
    </row>
    <row r="72" spans="1:91">
      <c r="AO72" s="441" t="s">
        <v>1131</v>
      </c>
      <c r="AP72" s="443">
        <v>59</v>
      </c>
      <c r="AQ72" s="443">
        <v>70</v>
      </c>
      <c r="AS72" s="441" t="s">
        <v>1131</v>
      </c>
      <c r="AT72" s="442">
        <v>75</v>
      </c>
      <c r="AU72" s="442">
        <v>85</v>
      </c>
      <c r="AV72" s="359"/>
      <c r="AW72" s="359"/>
      <c r="AX72" s="359"/>
      <c r="AY72" s="359"/>
      <c r="AZ72" s="359"/>
      <c r="BA72" s="441" t="s">
        <v>628</v>
      </c>
      <c r="BB72" s="448">
        <v>75</v>
      </c>
      <c r="BC72" s="448">
        <v>6</v>
      </c>
      <c r="BD72" s="359"/>
      <c r="BE72" s="359"/>
      <c r="BF72" s="359"/>
      <c r="BG72" s="359"/>
      <c r="BM72" s="70" t="s">
        <v>785</v>
      </c>
      <c r="BN72" s="70">
        <v>23</v>
      </c>
      <c r="BO72" s="70">
        <v>19</v>
      </c>
      <c r="BP72" s="359"/>
      <c r="BQ72" s="359"/>
      <c r="BR72" s="359"/>
      <c r="BS72" s="359"/>
      <c r="BT72" s="359"/>
      <c r="CC72" s="70" t="s">
        <v>3915</v>
      </c>
      <c r="CD72" s="365">
        <v>450</v>
      </c>
      <c r="CE72" s="70" t="s">
        <v>3916</v>
      </c>
      <c r="CG72" s="359" t="s">
        <v>711</v>
      </c>
      <c r="CH72" s="359">
        <v>16</v>
      </c>
      <c r="CI72" s="359">
        <v>16</v>
      </c>
      <c r="CJ72" s="359"/>
      <c r="CK72" s="359"/>
      <c r="CL72" s="359"/>
      <c r="CM72" s="359"/>
    </row>
    <row r="73" spans="1:91">
      <c r="AO73" s="359"/>
      <c r="AP73" s="371"/>
      <c r="AQ73" s="371"/>
      <c r="AS73" s="359"/>
      <c r="AT73" s="364"/>
      <c r="AU73" s="364"/>
      <c r="AV73" s="359"/>
      <c r="AW73" s="359"/>
      <c r="AX73" s="359"/>
      <c r="AY73" s="359"/>
      <c r="AZ73" s="359"/>
      <c r="BA73" s="359"/>
      <c r="BB73" s="363"/>
      <c r="BC73" s="363"/>
      <c r="BD73" s="359"/>
      <c r="BE73" s="359"/>
      <c r="BF73" s="359"/>
      <c r="BG73" s="359"/>
      <c r="BM73" s="70" t="s">
        <v>3828</v>
      </c>
      <c r="BN73" s="70">
        <v>25</v>
      </c>
      <c r="BO73" s="70">
        <v>20</v>
      </c>
      <c r="BP73" s="359"/>
      <c r="BQ73" s="359"/>
      <c r="BR73" s="359"/>
      <c r="BS73" s="359"/>
      <c r="BT73" s="359"/>
      <c r="CC73" s="70" t="s">
        <v>3917</v>
      </c>
      <c r="CD73" s="365">
        <v>461</v>
      </c>
      <c r="CE73" s="70" t="s">
        <v>3918</v>
      </c>
      <c r="CG73" s="359" t="s">
        <v>723</v>
      </c>
      <c r="CH73" s="359">
        <v>17</v>
      </c>
      <c r="CI73" s="359">
        <v>17</v>
      </c>
      <c r="CJ73" s="359"/>
      <c r="CK73" s="359"/>
      <c r="CL73" s="359"/>
      <c r="CM73" s="359"/>
    </row>
    <row r="74" spans="1:91">
      <c r="AO74" s="359"/>
      <c r="AP74" s="371"/>
      <c r="AQ74" s="371"/>
      <c r="AS74" s="359"/>
      <c r="AT74" s="364"/>
      <c r="AU74" s="364"/>
      <c r="AV74" s="359"/>
      <c r="AW74" s="359"/>
      <c r="AX74" s="359"/>
      <c r="AY74" s="359"/>
      <c r="AZ74" s="359"/>
      <c r="BA74" s="359"/>
      <c r="BB74" s="363"/>
      <c r="BC74" s="363"/>
      <c r="BD74" s="359"/>
      <c r="BE74" s="359"/>
      <c r="BF74" s="359"/>
      <c r="BG74" s="359"/>
      <c r="BM74" s="70" t="s">
        <v>3919</v>
      </c>
      <c r="BN74" s="70">
        <v>26</v>
      </c>
      <c r="BO74" s="70">
        <v>21</v>
      </c>
      <c r="BP74" s="359"/>
      <c r="BQ74" s="359"/>
      <c r="BR74" s="359"/>
      <c r="BS74" s="359"/>
      <c r="BT74" s="359"/>
      <c r="CC74" s="70" t="s">
        <v>3920</v>
      </c>
      <c r="CD74" s="365">
        <v>414</v>
      </c>
      <c r="CE74" s="70" t="s">
        <v>3921</v>
      </c>
      <c r="CG74" s="359" t="s">
        <v>738</v>
      </c>
      <c r="CH74" s="359">
        <v>18</v>
      </c>
      <c r="CI74" s="359">
        <v>18</v>
      </c>
      <c r="CJ74" s="359"/>
      <c r="CK74" s="359"/>
      <c r="CL74" s="359"/>
      <c r="CM74" s="359"/>
    </row>
    <row r="75" spans="1:91">
      <c r="AV75" s="359"/>
      <c r="AW75" s="359"/>
      <c r="AX75" s="359"/>
      <c r="AY75" s="359"/>
      <c r="AZ75" s="359"/>
      <c r="BA75" s="359"/>
      <c r="BB75" s="363"/>
      <c r="BC75" s="363"/>
      <c r="BD75" s="359"/>
      <c r="BE75" s="359"/>
      <c r="BF75" s="359"/>
      <c r="BG75" s="359"/>
      <c r="BM75" s="70" t="s">
        <v>797</v>
      </c>
      <c r="BN75" s="70">
        <v>36</v>
      </c>
      <c r="BO75" s="70">
        <v>23</v>
      </c>
      <c r="BP75" s="359"/>
      <c r="BQ75" s="359"/>
      <c r="BR75" s="359"/>
      <c r="BS75" s="359"/>
      <c r="BT75" s="359"/>
      <c r="CC75" s="70" t="s">
        <v>3922</v>
      </c>
      <c r="CD75" s="365">
        <v>814</v>
      </c>
      <c r="CE75" s="70" t="s">
        <v>3923</v>
      </c>
      <c r="CG75" s="359" t="s">
        <v>753</v>
      </c>
      <c r="CH75" s="359">
        <v>19</v>
      </c>
      <c r="CI75" s="359">
        <v>19</v>
      </c>
      <c r="CJ75" s="359"/>
      <c r="CK75" s="359"/>
      <c r="CL75" s="359"/>
      <c r="CM75" s="359"/>
    </row>
    <row r="76" spans="1:91">
      <c r="AV76" s="359"/>
      <c r="AW76" s="359"/>
      <c r="AX76" s="359"/>
      <c r="AY76" s="359"/>
      <c r="AZ76" s="359"/>
      <c r="BA76" s="359"/>
      <c r="BB76" s="363"/>
      <c r="BC76" s="363"/>
      <c r="BD76" s="359"/>
      <c r="BE76" s="359"/>
      <c r="BF76" s="359"/>
      <c r="BG76" s="359"/>
      <c r="BM76" s="70" t="s">
        <v>807</v>
      </c>
      <c r="BN76" s="70">
        <v>37</v>
      </c>
      <c r="BO76" s="70">
        <v>24</v>
      </c>
      <c r="BP76" s="359"/>
      <c r="BQ76" s="359"/>
      <c r="BR76" s="359"/>
      <c r="BS76" s="359"/>
      <c r="BT76" s="359"/>
      <c r="CC76" s="70" t="s">
        <v>3924</v>
      </c>
      <c r="CD76" s="365">
        <v>448</v>
      </c>
      <c r="CE76" s="70" t="s">
        <v>3925</v>
      </c>
      <c r="CG76" s="359" t="s">
        <v>761</v>
      </c>
      <c r="CH76" s="359">
        <v>20</v>
      </c>
      <c r="CI76" s="359">
        <v>20</v>
      </c>
      <c r="CJ76" s="359"/>
      <c r="CK76" s="359"/>
      <c r="CL76" s="359"/>
      <c r="CM76" s="359"/>
    </row>
    <row r="77" spans="1:91">
      <c r="AO77" s="359"/>
      <c r="AP77" s="359"/>
      <c r="AQ77" s="359"/>
      <c r="AS77" s="359"/>
      <c r="AT77" s="359"/>
      <c r="AV77" s="359"/>
      <c r="AZ77" s="359"/>
      <c r="BA77" s="359"/>
      <c r="BB77" s="363"/>
      <c r="BC77" s="363"/>
      <c r="BD77" s="359"/>
      <c r="BE77" s="359"/>
      <c r="BF77" s="359"/>
      <c r="BG77" s="359"/>
      <c r="BM77" s="70" t="s">
        <v>815</v>
      </c>
      <c r="BN77" s="70">
        <v>15</v>
      </c>
      <c r="BO77" s="70">
        <v>25</v>
      </c>
      <c r="BP77" s="359"/>
      <c r="BQ77" s="359"/>
      <c r="BR77" s="359"/>
      <c r="BS77" s="359"/>
      <c r="BT77" s="359"/>
      <c r="CC77" s="70" t="s">
        <v>3926</v>
      </c>
      <c r="CD77" s="365">
        <v>472</v>
      </c>
      <c r="CE77" s="70" t="s">
        <v>3927</v>
      </c>
      <c r="CG77" s="359" t="s">
        <v>769</v>
      </c>
      <c r="CH77" s="359">
        <v>21</v>
      </c>
      <c r="CI77" s="359">
        <v>21</v>
      </c>
      <c r="CJ77" s="359"/>
      <c r="CK77" s="359"/>
      <c r="CL77" s="359"/>
      <c r="CM77" s="359"/>
    </row>
    <row r="78" spans="1:91">
      <c r="AO78" s="359"/>
      <c r="AP78" s="359"/>
      <c r="AQ78" s="359"/>
      <c r="AS78" s="359"/>
      <c r="AT78" s="359"/>
      <c r="AV78" s="359"/>
      <c r="AZ78" s="359"/>
      <c r="BA78" s="359"/>
      <c r="BB78" s="363"/>
      <c r="BC78" s="363"/>
      <c r="BD78" s="359"/>
      <c r="BE78" s="359"/>
      <c r="BF78" s="359"/>
      <c r="BG78" s="359"/>
      <c r="BM78" s="70" t="s">
        <v>829</v>
      </c>
      <c r="BN78" s="70">
        <v>16</v>
      </c>
      <c r="BO78" s="70">
        <v>26</v>
      </c>
      <c r="BP78" s="359"/>
      <c r="BQ78" s="359"/>
      <c r="BR78" s="359"/>
      <c r="BS78" s="359"/>
      <c r="BT78" s="359"/>
      <c r="CC78" s="70" t="s">
        <v>3928</v>
      </c>
      <c r="CD78" s="365">
        <v>463</v>
      </c>
      <c r="CE78" s="70" t="s">
        <v>3929</v>
      </c>
      <c r="CG78" s="359" t="s">
        <v>777</v>
      </c>
      <c r="CH78" s="359">
        <v>22</v>
      </c>
      <c r="CI78" s="359">
        <v>22</v>
      </c>
      <c r="CJ78" s="359"/>
    </row>
    <row r="79" spans="1:91">
      <c r="AO79" s="359"/>
      <c r="AP79" s="359"/>
      <c r="AQ79" s="359"/>
      <c r="AS79" s="359"/>
      <c r="AT79" s="359"/>
      <c r="AV79" s="359"/>
      <c r="AZ79" s="359"/>
      <c r="BA79" s="359"/>
      <c r="BB79" s="363"/>
      <c r="BC79" s="363"/>
      <c r="BD79" s="359"/>
      <c r="BE79" s="359"/>
      <c r="BF79" s="359"/>
      <c r="BG79" s="359"/>
      <c r="BM79" s="70" t="s">
        <v>841</v>
      </c>
      <c r="BN79" s="70">
        <v>27</v>
      </c>
      <c r="BO79" s="70">
        <v>27</v>
      </c>
      <c r="BP79" s="359"/>
      <c r="BQ79" s="359"/>
      <c r="BR79" s="359"/>
      <c r="BS79" s="359"/>
      <c r="BT79" s="359"/>
      <c r="CC79" s="70" t="s">
        <v>3930</v>
      </c>
      <c r="CD79" s="365">
        <v>429</v>
      </c>
      <c r="CE79" s="70" t="s">
        <v>3931</v>
      </c>
      <c r="CG79" s="359" t="s">
        <v>797</v>
      </c>
      <c r="CH79" s="359">
        <v>23</v>
      </c>
      <c r="CI79" s="359">
        <v>23</v>
      </c>
      <c r="CJ79" s="359"/>
    </row>
    <row r="80" spans="1:91">
      <c r="AO80" s="359"/>
      <c r="AP80" s="359"/>
      <c r="AQ80" s="359"/>
      <c r="AS80" s="359"/>
      <c r="AT80" s="359"/>
      <c r="BM80" s="70" t="s">
        <v>849</v>
      </c>
      <c r="BN80" s="70">
        <v>28</v>
      </c>
      <c r="BO80" s="70">
        <v>28</v>
      </c>
      <c r="BP80" s="359"/>
      <c r="BQ80" s="359"/>
      <c r="BR80" s="359"/>
      <c r="BS80" s="359"/>
      <c r="CC80" s="70" t="s">
        <v>3932</v>
      </c>
      <c r="CD80" s="365">
        <v>415</v>
      </c>
      <c r="CE80" s="70" t="s">
        <v>3933</v>
      </c>
      <c r="CG80" s="359" t="s">
        <v>807</v>
      </c>
      <c r="CH80" s="359">
        <v>24</v>
      </c>
      <c r="CI80" s="359">
        <v>24</v>
      </c>
    </row>
    <row r="81" spans="41:87">
      <c r="AO81" s="359"/>
      <c r="AP81" s="359"/>
      <c r="AQ81" s="359"/>
      <c r="AS81" s="359"/>
      <c r="AT81" s="359"/>
      <c r="BM81" s="70" t="s">
        <v>858</v>
      </c>
      <c r="BN81" s="70">
        <v>11</v>
      </c>
      <c r="BO81" s="70">
        <v>29</v>
      </c>
      <c r="BP81" s="359"/>
      <c r="BQ81" s="359"/>
      <c r="BR81" s="359"/>
      <c r="BS81" s="359"/>
      <c r="CC81" s="70" t="s">
        <v>3934</v>
      </c>
      <c r="CD81" s="365">
        <v>416</v>
      </c>
      <c r="CE81" s="70" t="s">
        <v>3935</v>
      </c>
      <c r="CG81" s="359" t="s">
        <v>815</v>
      </c>
      <c r="CH81" s="359">
        <v>25</v>
      </c>
      <c r="CI81" s="359">
        <v>25</v>
      </c>
    </row>
    <row r="82" spans="41:87" ht="32.25" customHeight="1">
      <c r="AO82" s="359"/>
      <c r="AP82" s="359"/>
      <c r="AQ82" s="359"/>
      <c r="AS82" s="359"/>
      <c r="AT82" s="359"/>
      <c r="AW82" s="359"/>
      <c r="BA82" s="358" t="s">
        <v>69</v>
      </c>
      <c r="BB82" s="102" t="s">
        <v>559</v>
      </c>
      <c r="BC82" s="102" t="s">
        <v>115</v>
      </c>
      <c r="BE82" s="368" t="s">
        <v>69</v>
      </c>
      <c r="BF82" s="106" t="s">
        <v>559</v>
      </c>
      <c r="BG82" s="107" t="s">
        <v>115</v>
      </c>
      <c r="BM82" s="70" t="s">
        <v>871</v>
      </c>
      <c r="BN82" s="70">
        <v>20</v>
      </c>
      <c r="BO82" s="70">
        <v>30</v>
      </c>
      <c r="BP82" s="359"/>
      <c r="BQ82" s="359"/>
      <c r="BR82" s="359"/>
      <c r="BS82" s="359"/>
      <c r="CC82" s="70" t="s">
        <v>3936</v>
      </c>
      <c r="CD82" s="365">
        <v>816</v>
      </c>
      <c r="CE82" s="70" t="s">
        <v>3937</v>
      </c>
    </row>
    <row r="83" spans="41:87">
      <c r="AO83" s="359"/>
      <c r="AP83" s="359"/>
      <c r="AQ83" s="359"/>
      <c r="AS83" s="359"/>
      <c r="AT83" s="359"/>
      <c r="AW83" s="359"/>
      <c r="BA83" s="356" t="s">
        <v>576</v>
      </c>
      <c r="BB83" s="369">
        <v>1</v>
      </c>
      <c r="BC83" s="369">
        <v>1</v>
      </c>
      <c r="BE83" s="356" t="s">
        <v>630</v>
      </c>
      <c r="BF83" s="370">
        <v>20</v>
      </c>
      <c r="BG83" s="370">
        <v>13</v>
      </c>
      <c r="BM83" s="70" t="s">
        <v>881</v>
      </c>
      <c r="BN83" s="70">
        <v>8</v>
      </c>
      <c r="BO83" s="70">
        <v>35</v>
      </c>
      <c r="BP83" s="359"/>
      <c r="BQ83" s="359"/>
      <c r="BR83" s="359"/>
      <c r="BS83" s="359"/>
      <c r="CC83" s="70" t="s">
        <v>3938</v>
      </c>
      <c r="CD83" s="365">
        <v>446</v>
      </c>
      <c r="CE83" s="70" t="s">
        <v>3939</v>
      </c>
    </row>
    <row r="84" spans="41:87">
      <c r="AO84" s="359"/>
      <c r="AP84" s="359"/>
      <c r="AQ84" s="359"/>
      <c r="AS84" s="359"/>
      <c r="AT84" s="359"/>
      <c r="AW84" s="359"/>
      <c r="BA84" s="356" t="s">
        <v>589</v>
      </c>
      <c r="BB84" s="369">
        <v>2</v>
      </c>
      <c r="BC84" s="369">
        <v>2</v>
      </c>
      <c r="BE84" s="356" t="s">
        <v>669</v>
      </c>
      <c r="BF84" s="370">
        <v>33</v>
      </c>
      <c r="BG84" s="370">
        <v>19</v>
      </c>
      <c r="BM84" s="70" t="s">
        <v>893</v>
      </c>
      <c r="BN84" s="70">
        <v>9</v>
      </c>
      <c r="BO84" s="70">
        <v>36</v>
      </c>
      <c r="BP84" s="359"/>
      <c r="BQ84" s="359"/>
      <c r="BR84" s="359"/>
      <c r="BS84" s="359"/>
      <c r="CC84" s="70" t="s">
        <v>3940</v>
      </c>
      <c r="CD84" s="365">
        <v>418</v>
      </c>
      <c r="CE84" s="70" t="s">
        <v>3941</v>
      </c>
    </row>
    <row r="85" spans="41:87">
      <c r="AO85" s="359"/>
      <c r="AP85" s="359"/>
      <c r="AQ85" s="359"/>
      <c r="AS85" s="359"/>
      <c r="AT85" s="359"/>
      <c r="AV85" s="359"/>
      <c r="AW85" s="359"/>
      <c r="AZ85" s="359"/>
      <c r="BA85" s="356" t="s">
        <v>598</v>
      </c>
      <c r="BB85" s="369">
        <v>3</v>
      </c>
      <c r="BC85" s="369">
        <v>3</v>
      </c>
      <c r="BD85" s="359"/>
      <c r="BE85" s="356" t="s">
        <v>1444</v>
      </c>
      <c r="BF85" s="370">
        <v>36</v>
      </c>
      <c r="BG85" s="370">
        <v>51</v>
      </c>
      <c r="BM85" s="70" t="s">
        <v>906</v>
      </c>
      <c r="BN85" s="70">
        <v>40</v>
      </c>
      <c r="BO85" s="70">
        <v>37</v>
      </c>
      <c r="BP85" s="359"/>
      <c r="BQ85" s="359"/>
      <c r="BR85" s="359"/>
      <c r="BS85" s="359"/>
      <c r="CC85" s="70" t="s">
        <v>3942</v>
      </c>
      <c r="CD85" s="365">
        <v>419</v>
      </c>
      <c r="CE85" s="70" t="s">
        <v>3943</v>
      </c>
    </row>
    <row r="86" spans="41:87">
      <c r="AO86" s="359"/>
      <c r="AP86" s="359"/>
      <c r="AQ86" s="359"/>
      <c r="AS86" s="359"/>
      <c r="AT86" s="359"/>
      <c r="AV86" s="359"/>
      <c r="AW86" s="359"/>
      <c r="AZ86" s="359"/>
      <c r="BA86" s="356" t="s">
        <v>607</v>
      </c>
      <c r="BB86" s="369">
        <v>74</v>
      </c>
      <c r="BC86" s="369">
        <v>4</v>
      </c>
      <c r="BD86" s="359"/>
      <c r="BE86" s="356" t="s">
        <v>1454</v>
      </c>
      <c r="BF86" s="370">
        <v>39</v>
      </c>
      <c r="BG86" s="370">
        <v>52</v>
      </c>
      <c r="BM86" s="70" t="s">
        <v>914</v>
      </c>
      <c r="BN86" s="70">
        <v>41</v>
      </c>
      <c r="BO86" s="70">
        <v>38</v>
      </c>
      <c r="BP86" s="359"/>
      <c r="BQ86" s="359"/>
      <c r="BR86" s="359"/>
      <c r="BS86" s="359"/>
      <c r="CC86" s="70" t="s">
        <v>3944</v>
      </c>
      <c r="CD86" s="365" t="s">
        <v>3945</v>
      </c>
      <c r="CE86" s="70" t="s">
        <v>3946</v>
      </c>
    </row>
    <row r="87" spans="41:87">
      <c r="AO87" s="359"/>
      <c r="AP87" s="359"/>
      <c r="AQ87" s="359"/>
      <c r="AS87" s="359"/>
      <c r="AT87" s="359"/>
      <c r="AV87" s="359"/>
      <c r="AW87" s="359"/>
      <c r="AZ87" s="359"/>
      <c r="BA87" s="356" t="s">
        <v>618</v>
      </c>
      <c r="BB87" s="369">
        <v>75</v>
      </c>
      <c r="BC87" s="369">
        <v>5</v>
      </c>
      <c r="BD87" s="359"/>
      <c r="BE87" s="356" t="s">
        <v>1191</v>
      </c>
      <c r="BF87" s="370">
        <v>46</v>
      </c>
      <c r="BG87" s="370">
        <v>74</v>
      </c>
      <c r="BM87" s="70" t="s">
        <v>918</v>
      </c>
      <c r="BN87" s="70">
        <v>42</v>
      </c>
      <c r="BO87" s="70">
        <v>39</v>
      </c>
      <c r="BP87" s="359"/>
      <c r="BQ87" s="359"/>
      <c r="BR87" s="359"/>
      <c r="BS87" s="359"/>
      <c r="CC87" s="70" t="s">
        <v>3947</v>
      </c>
      <c r="CD87" s="365" t="s">
        <v>3948</v>
      </c>
      <c r="CE87" s="70" t="s">
        <v>3949</v>
      </c>
    </row>
    <row r="88" spans="41:87">
      <c r="AO88" s="359"/>
      <c r="AP88" s="359"/>
      <c r="AQ88" s="359"/>
      <c r="AS88" s="359"/>
      <c r="AT88" s="359"/>
      <c r="AV88" s="359"/>
      <c r="AW88" s="359"/>
      <c r="AZ88" s="359"/>
      <c r="BA88" s="356" t="s">
        <v>638</v>
      </c>
      <c r="BB88" s="369">
        <v>4</v>
      </c>
      <c r="BC88" s="369">
        <v>6</v>
      </c>
      <c r="BD88" s="359"/>
      <c r="BE88" s="356" t="s">
        <v>1207</v>
      </c>
      <c r="BF88" s="370">
        <v>47</v>
      </c>
      <c r="BG88" s="370">
        <v>75</v>
      </c>
      <c r="BM88" s="70" t="s">
        <v>920</v>
      </c>
      <c r="BN88" s="70">
        <v>43</v>
      </c>
      <c r="BO88" s="70">
        <v>40</v>
      </c>
      <c r="BP88" s="359"/>
      <c r="BQ88" s="359"/>
      <c r="BR88" s="359"/>
      <c r="BS88" s="359"/>
      <c r="CC88" s="70" t="s">
        <v>3950</v>
      </c>
      <c r="CD88" s="365" t="s">
        <v>3951</v>
      </c>
      <c r="CE88" s="70" t="s">
        <v>3952</v>
      </c>
    </row>
    <row r="89" spans="41:87">
      <c r="AO89" s="359"/>
      <c r="AP89" s="359"/>
      <c r="AQ89" s="359"/>
      <c r="AS89" s="359"/>
      <c r="AT89" s="359"/>
      <c r="AV89" s="359"/>
      <c r="AW89" s="359"/>
      <c r="AZ89" s="359"/>
      <c r="BA89" s="356" t="s">
        <v>652</v>
      </c>
      <c r="BB89" s="369">
        <v>5</v>
      </c>
      <c r="BC89" s="369">
        <v>7</v>
      </c>
      <c r="BD89" s="359"/>
      <c r="BE89" s="356"/>
      <c r="BF89" s="370"/>
      <c r="BG89" s="370"/>
      <c r="BM89" s="70" t="s">
        <v>924</v>
      </c>
      <c r="BN89" s="70">
        <v>44</v>
      </c>
      <c r="BO89" s="70">
        <v>41</v>
      </c>
      <c r="BP89" s="359"/>
      <c r="BQ89" s="359"/>
      <c r="BR89" s="359"/>
      <c r="BS89" s="359"/>
      <c r="CC89" s="70" t="s">
        <v>3953</v>
      </c>
      <c r="CD89" s="365">
        <v>459</v>
      </c>
      <c r="CE89" s="70" t="s">
        <v>3954</v>
      </c>
    </row>
    <row r="90" spans="41:87">
      <c r="AO90" s="359"/>
      <c r="AP90" s="359"/>
      <c r="AQ90" s="359"/>
      <c r="AS90" s="359"/>
      <c r="AT90" s="359"/>
      <c r="AV90" s="359"/>
      <c r="AW90" s="359"/>
      <c r="AZ90" s="359"/>
      <c r="BA90" s="356" t="s">
        <v>661</v>
      </c>
      <c r="BB90" s="369">
        <v>6</v>
      </c>
      <c r="BC90" s="369">
        <v>8</v>
      </c>
      <c r="BD90" s="359"/>
      <c r="BE90" s="359"/>
      <c r="BF90" s="359"/>
      <c r="BG90" s="359"/>
      <c r="BM90" s="70" t="s">
        <v>926</v>
      </c>
      <c r="BN90" s="70">
        <v>45</v>
      </c>
      <c r="BO90" s="70">
        <v>42</v>
      </c>
      <c r="BP90" s="359"/>
      <c r="BQ90" s="359"/>
      <c r="BR90" s="359"/>
      <c r="BS90" s="359"/>
      <c r="CC90" s="70" t="s">
        <v>3955</v>
      </c>
      <c r="CD90" s="365" t="s">
        <v>3956</v>
      </c>
      <c r="CE90" s="70" t="s">
        <v>3957</v>
      </c>
    </row>
    <row r="91" spans="41:87">
      <c r="AO91" s="359"/>
      <c r="AP91" s="359"/>
      <c r="AQ91" s="359"/>
      <c r="AS91" s="359"/>
      <c r="AT91" s="359"/>
      <c r="AV91" s="359"/>
      <c r="AW91" s="359"/>
      <c r="AZ91" s="359"/>
      <c r="BA91" s="356" t="s">
        <v>677</v>
      </c>
      <c r="BB91" s="369">
        <v>7</v>
      </c>
      <c r="BC91" s="369">
        <v>9</v>
      </c>
      <c r="BD91" s="359"/>
      <c r="BE91" s="359"/>
      <c r="BF91" s="359"/>
      <c r="BG91" s="359"/>
      <c r="BM91" s="70" t="s">
        <v>930</v>
      </c>
      <c r="BN91" s="70">
        <v>46</v>
      </c>
      <c r="BO91" s="70">
        <v>43</v>
      </c>
      <c r="BP91" s="359"/>
      <c r="BQ91" s="359"/>
      <c r="BR91" s="359"/>
      <c r="BS91" s="359"/>
      <c r="CC91" s="70" t="s">
        <v>3958</v>
      </c>
      <c r="CD91" s="365" t="s">
        <v>3959</v>
      </c>
      <c r="CE91" s="70" t="s">
        <v>3960</v>
      </c>
    </row>
    <row r="92" spans="41:87">
      <c r="AO92" s="359"/>
      <c r="AP92" s="359"/>
      <c r="AQ92" s="359"/>
      <c r="AS92" s="359"/>
      <c r="AT92" s="359"/>
      <c r="AV92" s="359"/>
      <c r="AW92" s="359"/>
      <c r="AZ92" s="359"/>
      <c r="BA92" s="356" t="s">
        <v>693</v>
      </c>
      <c r="BB92" s="369">
        <v>8</v>
      </c>
      <c r="BC92" s="369">
        <v>10</v>
      </c>
      <c r="BD92" s="359"/>
      <c r="BE92" s="359"/>
      <c r="BF92" s="359"/>
      <c r="BG92" s="359"/>
      <c r="BM92" s="70" t="s">
        <v>932</v>
      </c>
      <c r="BN92" s="70">
        <v>13</v>
      </c>
      <c r="BO92" s="70">
        <v>44</v>
      </c>
      <c r="BP92" s="359"/>
      <c r="BQ92" s="359"/>
      <c r="BR92" s="359"/>
      <c r="BS92" s="359"/>
      <c r="CC92" s="70" t="s">
        <v>3961</v>
      </c>
      <c r="CD92" s="365">
        <v>424</v>
      </c>
      <c r="CE92" s="70" t="s">
        <v>3962</v>
      </c>
    </row>
    <row r="93" spans="41:87">
      <c r="AO93" s="359"/>
      <c r="AP93" s="359"/>
      <c r="AQ93" s="359"/>
      <c r="AS93" s="359"/>
      <c r="AT93" s="359"/>
      <c r="AV93" s="359"/>
      <c r="AW93" s="359"/>
      <c r="AZ93" s="359"/>
      <c r="BA93" s="356" t="s">
        <v>1517</v>
      </c>
      <c r="BB93" s="369">
        <v>9</v>
      </c>
      <c r="BC93" s="369">
        <v>11</v>
      </c>
      <c r="BD93" s="359"/>
      <c r="BE93" s="359"/>
      <c r="BF93" s="359"/>
      <c r="BG93" s="359"/>
      <c r="BM93" s="70" t="s">
        <v>941</v>
      </c>
      <c r="BN93" s="70">
        <v>14</v>
      </c>
      <c r="BO93" s="70">
        <v>45</v>
      </c>
      <c r="BP93" s="359"/>
      <c r="BQ93" s="359"/>
      <c r="BR93" s="359"/>
      <c r="BS93" s="359"/>
      <c r="CC93" s="70" t="s">
        <v>3963</v>
      </c>
      <c r="CD93" s="365">
        <v>477</v>
      </c>
      <c r="CE93" s="70" t="s">
        <v>3964</v>
      </c>
    </row>
    <row r="94" spans="41:87">
      <c r="AO94" s="359"/>
      <c r="AP94" s="359"/>
      <c r="AQ94" s="359"/>
      <c r="AS94" s="359"/>
      <c r="AT94" s="359"/>
      <c r="AV94" s="359"/>
      <c r="AW94" s="359"/>
      <c r="AZ94" s="359"/>
      <c r="BA94" s="356" t="s">
        <v>1637</v>
      </c>
      <c r="BB94" s="369">
        <v>10</v>
      </c>
      <c r="BC94" s="369">
        <v>12</v>
      </c>
      <c r="BD94" s="359"/>
      <c r="BE94" s="359"/>
      <c r="BF94" s="359"/>
      <c r="BG94" s="359"/>
      <c r="BM94" s="70" t="s">
        <v>950</v>
      </c>
      <c r="BN94" s="70">
        <v>12</v>
      </c>
      <c r="BO94" s="70">
        <v>46</v>
      </c>
      <c r="BP94" s="359"/>
      <c r="BQ94" s="359"/>
      <c r="BR94" s="359"/>
      <c r="BS94" s="359"/>
      <c r="CC94" s="70" t="s">
        <v>137</v>
      </c>
      <c r="CD94" s="365" t="s">
        <v>3965</v>
      </c>
      <c r="CE94" s="70" t="s">
        <v>3966</v>
      </c>
    </row>
    <row r="95" spans="41:87">
      <c r="AO95" s="359"/>
      <c r="AP95" s="359"/>
      <c r="AQ95" s="359"/>
      <c r="AS95" s="359"/>
      <c r="AT95" s="359"/>
      <c r="AV95" s="359"/>
      <c r="AW95" s="359"/>
      <c r="AZ95" s="359"/>
      <c r="BA95" s="356" t="s">
        <v>711</v>
      </c>
      <c r="BB95" s="369">
        <v>11</v>
      </c>
      <c r="BC95" s="369">
        <v>14</v>
      </c>
      <c r="BD95" s="359"/>
      <c r="BE95" s="359"/>
      <c r="BF95" s="359"/>
      <c r="BG95" s="359"/>
      <c r="BP95" s="359"/>
      <c r="BQ95" s="359"/>
      <c r="BR95" s="359"/>
      <c r="BS95" s="359"/>
      <c r="CC95" s="70" t="s">
        <v>3967</v>
      </c>
      <c r="CD95" s="365">
        <v>441</v>
      </c>
      <c r="CE95" s="70" t="s">
        <v>3968</v>
      </c>
    </row>
    <row r="96" spans="41:87">
      <c r="AO96" s="359"/>
      <c r="AP96" s="359"/>
      <c r="AQ96" s="359"/>
      <c r="AS96" s="359"/>
      <c r="AT96" s="359"/>
      <c r="AV96" s="359"/>
      <c r="AW96" s="359"/>
      <c r="AZ96" s="359"/>
      <c r="BA96" s="356" t="s">
        <v>723</v>
      </c>
      <c r="BB96" s="369">
        <v>12</v>
      </c>
      <c r="BC96" s="369">
        <v>15</v>
      </c>
      <c r="BD96" s="359"/>
      <c r="BE96" s="359"/>
      <c r="BF96" s="359"/>
      <c r="BG96" s="359"/>
      <c r="BP96" s="359"/>
      <c r="BQ96" s="359"/>
      <c r="BR96" s="359"/>
      <c r="BS96" s="359"/>
      <c r="CC96" s="70" t="s">
        <v>3969</v>
      </c>
      <c r="CD96" s="365" t="s">
        <v>3970</v>
      </c>
      <c r="CE96" s="70" t="s">
        <v>3971</v>
      </c>
    </row>
    <row r="97" spans="41:83">
      <c r="AO97" s="359"/>
      <c r="AP97" s="359"/>
      <c r="AQ97" s="359"/>
      <c r="AS97" s="359"/>
      <c r="AT97" s="359"/>
      <c r="AV97" s="359"/>
      <c r="AW97" s="359"/>
      <c r="AZ97" s="359"/>
      <c r="BA97" s="356" t="s">
        <v>738</v>
      </c>
      <c r="BB97" s="369">
        <v>13</v>
      </c>
      <c r="BC97" s="369">
        <v>16</v>
      </c>
      <c r="BD97" s="359"/>
      <c r="BE97" s="359"/>
      <c r="BF97" s="359"/>
      <c r="BG97" s="359"/>
      <c r="BP97" s="359"/>
      <c r="BQ97" s="359"/>
      <c r="BR97" s="359"/>
      <c r="BS97" s="359"/>
      <c r="BX97" s="359"/>
      <c r="BY97" s="359"/>
      <c r="BZ97" s="359"/>
      <c r="CA97" s="359"/>
      <c r="CC97" s="70" t="s">
        <v>3972</v>
      </c>
      <c r="CD97" s="365" t="s">
        <v>3973</v>
      </c>
      <c r="CE97" s="70" t="s">
        <v>3974</v>
      </c>
    </row>
    <row r="98" spans="41:83">
      <c r="AO98" s="359"/>
      <c r="AP98" s="359"/>
      <c r="AQ98" s="359"/>
      <c r="AS98" s="359"/>
      <c r="AT98" s="359"/>
      <c r="AV98" s="359"/>
      <c r="AW98" s="359"/>
      <c r="AZ98" s="359"/>
      <c r="BA98" s="356" t="s">
        <v>753</v>
      </c>
      <c r="BB98" s="369">
        <v>73</v>
      </c>
      <c r="BC98" s="369">
        <v>17</v>
      </c>
      <c r="BD98" s="359"/>
      <c r="BE98" s="359"/>
      <c r="BF98" s="359"/>
      <c r="BG98" s="359"/>
      <c r="BP98" s="359"/>
      <c r="BQ98" s="359"/>
      <c r="BR98" s="359"/>
      <c r="BS98" s="359"/>
      <c r="BX98" s="359"/>
      <c r="BY98" s="359"/>
      <c r="BZ98" s="359"/>
      <c r="CA98" s="359"/>
      <c r="CC98" s="70" t="s">
        <v>3975</v>
      </c>
      <c r="CD98" s="365">
        <v>428</v>
      </c>
      <c r="CE98" s="70" t="s">
        <v>3976</v>
      </c>
    </row>
    <row r="99" spans="41:83">
      <c r="AO99" s="359"/>
      <c r="AP99" s="359"/>
      <c r="AQ99" s="359"/>
      <c r="AS99" s="359"/>
      <c r="AT99" s="359"/>
      <c r="AV99" s="359"/>
      <c r="AW99" s="359"/>
      <c r="AZ99" s="359"/>
      <c r="BA99" s="356" t="s">
        <v>761</v>
      </c>
      <c r="BB99" s="369">
        <v>14</v>
      </c>
      <c r="BC99" s="369">
        <v>18</v>
      </c>
      <c r="BD99" s="359"/>
      <c r="BE99" s="359"/>
      <c r="BF99" s="359"/>
      <c r="BG99" s="359"/>
      <c r="BP99" s="359"/>
      <c r="BX99" s="359"/>
      <c r="CC99" s="70" t="s">
        <v>3977</v>
      </c>
      <c r="CD99" s="365" t="s">
        <v>3978</v>
      </c>
      <c r="CE99" s="70" t="s">
        <v>3979</v>
      </c>
    </row>
    <row r="100" spans="41:83">
      <c r="AO100" s="359"/>
      <c r="AP100" s="359"/>
      <c r="AQ100" s="359"/>
      <c r="AS100" s="359"/>
      <c r="AT100" s="359"/>
      <c r="AV100" s="359"/>
      <c r="AW100" s="359"/>
      <c r="AZ100" s="359"/>
      <c r="BA100" s="356" t="s">
        <v>797</v>
      </c>
      <c r="BB100" s="369">
        <v>15</v>
      </c>
      <c r="BC100" s="369">
        <v>20</v>
      </c>
      <c r="BD100" s="359"/>
      <c r="BE100" s="359"/>
      <c r="BF100" s="359"/>
      <c r="BG100" s="359"/>
      <c r="BP100" s="359"/>
      <c r="BX100" s="359"/>
      <c r="CC100" s="70" t="s">
        <v>3980</v>
      </c>
      <c r="CD100" s="365" t="s">
        <v>3981</v>
      </c>
      <c r="CE100" s="70" t="s">
        <v>3982</v>
      </c>
    </row>
    <row r="101" spans="41:83">
      <c r="AO101" s="359"/>
      <c r="AP101" s="359"/>
      <c r="AQ101" s="359"/>
      <c r="AS101" s="359"/>
      <c r="AT101" s="359"/>
      <c r="AV101" s="359"/>
      <c r="AW101" s="359"/>
      <c r="AZ101" s="359"/>
      <c r="BA101" s="356" t="s">
        <v>807</v>
      </c>
      <c r="BB101" s="369">
        <v>16</v>
      </c>
      <c r="BC101" s="369">
        <v>21</v>
      </c>
      <c r="BD101" s="359"/>
      <c r="BE101" s="359"/>
      <c r="BF101" s="359"/>
      <c r="BG101" s="359"/>
      <c r="BX101" s="359"/>
      <c r="CC101" s="70" t="s">
        <v>3983</v>
      </c>
      <c r="CD101" s="365">
        <v>449</v>
      </c>
      <c r="CE101" s="70" t="s">
        <v>3984</v>
      </c>
    </row>
    <row r="102" spans="41:83">
      <c r="AO102" s="359"/>
      <c r="AP102" s="359"/>
      <c r="AQ102" s="359"/>
      <c r="AS102" s="359"/>
      <c r="AT102" s="359"/>
      <c r="AV102" s="359"/>
      <c r="AW102" s="359"/>
      <c r="AZ102" s="359"/>
      <c r="BA102" s="356" t="s">
        <v>815</v>
      </c>
      <c r="BB102" s="369">
        <v>17</v>
      </c>
      <c r="BC102" s="369">
        <v>22</v>
      </c>
      <c r="BD102" s="359"/>
      <c r="BE102" s="359"/>
      <c r="BF102" s="359"/>
      <c r="BG102" s="359"/>
      <c r="BX102" s="359"/>
      <c r="CC102" s="70" t="s">
        <v>3985</v>
      </c>
      <c r="CD102" s="365">
        <v>444</v>
      </c>
      <c r="CE102" s="70" t="s">
        <v>3986</v>
      </c>
    </row>
    <row r="103" spans="41:83">
      <c r="AO103" s="359"/>
      <c r="AP103" s="359"/>
      <c r="AQ103" s="359"/>
      <c r="AS103" s="359"/>
      <c r="AT103" s="359"/>
      <c r="AV103" s="359"/>
      <c r="AW103" s="359"/>
      <c r="AZ103" s="359"/>
      <c r="BA103" s="356" t="s">
        <v>829</v>
      </c>
      <c r="BB103" s="369">
        <v>18</v>
      </c>
      <c r="BC103" s="369">
        <v>23</v>
      </c>
      <c r="BD103" s="359"/>
      <c r="BE103" s="359"/>
      <c r="BF103" s="359"/>
      <c r="BG103" s="359"/>
      <c r="CC103" s="70" t="s">
        <v>3987</v>
      </c>
      <c r="CD103" s="365" t="s">
        <v>3988</v>
      </c>
      <c r="CE103" s="70" t="s">
        <v>3989</v>
      </c>
    </row>
    <row r="104" spans="41:83">
      <c r="AO104" s="359"/>
      <c r="AP104" s="359"/>
      <c r="AQ104" s="359"/>
      <c r="AS104" s="359"/>
      <c r="AT104" s="359"/>
      <c r="AV104" s="359"/>
      <c r="AW104" s="359"/>
      <c r="AZ104" s="359"/>
      <c r="BA104" s="356" t="s">
        <v>841</v>
      </c>
      <c r="BB104" s="369">
        <v>19</v>
      </c>
      <c r="BC104" s="369">
        <v>24</v>
      </c>
      <c r="BD104" s="359"/>
      <c r="BE104" s="359"/>
      <c r="BF104" s="359"/>
      <c r="BG104" s="359"/>
      <c r="CC104" s="70" t="s">
        <v>3990</v>
      </c>
      <c r="CD104" s="365" t="s">
        <v>3991</v>
      </c>
      <c r="CE104" s="70" t="s">
        <v>3992</v>
      </c>
    </row>
    <row r="105" spans="41:83">
      <c r="AO105" s="359"/>
      <c r="AP105" s="359"/>
      <c r="AQ105" s="359"/>
      <c r="AS105" s="359"/>
      <c r="AT105" s="359"/>
      <c r="AV105" s="359"/>
      <c r="AW105" s="359"/>
      <c r="AZ105" s="359"/>
      <c r="BA105" s="356" t="s">
        <v>849</v>
      </c>
      <c r="BB105" s="369">
        <v>44</v>
      </c>
      <c r="BC105" s="369">
        <v>25</v>
      </c>
      <c r="BD105" s="359"/>
      <c r="BE105" s="359"/>
      <c r="BF105" s="359"/>
      <c r="BG105" s="359"/>
      <c r="CC105" s="70" t="s">
        <v>3993</v>
      </c>
      <c r="CD105" s="365">
        <v>873</v>
      </c>
      <c r="CE105" s="70" t="s">
        <v>3994</v>
      </c>
    </row>
    <row r="106" spans="41:83">
      <c r="AO106" s="359"/>
      <c r="AP106" s="359"/>
      <c r="AQ106" s="359"/>
      <c r="AS106" s="359"/>
      <c r="AT106" s="359"/>
      <c r="AV106" s="359"/>
      <c r="AW106" s="359"/>
      <c r="AZ106" s="359"/>
      <c r="BA106" s="356" t="s">
        <v>881</v>
      </c>
      <c r="BB106" s="369">
        <v>31</v>
      </c>
      <c r="BC106" s="369">
        <v>26</v>
      </c>
      <c r="BD106" s="359"/>
      <c r="BE106" s="359"/>
      <c r="BF106" s="359"/>
      <c r="BG106" s="359"/>
      <c r="CC106" s="70" t="s">
        <v>3995</v>
      </c>
      <c r="CD106" s="365">
        <v>473</v>
      </c>
      <c r="CE106" s="70" t="s">
        <v>3996</v>
      </c>
    </row>
    <row r="107" spans="41:83">
      <c r="AO107" s="359"/>
      <c r="AP107" s="359"/>
      <c r="AQ107" s="359"/>
      <c r="AS107" s="359"/>
      <c r="AT107" s="359"/>
      <c r="AV107" s="359"/>
      <c r="AW107" s="359"/>
      <c r="AZ107" s="359"/>
      <c r="BA107" s="356" t="s">
        <v>893</v>
      </c>
      <c r="BB107" s="369">
        <v>32</v>
      </c>
      <c r="BC107" s="369">
        <v>27</v>
      </c>
      <c r="BD107" s="359"/>
      <c r="BE107" s="359"/>
      <c r="BF107" s="359"/>
      <c r="BG107" s="359"/>
      <c r="CC107" s="70" t="s">
        <v>3997</v>
      </c>
      <c r="CD107" s="365" t="s">
        <v>3998</v>
      </c>
      <c r="CE107" s="70" t="s">
        <v>3999</v>
      </c>
    </row>
    <row r="108" spans="41:83">
      <c r="AO108" s="359"/>
      <c r="AP108" s="359"/>
      <c r="AQ108" s="359"/>
      <c r="AS108" s="359"/>
      <c r="AT108" s="359"/>
      <c r="AV108" s="359"/>
      <c r="AW108" s="359"/>
      <c r="AZ108" s="359"/>
      <c r="BA108" s="356" t="s">
        <v>906</v>
      </c>
      <c r="BB108" s="369">
        <v>21</v>
      </c>
      <c r="BC108" s="369">
        <v>28</v>
      </c>
      <c r="BD108" s="359"/>
      <c r="BE108" s="359"/>
      <c r="BF108" s="359"/>
      <c r="BG108" s="359"/>
      <c r="CC108" s="70" t="s">
        <v>4000</v>
      </c>
      <c r="CD108" s="365">
        <v>442</v>
      </c>
      <c r="CE108" s="70" t="s">
        <v>4001</v>
      </c>
    </row>
    <row r="109" spans="41:83">
      <c r="AO109" s="359"/>
      <c r="AP109" s="359"/>
      <c r="AQ109" s="359"/>
      <c r="AS109" s="359"/>
      <c r="AT109" s="359"/>
      <c r="AV109" s="359"/>
      <c r="AW109" s="359"/>
      <c r="AZ109" s="359"/>
      <c r="BA109" s="356" t="s">
        <v>914</v>
      </c>
      <c r="BB109" s="369">
        <v>22</v>
      </c>
      <c r="BC109" s="369">
        <v>29</v>
      </c>
      <c r="BD109" s="359"/>
      <c r="BE109" s="359"/>
      <c r="BF109" s="359"/>
      <c r="BG109" s="359"/>
      <c r="CC109" s="70" t="s">
        <v>4002</v>
      </c>
      <c r="CD109" s="365">
        <v>422</v>
      </c>
      <c r="CE109" s="70" t="s">
        <v>4003</v>
      </c>
    </row>
    <row r="110" spans="41:83">
      <c r="AO110" s="359"/>
      <c r="AP110" s="359"/>
      <c r="AQ110" s="359"/>
      <c r="AS110" s="359"/>
      <c r="AT110" s="359"/>
      <c r="AV110" s="359"/>
      <c r="AW110" s="359"/>
      <c r="AZ110" s="359"/>
      <c r="BA110" s="356" t="s">
        <v>918</v>
      </c>
      <c r="BB110" s="369">
        <v>23</v>
      </c>
      <c r="BC110" s="369">
        <v>30</v>
      </c>
      <c r="BD110" s="359"/>
      <c r="BE110" s="359"/>
      <c r="BF110" s="359"/>
      <c r="BG110" s="359"/>
      <c r="CC110" s="70" t="s">
        <v>4004</v>
      </c>
      <c r="CD110" s="365">
        <v>420</v>
      </c>
      <c r="CE110" s="70" t="s">
        <v>4005</v>
      </c>
    </row>
    <row r="111" spans="41:83">
      <c r="AO111" s="359"/>
      <c r="AP111" s="359"/>
      <c r="AQ111" s="359"/>
      <c r="AS111" s="359"/>
      <c r="AT111" s="359"/>
      <c r="AV111" s="359"/>
      <c r="AW111" s="359"/>
      <c r="AZ111" s="359"/>
      <c r="BA111" s="356" t="s">
        <v>920</v>
      </c>
      <c r="BB111" s="369">
        <v>24</v>
      </c>
      <c r="BC111" s="369">
        <v>31</v>
      </c>
      <c r="BD111" s="359"/>
      <c r="BE111" s="359"/>
      <c r="BF111" s="359"/>
      <c r="BG111" s="359"/>
      <c r="CC111" s="70" t="s">
        <v>4006</v>
      </c>
      <c r="CD111" s="365">
        <v>843</v>
      </c>
      <c r="CE111" s="70" t="s">
        <v>4007</v>
      </c>
    </row>
    <row r="112" spans="41:83">
      <c r="AO112" s="359"/>
      <c r="AP112" s="359"/>
      <c r="AQ112" s="359"/>
      <c r="AS112" s="359"/>
      <c r="AT112" s="359"/>
      <c r="AV112" s="359"/>
      <c r="AW112" s="359"/>
      <c r="AZ112" s="359"/>
      <c r="BA112" s="356" t="s">
        <v>932</v>
      </c>
      <c r="BB112" s="369">
        <v>45</v>
      </c>
      <c r="BC112" s="369">
        <v>32</v>
      </c>
      <c r="BD112" s="359"/>
      <c r="BE112" s="359"/>
      <c r="BF112" s="359"/>
      <c r="BG112" s="359"/>
      <c r="CC112" s="70" t="s">
        <v>4008</v>
      </c>
      <c r="CD112" s="365">
        <v>443</v>
      </c>
      <c r="CE112" s="70" t="s">
        <v>4009</v>
      </c>
    </row>
    <row r="113" spans="41:83">
      <c r="AO113" s="359"/>
      <c r="AP113" s="359"/>
      <c r="AQ113" s="359"/>
      <c r="AS113" s="359"/>
      <c r="AT113" s="359"/>
      <c r="AV113" s="359"/>
      <c r="AW113" s="359"/>
      <c r="AZ113" s="359"/>
      <c r="BA113" s="356" t="s">
        <v>4010</v>
      </c>
      <c r="BB113" s="369">
        <v>56</v>
      </c>
      <c r="BC113" s="369">
        <v>33</v>
      </c>
      <c r="BD113" s="359"/>
      <c r="BE113" s="359"/>
      <c r="BF113" s="359"/>
      <c r="BG113" s="359"/>
      <c r="CC113" s="70" t="s">
        <v>4011</v>
      </c>
      <c r="CD113" s="365" t="s">
        <v>4012</v>
      </c>
      <c r="CE113" s="70" t="s">
        <v>4013</v>
      </c>
    </row>
    <row r="114" spans="41:83">
      <c r="AO114" s="359"/>
      <c r="AP114" s="359"/>
      <c r="AQ114" s="359"/>
      <c r="AS114" s="359"/>
      <c r="AT114" s="359"/>
      <c r="AV114" s="359"/>
      <c r="AW114" s="359"/>
      <c r="AZ114" s="359"/>
      <c r="BA114" s="356" t="s">
        <v>941</v>
      </c>
      <c r="BB114" s="369">
        <v>48</v>
      </c>
      <c r="BC114" s="369">
        <v>34</v>
      </c>
      <c r="BD114" s="359"/>
      <c r="BE114" s="359"/>
      <c r="BF114" s="359"/>
      <c r="BG114" s="359"/>
      <c r="CC114" s="70" t="s">
        <v>4014</v>
      </c>
      <c r="CD114" s="365">
        <v>478</v>
      </c>
      <c r="CE114" s="70" t="s">
        <v>4015</v>
      </c>
    </row>
    <row r="115" spans="41:83">
      <c r="AO115" s="359"/>
      <c r="AP115" s="359"/>
      <c r="AQ115" s="359"/>
      <c r="AS115" s="359"/>
      <c r="AT115" s="359"/>
      <c r="AV115" s="359"/>
      <c r="AW115" s="359"/>
      <c r="AZ115" s="359"/>
      <c r="BA115" s="356" t="s">
        <v>950</v>
      </c>
      <c r="BB115" s="369">
        <v>49</v>
      </c>
      <c r="BC115" s="369">
        <v>35</v>
      </c>
      <c r="BD115" s="359"/>
      <c r="BE115" s="359"/>
      <c r="BF115" s="359"/>
      <c r="BG115" s="359"/>
      <c r="CC115" s="70" t="s">
        <v>4016</v>
      </c>
      <c r="CD115" s="365" t="s">
        <v>4017</v>
      </c>
      <c r="CE115" s="70" t="s">
        <v>4018</v>
      </c>
    </row>
    <row r="116" spans="41:83">
      <c r="AO116" s="359"/>
      <c r="AP116" s="359"/>
      <c r="AQ116" s="359"/>
      <c r="AS116" s="359"/>
      <c r="AT116" s="359"/>
      <c r="AV116" s="359"/>
      <c r="AW116" s="359"/>
      <c r="AZ116" s="359"/>
      <c r="BA116" s="356" t="s">
        <v>958</v>
      </c>
      <c r="BB116" s="369">
        <v>50</v>
      </c>
      <c r="BC116" s="369">
        <v>36</v>
      </c>
      <c r="BD116" s="359"/>
      <c r="BE116" s="359"/>
      <c r="BF116" s="359"/>
      <c r="BG116" s="359"/>
      <c r="CC116" s="70" t="s">
        <v>4019</v>
      </c>
      <c r="CD116" s="365" t="s">
        <v>4020</v>
      </c>
      <c r="CE116" s="70" t="s">
        <v>4021</v>
      </c>
    </row>
    <row r="117" spans="41:83">
      <c r="AO117" s="359"/>
      <c r="AP117" s="359"/>
      <c r="AQ117" s="359"/>
      <c r="AS117" s="359"/>
      <c r="AT117" s="359"/>
      <c r="AV117" s="359"/>
      <c r="AW117" s="359"/>
      <c r="AZ117" s="359"/>
      <c r="BA117" s="356" t="s">
        <v>967</v>
      </c>
      <c r="BB117" s="369">
        <v>51</v>
      </c>
      <c r="BC117" s="369">
        <v>37</v>
      </c>
      <c r="BD117" s="359"/>
      <c r="BE117" s="359"/>
      <c r="BF117" s="359"/>
      <c r="BG117" s="359"/>
    </row>
    <row r="118" spans="41:83">
      <c r="AO118" s="359"/>
      <c r="AP118" s="359"/>
      <c r="AQ118" s="359"/>
      <c r="AS118" s="359"/>
      <c r="AT118" s="359"/>
      <c r="AV118" s="359"/>
      <c r="AW118" s="359"/>
      <c r="AZ118" s="359"/>
      <c r="BA118" s="356" t="s">
        <v>1394</v>
      </c>
      <c r="BB118" s="369">
        <v>52</v>
      </c>
      <c r="BC118" s="369">
        <v>38</v>
      </c>
      <c r="BD118" s="359"/>
      <c r="BE118" s="359"/>
      <c r="BF118" s="359"/>
      <c r="BG118" s="359"/>
    </row>
    <row r="119" spans="41:83">
      <c r="AO119" s="359"/>
      <c r="AP119" s="359"/>
      <c r="AQ119" s="359"/>
      <c r="AS119" s="359"/>
      <c r="AT119" s="359"/>
      <c r="AV119" s="359"/>
      <c r="AW119" s="359"/>
      <c r="AZ119" s="359"/>
      <c r="BA119" s="356" t="s">
        <v>1404</v>
      </c>
      <c r="BB119" s="369">
        <v>53</v>
      </c>
      <c r="BC119" s="369">
        <v>39</v>
      </c>
      <c r="BD119" s="359"/>
      <c r="BE119" s="359"/>
      <c r="BF119" s="359"/>
      <c r="BG119" s="359"/>
    </row>
    <row r="120" spans="41:83">
      <c r="AO120" s="359"/>
      <c r="AP120" s="359"/>
      <c r="AQ120" s="359"/>
      <c r="AS120" s="359"/>
      <c r="AT120" s="359"/>
      <c r="AV120" s="359"/>
      <c r="AW120" s="359"/>
      <c r="AZ120" s="359"/>
      <c r="BA120" s="356" t="s">
        <v>1414</v>
      </c>
      <c r="BB120" s="369">
        <v>54</v>
      </c>
      <c r="BC120" s="369">
        <v>40</v>
      </c>
      <c r="BD120" s="359"/>
      <c r="BE120" s="359"/>
      <c r="BF120" s="359"/>
      <c r="BG120" s="359"/>
    </row>
    <row r="121" spans="41:83">
      <c r="AO121" s="359"/>
      <c r="AP121" s="359"/>
      <c r="AQ121" s="359"/>
      <c r="AS121" s="359"/>
      <c r="AT121" s="359"/>
      <c r="AV121" s="359"/>
      <c r="AW121" s="359"/>
      <c r="AZ121" s="359"/>
      <c r="BA121" s="356" t="s">
        <v>4022</v>
      </c>
      <c r="BB121" s="369">
        <v>55</v>
      </c>
      <c r="BC121" s="369">
        <v>41</v>
      </c>
      <c r="BD121" s="359"/>
      <c r="BE121" s="359"/>
      <c r="BF121" s="359"/>
      <c r="BG121" s="359"/>
    </row>
    <row r="122" spans="41:83">
      <c r="AO122" s="359"/>
      <c r="AP122" s="359"/>
      <c r="AQ122" s="359"/>
      <c r="AS122" s="359"/>
      <c r="AT122" s="359"/>
      <c r="AV122" s="359"/>
      <c r="AW122" s="359"/>
      <c r="AZ122" s="359"/>
      <c r="BA122" s="356" t="s">
        <v>1568</v>
      </c>
      <c r="BB122" s="369">
        <v>28</v>
      </c>
      <c r="BC122" s="369">
        <v>42</v>
      </c>
      <c r="BD122" s="359"/>
      <c r="BE122" s="359"/>
      <c r="BF122" s="359"/>
      <c r="BG122" s="359"/>
    </row>
    <row r="123" spans="41:83">
      <c r="AO123" s="359"/>
      <c r="AP123" s="359"/>
      <c r="AQ123" s="359"/>
      <c r="AS123" s="359"/>
      <c r="AT123" s="359"/>
      <c r="AV123" s="359"/>
      <c r="AW123" s="359"/>
      <c r="AZ123" s="359"/>
      <c r="BA123" s="356" t="s">
        <v>1576</v>
      </c>
      <c r="BB123" s="369">
        <v>29</v>
      </c>
      <c r="BC123" s="369">
        <v>43</v>
      </c>
      <c r="BD123" s="359"/>
      <c r="BE123" s="359"/>
      <c r="BF123" s="359"/>
      <c r="BG123" s="359"/>
    </row>
    <row r="124" spans="41:83">
      <c r="AO124" s="359"/>
      <c r="AP124" s="359"/>
      <c r="AQ124" s="359"/>
      <c r="AS124" s="359"/>
      <c r="AT124" s="359"/>
      <c r="AV124" s="359"/>
      <c r="AW124" s="359"/>
      <c r="AZ124" s="359"/>
      <c r="BA124" s="356" t="s">
        <v>1583</v>
      </c>
      <c r="BB124" s="369">
        <v>30</v>
      </c>
      <c r="BC124" s="369">
        <v>44</v>
      </c>
      <c r="BD124" s="359"/>
      <c r="BE124" s="359"/>
      <c r="BF124" s="359"/>
      <c r="BG124" s="359"/>
    </row>
    <row r="125" spans="41:83">
      <c r="AO125" s="359"/>
      <c r="AP125" s="359"/>
      <c r="AQ125" s="359"/>
      <c r="AS125" s="359"/>
      <c r="AT125" s="359"/>
      <c r="AV125" s="359"/>
      <c r="AW125" s="359"/>
      <c r="AZ125" s="359"/>
      <c r="BA125" s="356" t="s">
        <v>1216</v>
      </c>
      <c r="BB125" s="369">
        <v>27</v>
      </c>
      <c r="BC125" s="369">
        <v>45</v>
      </c>
      <c r="BD125" s="359"/>
      <c r="BE125" s="359"/>
      <c r="BF125" s="359"/>
      <c r="BG125" s="359"/>
    </row>
    <row r="126" spans="41:83">
      <c r="AO126" s="359"/>
      <c r="AP126" s="359"/>
      <c r="AQ126" s="359"/>
      <c r="AS126" s="359"/>
      <c r="AT126" s="359"/>
      <c r="AV126" s="359"/>
      <c r="AW126" s="359"/>
      <c r="AZ126" s="359"/>
      <c r="BA126" s="356" t="s">
        <v>1226</v>
      </c>
      <c r="BB126" s="369">
        <v>26</v>
      </c>
      <c r="BC126" s="369">
        <v>46</v>
      </c>
      <c r="BD126" s="359"/>
      <c r="BE126" s="359"/>
      <c r="BF126" s="359"/>
      <c r="BG126" s="359"/>
    </row>
    <row r="127" spans="41:83">
      <c r="AO127" s="359"/>
      <c r="AP127" s="359"/>
      <c r="AQ127" s="359"/>
      <c r="AS127" s="359"/>
      <c r="AT127" s="359"/>
      <c r="AV127" s="359"/>
      <c r="AW127" s="359"/>
      <c r="AZ127" s="359"/>
      <c r="BA127" s="356" t="s">
        <v>1237</v>
      </c>
      <c r="BB127" s="369">
        <v>25</v>
      </c>
      <c r="BC127" s="369">
        <v>47</v>
      </c>
      <c r="BD127" s="359"/>
      <c r="BE127" s="359"/>
      <c r="BF127" s="359"/>
      <c r="BG127" s="359"/>
    </row>
    <row r="128" spans="41:83">
      <c r="AO128" s="359"/>
      <c r="AP128" s="359"/>
      <c r="AQ128" s="359"/>
      <c r="AS128" s="359"/>
      <c r="AT128" s="359"/>
      <c r="AV128" s="359"/>
      <c r="AW128" s="359"/>
      <c r="AZ128" s="359"/>
      <c r="BA128" s="356" t="s">
        <v>1312</v>
      </c>
      <c r="BB128" s="369">
        <v>37</v>
      </c>
      <c r="BC128" s="369">
        <v>48</v>
      </c>
      <c r="BD128" s="359"/>
      <c r="BE128" s="359"/>
      <c r="BF128" s="359"/>
      <c r="BG128" s="359"/>
    </row>
    <row r="129" spans="41:59">
      <c r="AO129" s="359"/>
      <c r="AP129" s="359"/>
      <c r="AQ129" s="359"/>
      <c r="AS129" s="359"/>
      <c r="AT129" s="359"/>
      <c r="AV129" s="359"/>
      <c r="AW129" s="359"/>
      <c r="AZ129" s="359"/>
      <c r="BA129" s="356" t="s">
        <v>1326</v>
      </c>
      <c r="BB129" s="369">
        <v>38</v>
      </c>
      <c r="BC129" s="369">
        <v>49</v>
      </c>
      <c r="BD129" s="359"/>
      <c r="BE129" s="359"/>
      <c r="BF129" s="359"/>
      <c r="BG129" s="359"/>
    </row>
    <row r="130" spans="41:59">
      <c r="AO130" s="359"/>
      <c r="AP130" s="359"/>
      <c r="AQ130" s="359"/>
      <c r="AS130" s="359"/>
      <c r="AT130" s="359"/>
      <c r="AV130" s="359"/>
      <c r="AW130" s="359"/>
      <c r="AZ130" s="359"/>
      <c r="BA130" s="356" t="s">
        <v>1343</v>
      </c>
      <c r="BB130" s="369">
        <v>40</v>
      </c>
      <c r="BC130" s="369">
        <v>50</v>
      </c>
      <c r="BD130" s="359"/>
      <c r="BE130" s="359"/>
      <c r="BF130" s="359"/>
      <c r="BG130" s="359"/>
    </row>
    <row r="131" spans="41:59">
      <c r="AO131" s="359"/>
      <c r="AP131" s="359"/>
      <c r="AQ131" s="359"/>
      <c r="AS131" s="359"/>
      <c r="AT131" s="359"/>
      <c r="AV131" s="359"/>
      <c r="AW131" s="359"/>
      <c r="AZ131" s="359"/>
      <c r="BA131" s="356" t="s">
        <v>1244</v>
      </c>
      <c r="BB131" s="369">
        <v>34</v>
      </c>
      <c r="BC131" s="369">
        <v>53</v>
      </c>
      <c r="BD131" s="359"/>
      <c r="BE131" s="359"/>
      <c r="BF131" s="359"/>
      <c r="BG131" s="359"/>
    </row>
    <row r="132" spans="41:59">
      <c r="AO132" s="359"/>
      <c r="AP132" s="359"/>
      <c r="AQ132" s="359"/>
      <c r="AS132" s="359"/>
      <c r="AT132" s="359"/>
      <c r="AV132" s="359"/>
      <c r="AW132" s="359"/>
      <c r="AZ132" s="359"/>
      <c r="BA132" s="356" t="s">
        <v>1541</v>
      </c>
      <c r="BB132" s="369">
        <v>35</v>
      </c>
      <c r="BC132" s="369">
        <v>54</v>
      </c>
      <c r="BD132" s="359"/>
      <c r="BE132" s="359"/>
      <c r="BF132" s="359"/>
      <c r="BG132" s="359"/>
    </row>
    <row r="133" spans="41:59">
      <c r="AO133" s="359"/>
      <c r="AP133" s="359"/>
      <c r="AQ133" s="359"/>
      <c r="AS133" s="359"/>
      <c r="AT133" s="359"/>
      <c r="AV133" s="359"/>
      <c r="AW133" s="359"/>
      <c r="AZ133" s="359"/>
      <c r="BA133" s="356" t="s">
        <v>1257</v>
      </c>
      <c r="BB133" s="369">
        <v>57</v>
      </c>
      <c r="BC133" s="369">
        <v>55</v>
      </c>
      <c r="BD133" s="359"/>
      <c r="BE133" s="359"/>
      <c r="BF133" s="359"/>
      <c r="BG133" s="359"/>
    </row>
    <row r="134" spans="41:59">
      <c r="AO134" s="359"/>
      <c r="AP134" s="359"/>
      <c r="AQ134" s="359"/>
      <c r="AS134" s="359"/>
      <c r="AT134" s="359"/>
      <c r="AV134" s="359"/>
      <c r="AW134" s="359"/>
      <c r="AZ134" s="359"/>
      <c r="BA134" s="356" t="s">
        <v>1264</v>
      </c>
      <c r="BB134" s="369">
        <v>58</v>
      </c>
      <c r="BC134" s="369">
        <v>56</v>
      </c>
      <c r="BD134" s="359"/>
      <c r="BE134" s="359"/>
      <c r="BF134" s="359"/>
      <c r="BG134" s="359"/>
    </row>
    <row r="135" spans="41:59">
      <c r="AO135" s="359"/>
      <c r="AP135" s="359"/>
      <c r="AQ135" s="359"/>
      <c r="AS135" s="359"/>
      <c r="AT135" s="359"/>
      <c r="AV135" s="359"/>
      <c r="AW135" s="359"/>
      <c r="AZ135" s="359"/>
      <c r="BA135" s="356" t="s">
        <v>1272</v>
      </c>
      <c r="BB135" s="369">
        <v>61</v>
      </c>
      <c r="BC135" s="369">
        <v>57</v>
      </c>
      <c r="BD135" s="359"/>
      <c r="BE135" s="359"/>
      <c r="BF135" s="359"/>
      <c r="BG135" s="359"/>
    </row>
    <row r="136" spans="41:59">
      <c r="AO136" s="359"/>
      <c r="AP136" s="359"/>
      <c r="AQ136" s="359"/>
      <c r="AS136" s="359"/>
      <c r="AT136" s="359"/>
      <c r="AV136" s="359"/>
      <c r="AW136" s="359"/>
      <c r="AZ136" s="359"/>
      <c r="BA136" s="356" t="s">
        <v>1276</v>
      </c>
      <c r="BB136" s="369">
        <v>62</v>
      </c>
      <c r="BC136" s="369">
        <v>58</v>
      </c>
      <c r="BD136" s="359"/>
      <c r="BE136" s="359"/>
      <c r="BF136" s="359"/>
      <c r="BG136" s="359"/>
    </row>
    <row r="137" spans="41:59">
      <c r="AO137" s="359"/>
      <c r="AP137" s="359"/>
      <c r="AQ137" s="359"/>
      <c r="AS137" s="359"/>
      <c r="AT137" s="359"/>
      <c r="AV137" s="359"/>
      <c r="AW137" s="359"/>
      <c r="AZ137" s="359"/>
      <c r="BA137" s="356" t="s">
        <v>1281</v>
      </c>
      <c r="BB137" s="369">
        <v>60</v>
      </c>
      <c r="BC137" s="369">
        <v>59</v>
      </c>
      <c r="BD137" s="359"/>
      <c r="BE137" s="359"/>
      <c r="BF137" s="359"/>
      <c r="BG137" s="359"/>
    </row>
    <row r="138" spans="41:59">
      <c r="AO138" s="359"/>
      <c r="AP138" s="359"/>
      <c r="AQ138" s="359"/>
      <c r="AS138" s="359"/>
      <c r="AT138" s="359"/>
      <c r="AV138" s="359"/>
      <c r="AW138" s="359"/>
      <c r="AZ138" s="359"/>
      <c r="BA138" s="356" t="s">
        <v>1298</v>
      </c>
      <c r="BB138" s="369">
        <v>59</v>
      </c>
      <c r="BC138" s="369">
        <v>60</v>
      </c>
      <c r="BD138" s="359"/>
      <c r="BE138" s="359"/>
      <c r="BF138" s="359"/>
      <c r="BG138" s="359"/>
    </row>
    <row r="139" spans="41:59">
      <c r="AO139" s="359"/>
      <c r="AP139" s="359"/>
      <c r="AQ139" s="359"/>
      <c r="AS139" s="359"/>
      <c r="AT139" s="359"/>
      <c r="AV139" s="359"/>
      <c r="AW139" s="359"/>
      <c r="AZ139" s="359"/>
      <c r="BA139" s="356" t="s">
        <v>1425</v>
      </c>
      <c r="BB139" s="369">
        <v>41</v>
      </c>
      <c r="BC139" s="369">
        <v>61</v>
      </c>
      <c r="BD139" s="359"/>
      <c r="BE139" s="359"/>
      <c r="BF139" s="359"/>
      <c r="BG139" s="359"/>
    </row>
    <row r="140" spans="41:59">
      <c r="AO140" s="359"/>
      <c r="AP140" s="359"/>
      <c r="AQ140" s="359"/>
      <c r="AS140" s="359"/>
      <c r="AT140" s="359"/>
      <c r="AV140" s="359"/>
      <c r="AW140" s="359"/>
      <c r="AZ140" s="359"/>
      <c r="BA140" s="356" t="s">
        <v>1436</v>
      </c>
      <c r="BB140" s="369">
        <v>42</v>
      </c>
      <c r="BC140" s="369">
        <v>62</v>
      </c>
      <c r="BD140" s="359"/>
      <c r="BE140" s="359"/>
      <c r="BF140" s="359"/>
      <c r="BG140" s="359"/>
    </row>
    <row r="141" spans="41:59">
      <c r="AO141" s="359"/>
      <c r="AP141" s="359"/>
      <c r="AQ141" s="359"/>
      <c r="AS141" s="359"/>
      <c r="AT141" s="359"/>
      <c r="AV141" s="359"/>
      <c r="AW141" s="359"/>
      <c r="AZ141" s="359"/>
      <c r="BA141" s="356" t="s">
        <v>1544</v>
      </c>
      <c r="BB141" s="369">
        <v>66</v>
      </c>
      <c r="BC141" s="369">
        <v>63</v>
      </c>
      <c r="BD141" s="359"/>
      <c r="BE141" s="359"/>
      <c r="BF141" s="359"/>
      <c r="BG141" s="359"/>
    </row>
    <row r="142" spans="41:59">
      <c r="AO142" s="359"/>
      <c r="AP142" s="359"/>
      <c r="AQ142" s="359"/>
      <c r="AS142" s="359"/>
      <c r="AT142" s="359"/>
      <c r="AV142" s="359"/>
      <c r="AW142" s="359"/>
      <c r="AZ142" s="359"/>
      <c r="BA142" s="356" t="s">
        <v>1548</v>
      </c>
      <c r="BB142" s="369">
        <v>67</v>
      </c>
      <c r="BC142" s="369">
        <v>64</v>
      </c>
      <c r="BD142" s="359"/>
      <c r="BE142" s="359"/>
      <c r="BF142" s="359"/>
      <c r="BG142" s="359"/>
    </row>
    <row r="143" spans="41:59">
      <c r="AO143" s="359"/>
      <c r="AP143" s="359"/>
      <c r="AQ143" s="359"/>
      <c r="AS143" s="359"/>
      <c r="AT143" s="359"/>
      <c r="AV143" s="359"/>
      <c r="AW143" s="359"/>
      <c r="AZ143" s="359"/>
      <c r="BA143" s="356" t="s">
        <v>1553</v>
      </c>
      <c r="BB143" s="369">
        <v>68</v>
      </c>
      <c r="BC143" s="369">
        <v>65</v>
      </c>
      <c r="BD143" s="359"/>
      <c r="BE143" s="359"/>
      <c r="BF143" s="359"/>
      <c r="BG143" s="359"/>
    </row>
    <row r="144" spans="41:59">
      <c r="AO144" s="359"/>
      <c r="AP144" s="359"/>
      <c r="AQ144" s="359"/>
      <c r="AS144" s="359"/>
      <c r="AT144" s="359"/>
      <c r="AV144" s="359"/>
      <c r="AW144" s="359"/>
      <c r="AZ144" s="359"/>
      <c r="BA144" s="356" t="s">
        <v>1555</v>
      </c>
      <c r="BB144" s="369">
        <v>69</v>
      </c>
      <c r="BC144" s="369">
        <v>66</v>
      </c>
      <c r="BD144" s="359"/>
      <c r="BE144" s="359"/>
      <c r="BF144" s="359"/>
      <c r="BG144" s="359"/>
    </row>
    <row r="145" spans="41:59">
      <c r="AO145" s="359"/>
      <c r="AP145" s="359"/>
      <c r="AQ145" s="359"/>
      <c r="AS145" s="359"/>
      <c r="AT145" s="359"/>
      <c r="AV145" s="359"/>
      <c r="AW145" s="359"/>
      <c r="AZ145" s="359"/>
      <c r="BA145" s="356" t="s">
        <v>1559</v>
      </c>
      <c r="BB145" s="369">
        <v>70</v>
      </c>
      <c r="BC145" s="369">
        <v>67</v>
      </c>
      <c r="BD145" s="359"/>
      <c r="BE145" s="359"/>
      <c r="BF145" s="359"/>
      <c r="BG145" s="359"/>
    </row>
    <row r="146" spans="41:59">
      <c r="AO146" s="359"/>
      <c r="AP146" s="359"/>
      <c r="AQ146" s="359"/>
      <c r="AS146" s="359"/>
      <c r="AT146" s="359"/>
      <c r="AV146" s="359"/>
      <c r="AW146" s="359"/>
      <c r="AZ146" s="359"/>
      <c r="BA146" s="356" t="s">
        <v>1561</v>
      </c>
      <c r="BB146" s="369">
        <v>71</v>
      </c>
      <c r="BC146" s="369">
        <v>68</v>
      </c>
      <c r="BD146" s="359"/>
      <c r="BE146" s="359"/>
      <c r="BF146" s="359"/>
      <c r="BG146" s="359"/>
    </row>
    <row r="147" spans="41:59">
      <c r="AO147" s="359"/>
      <c r="AP147" s="359"/>
      <c r="AQ147" s="359"/>
      <c r="AS147" s="359"/>
      <c r="AT147" s="359"/>
      <c r="AV147" s="359"/>
      <c r="AW147" s="359"/>
      <c r="AZ147" s="359"/>
      <c r="BA147" s="356" t="s">
        <v>1564</v>
      </c>
      <c r="BB147" s="369">
        <v>72</v>
      </c>
      <c r="BC147" s="369">
        <v>69</v>
      </c>
      <c r="BD147" s="359"/>
      <c r="BE147" s="359"/>
      <c r="BF147" s="359"/>
      <c r="BG147" s="359"/>
    </row>
    <row r="148" spans="41:59">
      <c r="AO148" s="359"/>
      <c r="AP148" s="359"/>
      <c r="AQ148" s="359"/>
      <c r="AS148" s="359"/>
      <c r="AT148" s="359"/>
      <c r="AV148" s="359"/>
      <c r="AW148" s="359"/>
      <c r="AZ148" s="359"/>
      <c r="BA148" s="356" t="s">
        <v>1070</v>
      </c>
      <c r="BB148" s="369">
        <v>43</v>
      </c>
      <c r="BC148" s="369">
        <v>70</v>
      </c>
      <c r="BD148" s="359"/>
      <c r="BE148" s="359"/>
      <c r="BF148" s="359"/>
      <c r="BG148" s="359"/>
    </row>
    <row r="149" spans="41:59">
      <c r="AO149" s="359"/>
      <c r="AP149" s="359"/>
      <c r="AQ149" s="359"/>
      <c r="AS149" s="359"/>
      <c r="AT149" s="359"/>
      <c r="AV149" s="359"/>
      <c r="AW149" s="359"/>
      <c r="AZ149" s="359"/>
      <c r="BA149" s="356" t="s">
        <v>1080</v>
      </c>
      <c r="BB149" s="369">
        <v>63</v>
      </c>
      <c r="BC149" s="369">
        <v>71</v>
      </c>
      <c r="BD149" s="359"/>
      <c r="BE149" s="359"/>
      <c r="BF149" s="359"/>
      <c r="BG149" s="359"/>
    </row>
    <row r="150" spans="41:59">
      <c r="AO150" s="359"/>
      <c r="AP150" s="359"/>
      <c r="AQ150" s="359"/>
      <c r="AS150" s="359"/>
      <c r="AT150" s="359"/>
      <c r="AV150" s="359"/>
      <c r="AW150" s="359"/>
      <c r="AZ150" s="359"/>
      <c r="BA150" s="356" t="s">
        <v>1121</v>
      </c>
      <c r="BB150" s="369">
        <v>64</v>
      </c>
      <c r="BC150" s="369">
        <v>72</v>
      </c>
      <c r="BD150" s="359"/>
      <c r="BE150" s="359"/>
      <c r="BF150" s="359"/>
      <c r="BG150" s="359"/>
    </row>
    <row r="151" spans="41:59">
      <c r="AO151" s="359"/>
      <c r="AP151" s="359"/>
      <c r="AQ151" s="359"/>
      <c r="AS151" s="359"/>
      <c r="AT151" s="359"/>
      <c r="AV151" s="559"/>
      <c r="AW151" s="359"/>
      <c r="AZ151" s="359"/>
      <c r="BA151" s="356" t="s">
        <v>1094</v>
      </c>
      <c r="BB151" s="369">
        <v>65</v>
      </c>
      <c r="BC151" s="369">
        <v>73</v>
      </c>
      <c r="BD151" s="559"/>
      <c r="BE151" s="359"/>
      <c r="BF151" s="359"/>
      <c r="BG151" s="359"/>
    </row>
    <row r="152" spans="41:59">
      <c r="AO152" s="359"/>
      <c r="AP152" s="359"/>
      <c r="AQ152" s="359"/>
      <c r="AS152" s="359"/>
      <c r="AT152" s="359"/>
      <c r="AV152" s="559"/>
      <c r="AW152" s="359"/>
      <c r="AY152" s="359"/>
      <c r="AZ152" s="359"/>
      <c r="BA152" s="356"/>
      <c r="BB152" s="369"/>
      <c r="BC152" s="369"/>
      <c r="BD152" s="559"/>
      <c r="BE152" s="359"/>
      <c r="BF152" s="359"/>
      <c r="BG152" s="359"/>
    </row>
    <row r="153" spans="41:59">
      <c r="AO153" s="359"/>
      <c r="AP153" s="359"/>
      <c r="AQ153" s="359"/>
      <c r="AS153" s="359"/>
      <c r="AT153" s="359"/>
      <c r="AV153" s="559"/>
      <c r="AW153" s="359"/>
      <c r="AY153" s="359"/>
      <c r="AZ153" s="359"/>
      <c r="BA153" s="356"/>
      <c r="BB153" s="369"/>
      <c r="BC153" s="369"/>
      <c r="BD153" s="559"/>
      <c r="BE153" s="359"/>
      <c r="BF153" s="359"/>
      <c r="BG153" s="359"/>
    </row>
    <row r="154" spans="41:59">
      <c r="AV154" s="559"/>
      <c r="AW154" s="359"/>
      <c r="AY154" s="359"/>
      <c r="AZ154" s="359"/>
      <c r="BA154" s="356"/>
      <c r="BB154" s="369"/>
      <c r="BC154" s="369"/>
      <c r="BD154" s="559"/>
      <c r="BE154" s="359"/>
      <c r="BF154" s="359"/>
      <c r="BG154" s="359"/>
    </row>
    <row r="155" spans="41:59">
      <c r="AV155" s="559"/>
      <c r="AW155" s="359"/>
      <c r="AY155" s="359"/>
      <c r="AZ155" s="359"/>
      <c r="BA155" s="356"/>
      <c r="BB155" s="369"/>
      <c r="BC155" s="369"/>
      <c r="BD155" s="559"/>
      <c r="BE155" s="359"/>
      <c r="BF155" s="359"/>
      <c r="BG155" s="359"/>
    </row>
    <row r="156" spans="41:59">
      <c r="AV156" s="559"/>
      <c r="AW156" s="359"/>
      <c r="AX156" s="359"/>
      <c r="AY156" s="359"/>
      <c r="AZ156" s="359"/>
      <c r="BA156" s="356"/>
      <c r="BB156" s="369"/>
      <c r="BC156" s="369"/>
      <c r="BD156" s="559"/>
      <c r="BE156" s="359"/>
      <c r="BF156" s="359"/>
      <c r="BG156" s="359"/>
    </row>
    <row r="157" spans="41:59">
      <c r="AV157" s="359"/>
      <c r="AW157" s="359"/>
      <c r="AX157" s="359"/>
      <c r="AY157" s="359"/>
      <c r="AZ157" s="359"/>
      <c r="BA157" s="356"/>
      <c r="BB157" s="369"/>
      <c r="BC157" s="369"/>
      <c r="BD157" s="359"/>
      <c r="BE157" s="359"/>
      <c r="BF157" s="359"/>
      <c r="BG157" s="359"/>
    </row>
    <row r="158" spans="41:59">
      <c r="AV158" s="359"/>
      <c r="AW158" s="359"/>
      <c r="AX158" s="359"/>
      <c r="AY158" s="359"/>
      <c r="AZ158" s="359"/>
      <c r="BA158" s="356"/>
      <c r="BB158" s="369"/>
      <c r="BC158" s="369"/>
      <c r="BD158" s="359"/>
      <c r="BE158" s="359"/>
      <c r="BF158" s="359"/>
      <c r="BG158" s="359"/>
    </row>
    <row r="159" spans="41:59">
      <c r="AV159" s="359"/>
      <c r="AZ159" s="359"/>
      <c r="BA159" s="359"/>
      <c r="BB159" s="359"/>
      <c r="BC159" s="359"/>
      <c r="BD159" s="359"/>
      <c r="BE159" s="359"/>
      <c r="BF159" s="359"/>
      <c r="BG159" s="359"/>
    </row>
    <row r="160" spans="41:59">
      <c r="AV160" s="359"/>
      <c r="AZ160" s="359"/>
      <c r="BA160" s="359"/>
      <c r="BB160" s="359"/>
      <c r="BC160" s="359"/>
      <c r="BD160" s="359"/>
      <c r="BE160" s="359"/>
      <c r="BF160" s="359"/>
      <c r="BG160" s="359"/>
    </row>
    <row r="161" spans="48:59">
      <c r="AV161" s="359"/>
      <c r="AZ161" s="359"/>
      <c r="BD161" s="359"/>
      <c r="BE161" s="359"/>
      <c r="BF161" s="359"/>
      <c r="BG161" s="359"/>
    </row>
  </sheetData>
  <mergeCells count="30">
    <mergeCell ref="AV151:AV156"/>
    <mergeCell ref="BD151:BD156"/>
    <mergeCell ref="DD1:DF1"/>
    <mergeCell ref="DH1:DJ1"/>
    <mergeCell ref="BU1:BW1"/>
    <mergeCell ref="BY1:CA1"/>
    <mergeCell ref="CG54:CI55"/>
    <mergeCell ref="CK54:CM55"/>
    <mergeCell ref="CN1:CP1"/>
    <mergeCell ref="CR1:CT1"/>
    <mergeCell ref="CV1:CX1"/>
    <mergeCell ref="CZ1:DB1"/>
    <mergeCell ref="AW1:AY1"/>
    <mergeCell ref="BA1:BC1"/>
    <mergeCell ref="BE1:BG1"/>
    <mergeCell ref="BI1:BK1"/>
    <mergeCell ref="BM1:BO1"/>
    <mergeCell ref="BQ1:BS1"/>
    <mergeCell ref="Y1:AA1"/>
    <mergeCell ref="AC1:AE1"/>
    <mergeCell ref="AG1:AI1"/>
    <mergeCell ref="AK1:AM1"/>
    <mergeCell ref="AO1:AQ1"/>
    <mergeCell ref="AS1:AU1"/>
    <mergeCell ref="U1:W1"/>
    <mergeCell ref="A1:C1"/>
    <mergeCell ref="E1:G1"/>
    <mergeCell ref="I1:K1"/>
    <mergeCell ref="M1:O1"/>
    <mergeCell ref="Q1:S1"/>
  </mergeCells>
  <phoneticPr fontId="30" type="noConversion"/>
  <pageMargins left="0.7" right="0.7" top="0.75" bottom="0.75" header="0.3" footer="0.3"/>
  <customProperties>
    <customPr name="workbookAdvencedSettings" r:id="rId1"/>
    <customPr name="workbookExecutionSettings" r:id="rId2"/>
    <customPr name="workbookGatewaySettings" r:id="rId3"/>
  </customProperties>
  <tableParts count="34">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AC5D0-19F1-41C0-8EB7-34A3EE2361CA}">
  <sheetPr codeName="Sheet10"/>
  <dimension ref="A1:CE32"/>
  <sheetViews>
    <sheetView showGridLines="0" zoomScale="75" zoomScaleNormal="75" workbookViewId="0">
      <selection activeCell="E2" sqref="E2"/>
    </sheetView>
  </sheetViews>
  <sheetFormatPr defaultRowHeight="14.5"/>
  <cols>
    <col min="1" max="1" width="6.453125" bestFit="1" customWidth="1"/>
    <col min="2" max="3" width="28" bestFit="1" customWidth="1"/>
    <col min="4" max="4" width="26.54296875" bestFit="1" customWidth="1"/>
    <col min="5" max="5" width="43.453125" customWidth="1"/>
    <col min="6" max="6" width="22.453125" bestFit="1" customWidth="1"/>
    <col min="7" max="7" width="17" bestFit="1" customWidth="1"/>
    <col min="8" max="8" width="4.54296875" bestFit="1" customWidth="1"/>
    <col min="9" max="10" width="11.54296875" bestFit="1" customWidth="1"/>
    <col min="11" max="11" width="8.453125" bestFit="1" customWidth="1"/>
    <col min="12" max="12" width="11.453125" bestFit="1" customWidth="1"/>
    <col min="13" max="14" width="11.54296875" bestFit="1" customWidth="1"/>
    <col min="27" max="27" width="11.453125" customWidth="1"/>
    <col min="28" max="28" width="9.453125" customWidth="1"/>
    <col min="29" max="29" width="11.54296875" customWidth="1"/>
    <col min="30" max="30" width="14.54296875" customWidth="1"/>
    <col min="31" max="31" width="9.54296875" customWidth="1"/>
    <col min="33" max="33" width="12.54296875" customWidth="1"/>
    <col min="34" max="34" width="10" customWidth="1"/>
    <col min="35" max="35" width="11.54296875" customWidth="1"/>
    <col min="36" max="36" width="18.453125" customWidth="1"/>
    <col min="37" max="37" width="19" customWidth="1"/>
    <col min="38" max="38" width="10.54296875" customWidth="1"/>
    <col min="39" max="39" width="9.453125" customWidth="1"/>
    <col min="41" max="41" width="16.453125" customWidth="1"/>
    <col min="42" max="42" width="14" customWidth="1"/>
    <col min="43" max="43" width="15.453125" customWidth="1"/>
    <col min="44" max="44" width="12.54296875" customWidth="1"/>
    <col min="45" max="45" width="19.54296875" customWidth="1"/>
    <col min="47" max="47" width="11.453125" customWidth="1"/>
    <col min="48" max="48" width="20" customWidth="1"/>
    <col min="49" max="49" width="13.54296875" customWidth="1"/>
    <col min="50" max="50" width="19.453125" customWidth="1"/>
    <col min="51" max="51" width="14.453125" customWidth="1"/>
    <col min="52" max="52" width="10.54296875" customWidth="1"/>
    <col min="53" max="53" width="9.54296875" customWidth="1"/>
    <col min="54" max="54" width="14.453125" customWidth="1"/>
    <col min="55" max="55" width="17.453125" customWidth="1"/>
    <col min="56" max="56" width="32.453125" customWidth="1"/>
    <col min="58" max="58" width="10.453125" customWidth="1"/>
    <col min="60" max="60" width="17.453125" customWidth="1"/>
    <col min="61" max="61" width="11.453125" customWidth="1"/>
    <col min="62" max="62" width="20.54296875" customWidth="1"/>
    <col min="63" max="63" width="13.54296875" customWidth="1"/>
    <col min="64" max="64" width="12.54296875" customWidth="1"/>
  </cols>
  <sheetData>
    <row r="1" spans="1:83" ht="29">
      <c r="A1" s="80" t="s">
        <v>4023</v>
      </c>
      <c r="B1" s="80" t="s">
        <v>17</v>
      </c>
      <c r="C1" s="80" t="s">
        <v>18</v>
      </c>
      <c r="D1" s="80" t="s">
        <v>19</v>
      </c>
      <c r="E1" s="80" t="s">
        <v>20</v>
      </c>
      <c r="F1" s="80" t="s">
        <v>21</v>
      </c>
      <c r="G1" s="80" t="s">
        <v>22</v>
      </c>
      <c r="H1" s="80" t="s">
        <v>23</v>
      </c>
      <c r="I1" s="80" t="s">
        <v>24</v>
      </c>
      <c r="J1" s="80" t="s">
        <v>25</v>
      </c>
      <c r="K1" s="80" t="s">
        <v>26</v>
      </c>
      <c r="L1" s="80" t="s">
        <v>27</v>
      </c>
      <c r="M1" s="80" t="s">
        <v>4024</v>
      </c>
      <c r="N1" s="80" t="s">
        <v>4024</v>
      </c>
      <c r="S1" s="80" t="s">
        <v>4025</v>
      </c>
      <c r="U1" s="80" t="s">
        <v>4026</v>
      </c>
      <c r="AA1" s="81" t="s">
        <v>2192</v>
      </c>
      <c r="AB1" s="82" t="s">
        <v>4027</v>
      </c>
      <c r="AC1" s="82" t="s">
        <v>4028</v>
      </c>
      <c r="AD1" s="82" t="s">
        <v>4029</v>
      </c>
      <c r="AE1" s="82" t="s">
        <v>26</v>
      </c>
      <c r="AF1" s="82" t="s">
        <v>4030</v>
      </c>
      <c r="AG1" s="82" t="s">
        <v>4031</v>
      </c>
      <c r="AH1" s="82" t="s">
        <v>524</v>
      </c>
      <c r="AI1" s="82" t="s">
        <v>4032</v>
      </c>
      <c r="AJ1" s="82" t="s">
        <v>4033</v>
      </c>
      <c r="AK1" s="83" t="s">
        <v>4034</v>
      </c>
      <c r="AL1" s="82" t="s">
        <v>120</v>
      </c>
      <c r="AM1" s="82" t="s">
        <v>74</v>
      </c>
      <c r="AN1" s="82" t="s">
        <v>76</v>
      </c>
      <c r="AO1" s="82" t="s">
        <v>4035</v>
      </c>
      <c r="AP1" s="82" t="s">
        <v>4036</v>
      </c>
      <c r="AQ1" s="82" t="s">
        <v>3489</v>
      </c>
      <c r="AR1" s="82" t="s">
        <v>27</v>
      </c>
      <c r="AS1" s="82" t="s">
        <v>4037</v>
      </c>
      <c r="AT1" s="82" t="s">
        <v>4038</v>
      </c>
      <c r="AU1" s="83" t="s">
        <v>4039</v>
      </c>
      <c r="AV1" s="82" t="s">
        <v>4040</v>
      </c>
      <c r="AW1" s="82" t="s">
        <v>4041</v>
      </c>
      <c r="AX1" s="82" t="s">
        <v>4042</v>
      </c>
      <c r="AY1" s="82" t="s">
        <v>4043</v>
      </c>
      <c r="AZ1" s="82" t="s">
        <v>4044</v>
      </c>
      <c r="BA1" s="82" t="s">
        <v>4045</v>
      </c>
      <c r="BB1" s="84" t="s">
        <v>4046</v>
      </c>
      <c r="BC1" s="84" t="s">
        <v>4047</v>
      </c>
      <c r="BD1" s="82" t="s">
        <v>4048</v>
      </c>
      <c r="BE1" s="82" t="s">
        <v>4049</v>
      </c>
      <c r="BF1" s="82" t="s">
        <v>4050</v>
      </c>
      <c r="BG1" s="82" t="s">
        <v>71</v>
      </c>
      <c r="BH1" s="82" t="s">
        <v>4051</v>
      </c>
      <c r="BI1" s="81" t="s">
        <v>4052</v>
      </c>
      <c r="BJ1" s="81" t="s">
        <v>4053</v>
      </c>
      <c r="BK1" s="81" t="s">
        <v>75</v>
      </c>
      <c r="BL1" s="81" t="s">
        <v>4054</v>
      </c>
      <c r="BW1" s="80" t="s">
        <v>4025</v>
      </c>
      <c r="BY1" s="80" t="s">
        <v>4054</v>
      </c>
      <c r="CA1" s="80" t="s">
        <v>4039</v>
      </c>
      <c r="CB1" s="80" t="s">
        <v>4055</v>
      </c>
    </row>
    <row r="2" spans="1:83">
      <c r="A2" t="s">
        <v>5268</v>
      </c>
      <c r="B2" t="s">
        <v>5269</v>
      </c>
      <c r="C2" t="s">
        <v>5270</v>
      </c>
      <c r="D2" t="s">
        <v>5271</v>
      </c>
      <c r="E2" t="s">
        <v>5288</v>
      </c>
      <c r="F2" t="s">
        <v>5272</v>
      </c>
      <c r="G2" t="s">
        <v>5273</v>
      </c>
      <c r="H2" t="s">
        <v>5274</v>
      </c>
      <c r="I2" t="s">
        <v>5275</v>
      </c>
      <c r="J2">
        <v>47930</v>
      </c>
      <c r="K2" t="s">
        <v>4225</v>
      </c>
      <c r="L2" t="s">
        <v>5276</v>
      </c>
      <c r="M2" t="s">
        <v>5277</v>
      </c>
      <c r="AA2">
        <f>Findingstbl[[#This Row],[Question_Number]]</f>
        <v>0</v>
      </c>
      <c r="BI2" t="str">
        <f ca="1">IFERROR(IF(SEARCH(Findingstbl[[#This Row],[Finding Type]],Findingstbl[[#This Row],[Verify Question pool]])&gt;0,"True","False"),"False")</f>
        <v>False</v>
      </c>
      <c r="BJ2" t="e">
        <f ca="1">VLOOKUP(VLOOKUP(Findingstbl[[#This Row],[Qnumber]],CallTb[[#All],[iWatch '#]:[efral questions]],12,FALSE),$CE$2:$CF$7,2,FALSE)</f>
        <v>#N/A</v>
      </c>
      <c r="BK2" t="e">
        <f>VLOOKUP(Findingstbl[[#This Row],[Risk Level]],$CB$1:$CC$9,2,FALSE)</f>
        <v>#N/A</v>
      </c>
      <c r="BL2" t="str">
        <f>IF(OR(Findingstbl[[#This Row],[Risk Level]]="Follow up",Findingstbl[[#This Row],[Risk Level]]="With Findings",Findingstbl[[#This Row],[Risk Level]]="Suspension"),"True","False")</f>
        <v>False</v>
      </c>
      <c r="BY2">
        <f>COUNTIFS(Findingstbl[Finding Type],"Probation",Findingstbl[Finding Type],"No Findings",Findingstbl[Finding Type],"Training Complete",Findingstbl[Finding Type],"Termination",Findingstbl[Finding Type],"Reactivation")</f>
        <v>0</v>
      </c>
      <c r="CA2" t="s">
        <v>4056</v>
      </c>
      <c r="CB2" t="s">
        <v>2215</v>
      </c>
      <c r="CD2" t="s">
        <v>585</v>
      </c>
      <c r="CE2" t="s">
        <v>2195</v>
      </c>
    </row>
    <row r="3" spans="1:83">
      <c r="A3" t="s">
        <v>5268</v>
      </c>
      <c r="B3" t="s">
        <v>5278</v>
      </c>
      <c r="C3" t="s">
        <v>5270</v>
      </c>
      <c r="D3" t="s">
        <v>5279</v>
      </c>
      <c r="E3" t="s">
        <v>5280</v>
      </c>
      <c r="F3" t="s">
        <v>5272</v>
      </c>
      <c r="G3" t="s">
        <v>5273</v>
      </c>
      <c r="H3" t="s">
        <v>5274</v>
      </c>
      <c r="I3" t="s">
        <v>5275</v>
      </c>
      <c r="J3">
        <v>47930</v>
      </c>
      <c r="K3" t="s">
        <v>4225</v>
      </c>
      <c r="L3" t="s">
        <v>5276</v>
      </c>
      <c r="M3" t="s">
        <v>5281</v>
      </c>
      <c r="AA3">
        <f>Findingstbl[[#This Row],[Question_Number]]</f>
        <v>0</v>
      </c>
      <c r="BI3" t="str">
        <f ca="1">IFERROR(IF(SEARCH(Findingstbl[[#This Row],[Finding Type]],Findingstbl[[#This Row],[Verify Question pool]])&gt;0,"True","False"),"False")</f>
        <v>False</v>
      </c>
      <c r="BJ3" t="e">
        <f ca="1">VLOOKUP(VLOOKUP(Findingstbl[[#This Row],[Qnumber]],CallTb[[#All],[iWatch '#]:[efral questions]],12,FALSE),$CE$2:$CF$7,2,FALSE)</f>
        <v>#N/A</v>
      </c>
      <c r="BK3" t="e">
        <f>VLOOKUP(Findingstbl[[#This Row],[Risk Level]],$CB$1:$CC$9,2,FALSE)</f>
        <v>#N/A</v>
      </c>
      <c r="BL3" t="str">
        <f>IF(OR(Findingstbl[[#This Row],[Risk Level]]="Follow up",Findingstbl[[#This Row],[Risk Level]]="With Findings",Findingstbl[[#This Row],[Risk Level]]="Suspension"),"True","False")</f>
        <v>False</v>
      </c>
      <c r="CA3" t="s">
        <v>4057</v>
      </c>
      <c r="CB3" t="s">
        <v>2195</v>
      </c>
      <c r="CD3" t="s">
        <v>644</v>
      </c>
      <c r="CE3" t="s">
        <v>4058</v>
      </c>
    </row>
    <row r="4" spans="1:83">
      <c r="A4" t="s">
        <v>5268</v>
      </c>
      <c r="B4" t="s">
        <v>5278</v>
      </c>
      <c r="C4" t="s">
        <v>5270</v>
      </c>
      <c r="D4" t="s">
        <v>5282</v>
      </c>
      <c r="E4" t="s">
        <v>5283</v>
      </c>
      <c r="F4" t="s">
        <v>5272</v>
      </c>
      <c r="G4" t="s">
        <v>5273</v>
      </c>
      <c r="H4" t="s">
        <v>5274</v>
      </c>
      <c r="I4" t="s">
        <v>5275</v>
      </c>
      <c r="J4">
        <v>47930</v>
      </c>
      <c r="K4" t="s">
        <v>4225</v>
      </c>
      <c r="L4" t="s">
        <v>5276</v>
      </c>
      <c r="M4" t="s">
        <v>5284</v>
      </c>
      <c r="AA4">
        <f>Findingstbl[[#This Row],[Question_Number]]</f>
        <v>0</v>
      </c>
      <c r="BI4" t="str">
        <f ca="1">IFERROR(IF(SEARCH(Findingstbl[[#This Row],[Finding Type]],Findingstbl[[#This Row],[Verify Question pool]])&gt;0,"True","False"),"False")</f>
        <v>False</v>
      </c>
      <c r="BJ4" t="e">
        <f ca="1">VLOOKUP(VLOOKUP(Findingstbl[[#This Row],[Qnumber]],CallTb[[#All],[iWatch '#]:[efral questions]],12,FALSE),$CE$2:$CF$7,2,FALSE)</f>
        <v>#N/A</v>
      </c>
      <c r="BK4" t="e">
        <f>VLOOKUP(Findingstbl[[#This Row],[Risk Level]],$CB$1:$CC$9,2,FALSE)</f>
        <v>#N/A</v>
      </c>
      <c r="BL4" t="str">
        <f>IF(OR(Findingstbl[[#This Row],[Risk Level]]="Follow up",Findingstbl[[#This Row],[Risk Level]]="With Findings",Findingstbl[[#This Row],[Risk Level]]="Suspension"),"True","False")</f>
        <v>False</v>
      </c>
      <c r="CA4" t="s">
        <v>2222</v>
      </c>
      <c r="CB4" t="s">
        <v>2222</v>
      </c>
      <c r="CD4" t="s">
        <v>698</v>
      </c>
      <c r="CE4" t="s">
        <v>2215</v>
      </c>
    </row>
    <row r="5" spans="1:83">
      <c r="A5" t="s">
        <v>5268</v>
      </c>
      <c r="B5" t="s">
        <v>5278</v>
      </c>
      <c r="C5" t="s">
        <v>5270</v>
      </c>
      <c r="D5" t="s">
        <v>5285</v>
      </c>
      <c r="E5" t="s">
        <v>5286</v>
      </c>
      <c r="F5" t="s">
        <v>5272</v>
      </c>
      <c r="G5" t="s">
        <v>5273</v>
      </c>
      <c r="H5" t="s">
        <v>5274</v>
      </c>
      <c r="I5" t="s">
        <v>5275</v>
      </c>
      <c r="J5">
        <v>47930</v>
      </c>
      <c r="K5" t="s">
        <v>4225</v>
      </c>
      <c r="L5" t="s">
        <v>5276</v>
      </c>
      <c r="M5" t="s">
        <v>5287</v>
      </c>
      <c r="AA5">
        <f>Findingstbl[[#This Row],[Question_Number]]</f>
        <v>0</v>
      </c>
      <c r="BI5" t="str">
        <f ca="1">IFERROR(IF(SEARCH(Findingstbl[[#This Row],[Finding Type]],Findingstbl[[#This Row],[Verify Question pool]])&gt;0,"True","False"),"False")</f>
        <v>False</v>
      </c>
      <c r="BJ5" t="e">
        <f ca="1">VLOOKUP(VLOOKUP(Findingstbl[[#This Row],[Qnumber]],CallTb[[#All],[iWatch '#]:[efral questions]],12,FALSE),$CE$2:$CF$7,2,FALSE)</f>
        <v>#N/A</v>
      </c>
      <c r="BK5" t="e">
        <f>VLOOKUP(Findingstbl[[#This Row],[Risk Level]],$CB$1:$CC$9,2,FALSE)</f>
        <v>#N/A</v>
      </c>
      <c r="BL5" t="str">
        <f>IF(OR(Findingstbl[[#This Row],[Risk Level]]="Follow up",Findingstbl[[#This Row],[Risk Level]]="With Findings",Findingstbl[[#This Row],[Risk Level]]="Suspension"),"True","False")</f>
        <v>False</v>
      </c>
      <c r="CA5" t="s">
        <v>4059</v>
      </c>
      <c r="CB5" t="s">
        <v>4059</v>
      </c>
      <c r="CD5" t="s">
        <v>853</v>
      </c>
      <c r="CE5" t="s">
        <v>4060</v>
      </c>
    </row>
    <row r="6" spans="1:83">
      <c r="AA6">
        <f>Findingstbl[[#This Row],[Question_Number]]</f>
        <v>0</v>
      </c>
      <c r="BI6" t="str">
        <f ca="1">IFERROR(IF(SEARCH(Findingstbl[[#This Row],[Finding Type]],Findingstbl[[#This Row],[Verify Question pool]])&gt;0,"True","False"),"False")</f>
        <v>False</v>
      </c>
      <c r="BJ6" t="e">
        <f ca="1">VLOOKUP(VLOOKUP(Findingstbl[[#This Row],[Qnumber]],CallTb[[#All],[iWatch '#]:[efral questions]],12,FALSE),$CE$2:$CF$7,2,FALSE)</f>
        <v>#N/A</v>
      </c>
      <c r="BK6" t="e">
        <f>VLOOKUP(Findingstbl[[#This Row],[Risk Level]],$CB$1:$CC$9,2,FALSE)</f>
        <v>#N/A</v>
      </c>
      <c r="BL6" t="str">
        <f>IF(OR(Findingstbl[[#This Row],[Risk Level]]="Follow up",Findingstbl[[#This Row],[Risk Level]]="With Findings",Findingstbl[[#This Row],[Risk Level]]="Suspension"),"True","False")</f>
        <v>False</v>
      </c>
      <c r="CA6" t="s">
        <v>4061</v>
      </c>
      <c r="CB6" t="s">
        <v>4061</v>
      </c>
      <c r="CD6" t="s">
        <v>1505</v>
      </c>
      <c r="CE6" t="s">
        <v>4062</v>
      </c>
    </row>
    <row r="7" spans="1:83">
      <c r="AA7">
        <f>Findingstbl[[#This Row],[Question_Number]]</f>
        <v>0</v>
      </c>
      <c r="BI7" t="str">
        <f ca="1">IFERROR(IF(SEARCH(Findingstbl[[#This Row],[Finding Type]],Findingstbl[[#This Row],[Verify Question pool]])&gt;0,"True","False"),"False")</f>
        <v>False</v>
      </c>
      <c r="BJ7" t="e">
        <f ca="1">VLOOKUP(VLOOKUP(Findingstbl[[#This Row],[Qnumber]],CallTb[[#All],[iWatch '#]:[efral questions]],12,FALSE),$CE$2:$CF$7,2,FALSE)</f>
        <v>#N/A</v>
      </c>
      <c r="BK7" t="e">
        <f>VLOOKUP(Findingstbl[[#This Row],[Risk Level]],$CB$1:$CC$9,2,FALSE)</f>
        <v>#N/A</v>
      </c>
      <c r="BL7" t="str">
        <f>IF(OR(Findingstbl[[#This Row],[Risk Level]]="Follow up",Findingstbl[[#This Row],[Risk Level]]="With Findings",Findingstbl[[#This Row],[Risk Level]]="Suspension"),"True","False")</f>
        <v>False</v>
      </c>
      <c r="CA7" t="s">
        <v>4063</v>
      </c>
      <c r="CB7" t="s">
        <v>4063</v>
      </c>
      <c r="CD7" t="s">
        <v>683</v>
      </c>
      <c r="CE7" t="s">
        <v>4064</v>
      </c>
    </row>
    <row r="8" spans="1:83">
      <c r="AA8">
        <f>Findingstbl[[#This Row],[Question_Number]]</f>
        <v>0</v>
      </c>
      <c r="BI8" t="str">
        <f ca="1">IFERROR(IF(SEARCH(Findingstbl[[#This Row],[Finding Type]],Findingstbl[[#This Row],[Verify Question pool]])&gt;0,"True","False"),"False")</f>
        <v>False</v>
      </c>
      <c r="BJ8" t="e">
        <f ca="1">VLOOKUP(VLOOKUP(Findingstbl[[#This Row],[Qnumber]],CallTb[[#All],[iWatch '#]:[efral questions]],12,FALSE),$CE$2:$CF$7,2,FALSE)</f>
        <v>#N/A</v>
      </c>
      <c r="BK8" t="e">
        <f>VLOOKUP(Findingstbl[[#This Row],[Risk Level]],$CB$1:$CC$9,2,FALSE)</f>
        <v>#N/A</v>
      </c>
      <c r="BL8" t="str">
        <f>IF(OR(Findingstbl[[#This Row],[Risk Level]]="Follow up",Findingstbl[[#This Row],[Risk Level]]="With Findings",Findingstbl[[#This Row],[Risk Level]]="Suspension"),"True","False")</f>
        <v>False</v>
      </c>
      <c r="CA8" t="s">
        <v>4065</v>
      </c>
      <c r="CB8" t="s">
        <v>4065</v>
      </c>
    </row>
    <row r="9" spans="1:83">
      <c r="AA9">
        <f>Findingstbl[[#This Row],[Question_Number]]</f>
        <v>0</v>
      </c>
      <c r="BI9" t="str">
        <f ca="1">IFERROR(IF(SEARCH(Findingstbl[[#This Row],[Finding Type]],Findingstbl[[#This Row],[Verify Question pool]])&gt;0,"True","False"),"False")</f>
        <v>False</v>
      </c>
      <c r="BJ9" t="e">
        <f ca="1">VLOOKUP(VLOOKUP(Findingstbl[[#This Row],[Qnumber]],CallTb[[#All],[iWatch '#]:[efral questions]],12,FALSE),$CE$2:$CF$7,2,FALSE)</f>
        <v>#N/A</v>
      </c>
      <c r="BK9" t="e">
        <f>VLOOKUP(Findingstbl[[#This Row],[Risk Level]],$CB$1:$CC$9,2,FALSE)</f>
        <v>#N/A</v>
      </c>
      <c r="BL9" t="str">
        <f>IF(OR(Findingstbl[[#This Row],[Risk Level]]="Follow up",Findingstbl[[#This Row],[Risk Level]]="With Findings",Findingstbl[[#This Row],[Risk Level]]="Suspension"),"True","False")</f>
        <v>False</v>
      </c>
      <c r="CA9" t="s">
        <v>4066</v>
      </c>
      <c r="CB9" t="s">
        <v>4066</v>
      </c>
    </row>
    <row r="10" spans="1:83">
      <c r="AA10">
        <f>Findingstbl[[#This Row],[Question_Number]]</f>
        <v>0</v>
      </c>
      <c r="BI10" t="str">
        <f ca="1">IFERROR(IF(SEARCH(Findingstbl[[#This Row],[Finding Type]],Findingstbl[[#This Row],[Verify Question pool]])&gt;0,"True","False"),"False")</f>
        <v>False</v>
      </c>
      <c r="BJ10" t="e">
        <f ca="1">VLOOKUP(VLOOKUP(Findingstbl[[#This Row],[Qnumber]],CallTb[[#All],[iWatch '#]:[efral questions]],12,FALSE),$CE$2:$CF$7,2,FALSE)</f>
        <v>#N/A</v>
      </c>
      <c r="BK10" t="e">
        <f>VLOOKUP(Findingstbl[[#This Row],[Risk Level]],$CB$1:$CC$9,2,FALSE)</f>
        <v>#N/A</v>
      </c>
      <c r="BL10" t="str">
        <f>IF(OR(Findingstbl[[#This Row],[Risk Level]]="Follow up",Findingstbl[[#This Row],[Risk Level]]="With Findings",Findingstbl[[#This Row],[Risk Level]]="Suspension"),"True","False")</f>
        <v>False</v>
      </c>
    </row>
    <row r="11" spans="1:83">
      <c r="A11" t="s">
        <v>4067</v>
      </c>
      <c r="B11" t="s">
        <v>4068</v>
      </c>
      <c r="C11" t="s">
        <v>4069</v>
      </c>
      <c r="D11" t="s">
        <v>4067</v>
      </c>
      <c r="E11" t="s">
        <v>4070</v>
      </c>
      <c r="F11" t="s">
        <v>4071</v>
      </c>
      <c r="G11" t="s">
        <v>4072</v>
      </c>
      <c r="H11" t="s">
        <v>4073</v>
      </c>
      <c r="I11" t="s">
        <v>4074</v>
      </c>
      <c r="J11">
        <v>381200000</v>
      </c>
      <c r="K11" t="s">
        <v>4075</v>
      </c>
    </row>
    <row r="12" spans="1:83">
      <c r="A12" t="s">
        <v>4067</v>
      </c>
      <c r="B12" t="s">
        <v>4076</v>
      </c>
      <c r="C12" t="s">
        <v>4077</v>
      </c>
      <c r="D12" t="s">
        <v>4067</v>
      </c>
      <c r="E12" t="s">
        <v>4078</v>
      </c>
      <c r="F12" t="s">
        <v>4079</v>
      </c>
      <c r="H12" t="s">
        <v>4080</v>
      </c>
      <c r="I12" t="s">
        <v>4074</v>
      </c>
      <c r="J12">
        <v>37230</v>
      </c>
      <c r="K12" t="s">
        <v>4075</v>
      </c>
    </row>
    <row r="13" spans="1:83">
      <c r="A13" t="s">
        <v>4067</v>
      </c>
      <c r="B13" t="s">
        <v>4068</v>
      </c>
      <c r="C13" t="s">
        <v>4081</v>
      </c>
      <c r="D13" t="s">
        <v>4067</v>
      </c>
      <c r="E13" t="s">
        <v>4082</v>
      </c>
      <c r="F13" t="s">
        <v>4083</v>
      </c>
      <c r="H13" t="s">
        <v>4084</v>
      </c>
      <c r="I13" t="s">
        <v>4085</v>
      </c>
      <c r="J13">
        <v>240380000</v>
      </c>
      <c r="K13" t="s">
        <v>4075</v>
      </c>
    </row>
    <row r="14" spans="1:83">
      <c r="A14" t="s">
        <v>4067</v>
      </c>
      <c r="B14" t="s">
        <v>4086</v>
      </c>
      <c r="C14" t="s">
        <v>4086</v>
      </c>
      <c r="D14" t="s">
        <v>4067</v>
      </c>
      <c r="E14" t="s">
        <v>4087</v>
      </c>
      <c r="F14" t="s">
        <v>4088</v>
      </c>
      <c r="H14" t="s">
        <v>4084</v>
      </c>
      <c r="I14" t="s">
        <v>4085</v>
      </c>
      <c r="J14">
        <v>24038</v>
      </c>
      <c r="K14" t="s">
        <v>4075</v>
      </c>
    </row>
    <row r="15" spans="1:83">
      <c r="A15" t="s">
        <v>4067</v>
      </c>
      <c r="B15" t="s">
        <v>4068</v>
      </c>
      <c r="C15" t="s">
        <v>4089</v>
      </c>
      <c r="D15" t="s">
        <v>4067</v>
      </c>
      <c r="E15" t="s">
        <v>4090</v>
      </c>
      <c r="F15" t="s">
        <v>4091</v>
      </c>
      <c r="H15" t="s">
        <v>4092</v>
      </c>
      <c r="I15" t="s">
        <v>4093</v>
      </c>
      <c r="J15">
        <v>45246</v>
      </c>
      <c r="K15" t="s">
        <v>4075</v>
      </c>
    </row>
    <row r="16" spans="1:83">
      <c r="A16" t="s">
        <v>4067</v>
      </c>
      <c r="B16" t="s">
        <v>4094</v>
      </c>
      <c r="C16" t="s">
        <v>4095</v>
      </c>
      <c r="D16" t="s">
        <v>4067</v>
      </c>
      <c r="E16" t="s">
        <v>4096</v>
      </c>
      <c r="F16" t="s">
        <v>4097</v>
      </c>
      <c r="H16" t="s">
        <v>4098</v>
      </c>
      <c r="I16" t="s">
        <v>4099</v>
      </c>
      <c r="J16">
        <v>60004</v>
      </c>
      <c r="K16" t="s">
        <v>4075</v>
      </c>
    </row>
    <row r="17" spans="1:11">
      <c r="A17" t="s">
        <v>4067</v>
      </c>
      <c r="B17" t="s">
        <v>4100</v>
      </c>
      <c r="C17" t="s">
        <v>4101</v>
      </c>
      <c r="D17" t="s">
        <v>4067</v>
      </c>
      <c r="E17" t="s">
        <v>4102</v>
      </c>
      <c r="F17" t="s">
        <v>4103</v>
      </c>
      <c r="H17" t="s">
        <v>4104</v>
      </c>
      <c r="I17" t="s">
        <v>4105</v>
      </c>
      <c r="J17">
        <v>53045</v>
      </c>
      <c r="K17" t="s">
        <v>4075</v>
      </c>
    </row>
    <row r="18" spans="1:11">
      <c r="A18" t="s">
        <v>4067</v>
      </c>
      <c r="B18" t="s">
        <v>4106</v>
      </c>
      <c r="C18" t="s">
        <v>4107</v>
      </c>
      <c r="D18" t="s">
        <v>4067</v>
      </c>
      <c r="E18" t="s">
        <v>4108</v>
      </c>
      <c r="F18" t="s">
        <v>4109</v>
      </c>
      <c r="H18" t="s">
        <v>4110</v>
      </c>
      <c r="I18" t="s">
        <v>4111</v>
      </c>
      <c r="J18">
        <v>90220</v>
      </c>
      <c r="K18" t="s">
        <v>4075</v>
      </c>
    </row>
    <row r="19" spans="1:11">
      <c r="A19" t="s">
        <v>4067</v>
      </c>
      <c r="B19" t="s">
        <v>4112</v>
      </c>
      <c r="C19" t="s">
        <v>4113</v>
      </c>
      <c r="D19" t="s">
        <v>4067</v>
      </c>
      <c r="E19" t="s">
        <v>4114</v>
      </c>
      <c r="F19" t="s">
        <v>4109</v>
      </c>
      <c r="H19" t="s">
        <v>4110</v>
      </c>
      <c r="I19" t="s">
        <v>4111</v>
      </c>
      <c r="J19">
        <v>90220</v>
      </c>
      <c r="K19" t="s">
        <v>4075</v>
      </c>
    </row>
    <row r="20" spans="1:11">
      <c r="A20" t="s">
        <v>4067</v>
      </c>
      <c r="B20" t="s">
        <v>4086</v>
      </c>
      <c r="C20" t="s">
        <v>4086</v>
      </c>
      <c r="D20" t="s">
        <v>4067</v>
      </c>
      <c r="E20" t="s">
        <v>4115</v>
      </c>
      <c r="F20" t="s">
        <v>4088</v>
      </c>
      <c r="H20" t="s">
        <v>4084</v>
      </c>
      <c r="I20" t="s">
        <v>4085</v>
      </c>
      <c r="J20">
        <v>24038</v>
      </c>
      <c r="K20" t="s">
        <v>4075</v>
      </c>
    </row>
    <row r="21" spans="1:11">
      <c r="A21" t="s">
        <v>4067</v>
      </c>
      <c r="B21" t="s">
        <v>4116</v>
      </c>
      <c r="C21" t="s">
        <v>4117</v>
      </c>
      <c r="D21" t="s">
        <v>4067</v>
      </c>
      <c r="E21" t="s">
        <v>4118</v>
      </c>
      <c r="F21" t="s">
        <v>4119</v>
      </c>
      <c r="H21" t="s">
        <v>4120</v>
      </c>
      <c r="I21" t="s">
        <v>4121</v>
      </c>
      <c r="J21">
        <v>972020000</v>
      </c>
      <c r="K21" t="s">
        <v>4075</v>
      </c>
    </row>
    <row r="22" spans="1:11">
      <c r="A22" t="s">
        <v>4067</v>
      </c>
      <c r="B22" t="s">
        <v>4122</v>
      </c>
      <c r="C22" t="s">
        <v>4123</v>
      </c>
      <c r="D22" t="s">
        <v>4067</v>
      </c>
      <c r="E22" t="s">
        <v>4124</v>
      </c>
      <c r="F22" t="s">
        <v>4125</v>
      </c>
      <c r="H22" t="s">
        <v>4126</v>
      </c>
      <c r="I22" t="s">
        <v>4127</v>
      </c>
      <c r="J22">
        <v>98004</v>
      </c>
      <c r="K22" t="s">
        <v>4075</v>
      </c>
    </row>
    <row r="23" spans="1:11">
      <c r="A23" t="s">
        <v>4067</v>
      </c>
      <c r="B23" t="s">
        <v>4128</v>
      </c>
      <c r="C23" t="s">
        <v>4129</v>
      </c>
      <c r="D23" t="s">
        <v>4067</v>
      </c>
      <c r="E23" t="s">
        <v>4130</v>
      </c>
      <c r="F23" t="s">
        <v>4131</v>
      </c>
      <c r="H23" t="s">
        <v>4132</v>
      </c>
      <c r="I23" t="s">
        <v>4133</v>
      </c>
      <c r="J23">
        <v>84101</v>
      </c>
      <c r="K23" t="s">
        <v>4075</v>
      </c>
    </row>
    <row r="24" spans="1:11">
      <c r="A24" t="s">
        <v>4067</v>
      </c>
      <c r="B24" t="s">
        <v>4134</v>
      </c>
      <c r="C24" t="s">
        <v>4135</v>
      </c>
      <c r="D24" t="s">
        <v>4067</v>
      </c>
      <c r="E24" t="s">
        <v>4136</v>
      </c>
      <c r="F24" t="s">
        <v>4137</v>
      </c>
      <c r="H24" t="s">
        <v>4092</v>
      </c>
      <c r="I24" t="s">
        <v>4093</v>
      </c>
      <c r="J24">
        <v>45202</v>
      </c>
      <c r="K24" t="s">
        <v>4075</v>
      </c>
    </row>
    <row r="25" spans="1:11">
      <c r="A25" t="s">
        <v>4067</v>
      </c>
      <c r="B25" t="s">
        <v>4138</v>
      </c>
      <c r="C25" t="s">
        <v>4139</v>
      </c>
      <c r="D25" t="s">
        <v>4067</v>
      </c>
      <c r="E25" t="s">
        <v>4140</v>
      </c>
      <c r="F25" t="s">
        <v>4137</v>
      </c>
      <c r="H25" t="s">
        <v>4092</v>
      </c>
      <c r="I25" t="s">
        <v>4093</v>
      </c>
      <c r="J25">
        <v>45202</v>
      </c>
      <c r="K25" t="s">
        <v>4075</v>
      </c>
    </row>
    <row r="26" spans="1:11">
      <c r="A26" t="s">
        <v>4067</v>
      </c>
      <c r="B26" t="s">
        <v>4141</v>
      </c>
      <c r="C26" t="s">
        <v>4142</v>
      </c>
      <c r="D26" t="s">
        <v>4067</v>
      </c>
      <c r="E26" t="s">
        <v>4143</v>
      </c>
      <c r="F26" t="s">
        <v>4137</v>
      </c>
      <c r="H26" t="s">
        <v>4092</v>
      </c>
      <c r="I26" t="s">
        <v>4093</v>
      </c>
      <c r="J26">
        <v>45202</v>
      </c>
      <c r="K26" t="s">
        <v>4075</v>
      </c>
    </row>
    <row r="27" spans="1:11">
      <c r="A27" t="s">
        <v>4067</v>
      </c>
      <c r="B27" t="s">
        <v>4144</v>
      </c>
      <c r="C27" t="s">
        <v>4145</v>
      </c>
      <c r="D27" t="s">
        <v>4067</v>
      </c>
      <c r="E27" t="s">
        <v>4146</v>
      </c>
      <c r="F27" t="s">
        <v>4137</v>
      </c>
      <c r="H27" t="s">
        <v>4092</v>
      </c>
      <c r="I27" t="s">
        <v>4093</v>
      </c>
      <c r="J27">
        <v>45202</v>
      </c>
      <c r="K27" t="s">
        <v>4075</v>
      </c>
    </row>
    <row r="28" spans="1:11">
      <c r="A28" t="s">
        <v>4067</v>
      </c>
      <c r="B28" t="s">
        <v>4147</v>
      </c>
      <c r="C28" t="s">
        <v>4148</v>
      </c>
      <c r="D28" t="s">
        <v>4067</v>
      </c>
      <c r="E28" t="s">
        <v>4149</v>
      </c>
      <c r="F28" t="s">
        <v>4150</v>
      </c>
      <c r="H28" t="s">
        <v>4151</v>
      </c>
      <c r="I28" t="s">
        <v>4093</v>
      </c>
      <c r="J28">
        <v>43040</v>
      </c>
      <c r="K28" t="s">
        <v>4075</v>
      </c>
    </row>
    <row r="29" spans="1:11">
      <c r="A29" t="s">
        <v>4067</v>
      </c>
      <c r="B29" t="s">
        <v>4152</v>
      </c>
      <c r="C29" t="s">
        <v>4153</v>
      </c>
      <c r="D29" t="s">
        <v>4067</v>
      </c>
      <c r="E29" t="s">
        <v>4154</v>
      </c>
      <c r="F29" t="s">
        <v>4155</v>
      </c>
      <c r="H29" t="s">
        <v>4156</v>
      </c>
      <c r="I29" t="s">
        <v>4157</v>
      </c>
      <c r="J29">
        <v>67501</v>
      </c>
      <c r="K29" t="s">
        <v>4075</v>
      </c>
    </row>
    <row r="30" spans="1:11">
      <c r="A30" t="s">
        <v>4067</v>
      </c>
      <c r="B30" t="s">
        <v>4158</v>
      </c>
      <c r="C30" t="s">
        <v>4159</v>
      </c>
      <c r="D30" t="s">
        <v>4067</v>
      </c>
      <c r="E30" t="s">
        <v>4160</v>
      </c>
      <c r="F30" t="s">
        <v>4161</v>
      </c>
      <c r="H30" t="s">
        <v>4162</v>
      </c>
      <c r="I30" t="s">
        <v>4163</v>
      </c>
      <c r="J30">
        <v>80217</v>
      </c>
      <c r="K30" t="s">
        <v>4075</v>
      </c>
    </row>
    <row r="31" spans="1:11">
      <c r="A31" t="s">
        <v>4067</v>
      </c>
      <c r="B31" t="s">
        <v>4164</v>
      </c>
      <c r="C31" t="s">
        <v>4165</v>
      </c>
      <c r="D31" t="s">
        <v>4067</v>
      </c>
      <c r="E31" t="s">
        <v>4166</v>
      </c>
      <c r="F31" t="s">
        <v>4167</v>
      </c>
      <c r="H31" t="s">
        <v>4168</v>
      </c>
      <c r="I31" t="s">
        <v>4163</v>
      </c>
      <c r="J31">
        <v>81502</v>
      </c>
      <c r="K31" t="s">
        <v>4075</v>
      </c>
    </row>
    <row r="32" spans="1:11">
      <c r="A32" t="s">
        <v>4067</v>
      </c>
      <c r="B32" t="s">
        <v>4169</v>
      </c>
      <c r="C32" t="s">
        <v>4169</v>
      </c>
      <c r="D32" t="s">
        <v>4067</v>
      </c>
      <c r="E32" t="s">
        <v>4170</v>
      </c>
      <c r="F32" t="s">
        <v>4171</v>
      </c>
      <c r="H32" t="s">
        <v>4172</v>
      </c>
      <c r="I32" t="s">
        <v>4074</v>
      </c>
      <c r="J32">
        <v>37011</v>
      </c>
      <c r="K32" t="s">
        <v>4075</v>
      </c>
    </row>
  </sheetData>
  <pageMargins left="0.7" right="0.7" top="0.75" bottom="0.75" header="0.3" footer="0.3"/>
  <customProperties>
    <customPr name="workbookAdvencedSettings" r:id="rId1"/>
    <customPr name="workbookExecutionSettings" r:id="rId2"/>
    <customPr name="workbookGatewaySettings" r:id="rId3"/>
  </customProperties>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ACEB8-39DA-4BC9-A918-310FEE004466}">
  <sheetPr codeName="Sheet11"/>
  <dimension ref="E4:CO18803"/>
  <sheetViews>
    <sheetView showGridLines="0" topLeftCell="G1" zoomScale="70" zoomScaleNormal="70" workbookViewId="0">
      <selection activeCell="BN49" sqref="BN49"/>
    </sheetView>
  </sheetViews>
  <sheetFormatPr defaultColWidth="8.54296875" defaultRowHeight="17.899999999999999" customHeight="1"/>
  <cols>
    <col min="1" max="4" width="1.54296875" customWidth="1"/>
    <col min="5" max="5" width="16.453125" customWidth="1"/>
    <col min="6" max="6" width="14.54296875" customWidth="1"/>
    <col min="7" max="7" width="31.453125" bestFit="1" customWidth="1"/>
    <col min="8" max="8" width="20.54296875" customWidth="1"/>
    <col min="9" max="9" width="13.54296875" customWidth="1"/>
    <col min="10" max="10" width="48.453125" bestFit="1" customWidth="1"/>
    <col min="11" max="11" width="25" customWidth="1"/>
    <col min="12" max="12" width="3.453125" customWidth="1"/>
    <col min="13" max="13" width="3.453125" hidden="1" customWidth="1"/>
    <col min="14" max="14" width="30.453125" customWidth="1"/>
    <col min="15" max="15" width="1.54296875" customWidth="1"/>
    <col min="16" max="16" width="33" customWidth="1"/>
    <col min="17" max="17" width="37.453125" customWidth="1"/>
    <col min="18" max="18" width="1.54296875" customWidth="1"/>
    <col min="19" max="19" width="8.54296875" customWidth="1"/>
    <col min="20" max="20" width="36.453125" customWidth="1"/>
    <col min="21" max="21" width="15.453125" customWidth="1"/>
    <col min="22" max="22" width="6.54296875" customWidth="1"/>
    <col min="23" max="23" width="2.54296875" hidden="1" customWidth="1"/>
    <col min="24" max="24" width="19.453125" hidden="1" customWidth="1"/>
    <col min="25" max="25" width="0" hidden="1" customWidth="1"/>
    <col min="26" max="26" width="17.453125" style="7" customWidth="1"/>
    <col min="27" max="27" width="15.453125" style="7" customWidth="1"/>
    <col min="28" max="28" width="2.54296875" customWidth="1"/>
    <col min="29" max="29" width="14.453125" bestFit="1" customWidth="1"/>
    <col min="30" max="30" width="36" bestFit="1" customWidth="1"/>
    <col min="31" max="31" width="14.453125" bestFit="1" customWidth="1"/>
    <col min="32" max="32" width="17.54296875" bestFit="1" customWidth="1"/>
    <col min="35" max="35" width="33.453125" bestFit="1" customWidth="1"/>
    <col min="36" max="36" width="21.54296875" bestFit="1" customWidth="1"/>
    <col min="37" max="41" width="21.453125" customWidth="1"/>
    <col min="46" max="46" width="32.453125" bestFit="1" customWidth="1"/>
    <col min="47" max="47" width="23.54296875" bestFit="1" customWidth="1"/>
    <col min="48" max="48" width="38.54296875" bestFit="1" customWidth="1"/>
    <col min="49" max="49" width="11" customWidth="1"/>
    <col min="50" max="50" width="12.453125" customWidth="1"/>
    <col min="51" max="51" width="62.54296875" customWidth="1"/>
    <col min="53" max="53" width="17.453125" customWidth="1"/>
    <col min="54" max="54" width="20.54296875" customWidth="1"/>
    <col min="55" max="55" width="12.453125" customWidth="1"/>
    <col min="56" max="57" width="11.453125" customWidth="1"/>
    <col min="59" max="59" width="17.453125" customWidth="1"/>
    <col min="60" max="60" width="20.54296875" customWidth="1"/>
    <col min="65" max="65" width="17.453125" customWidth="1"/>
    <col min="66" max="66" width="30.54296875" customWidth="1"/>
    <col min="67" max="68" width="11.54296875" customWidth="1"/>
    <col min="69" max="69" width="34.54296875" customWidth="1"/>
    <col min="71" max="71" width="17.453125" customWidth="1"/>
    <col min="72" max="72" width="20.54296875" customWidth="1"/>
    <col min="73" max="75" width="11.54296875" customWidth="1"/>
    <col min="77" max="77" width="17.453125" customWidth="1"/>
    <col min="78" max="78" width="20.54296875" customWidth="1"/>
    <col min="79" max="79" width="11.54296875" customWidth="1"/>
    <col min="87" max="87" width="33.54296875" customWidth="1"/>
    <col min="88" max="88" width="53.453125" bestFit="1" customWidth="1"/>
    <col min="89" max="89" width="50.453125" customWidth="1"/>
    <col min="90" max="90" width="50.54296875" bestFit="1" customWidth="1"/>
    <col min="91" max="91" width="30.54296875" bestFit="1" customWidth="1"/>
    <col min="92" max="92" width="31.453125" customWidth="1"/>
    <col min="93" max="93" width="45.54296875" bestFit="1" customWidth="1"/>
  </cols>
  <sheetData>
    <row r="4" spans="5:93" ht="17.899999999999999" customHeight="1">
      <c r="P4" t="s">
        <v>4173</v>
      </c>
      <c r="Z4" s="216" t="s">
        <v>4174</v>
      </c>
      <c r="AA4" s="216"/>
      <c r="AI4" s="217" t="str">
        <f>IFERROR(HLOOKUP('Gen Info'!AM2,AJ4:AO5,1,FALSE)&amp;"_Docs","Out of range")</f>
        <v>Out of range</v>
      </c>
      <c r="AJ4" s="218" t="s">
        <v>4175</v>
      </c>
      <c r="AK4" s="218" t="s">
        <v>4176</v>
      </c>
      <c r="AL4" s="218" t="s">
        <v>4177</v>
      </c>
      <c r="AM4" s="218" t="s">
        <v>4178</v>
      </c>
      <c r="AN4" s="218" t="s">
        <v>4179</v>
      </c>
      <c r="AO4" s="218" t="s">
        <v>4180</v>
      </c>
      <c r="AT4" s="9" t="str">
        <f>'Gen Info'!$AM$2&amp;"_DocsQ"</f>
        <v>No_DocsQ</v>
      </c>
      <c r="AU4" s="218" t="s">
        <v>4181</v>
      </c>
      <c r="AV4" s="218"/>
      <c r="BA4" s="218" t="s">
        <v>4182</v>
      </c>
      <c r="BB4" s="218"/>
      <c r="BG4" s="219" t="s">
        <v>4183</v>
      </c>
      <c r="BH4" s="219"/>
      <c r="BM4" s="218" t="s">
        <v>4184</v>
      </c>
      <c r="BN4" s="218"/>
      <c r="BO4" s="220"/>
      <c r="BP4" s="220"/>
      <c r="BQ4" s="220"/>
      <c r="BS4" t="s">
        <v>4185</v>
      </c>
      <c r="BT4" s="218"/>
      <c r="BY4" s="219" t="s">
        <v>4186</v>
      </c>
      <c r="BZ4" s="219"/>
    </row>
    <row r="5" spans="5:93" ht="17.899999999999999" customHeight="1" thickBot="1">
      <c r="E5" s="145"/>
      <c r="F5" s="145"/>
      <c r="G5" s="145"/>
      <c r="H5" s="145"/>
      <c r="I5" s="145"/>
      <c r="J5" s="145"/>
      <c r="K5" s="145"/>
      <c r="P5" s="221" t="s">
        <v>4187</v>
      </c>
      <c r="Q5" s="9" t="s">
        <v>4188</v>
      </c>
      <c r="R5" s="9" t="s">
        <v>4189</v>
      </c>
      <c r="T5" s="222" t="s">
        <v>26</v>
      </c>
      <c r="U5" s="223" t="s">
        <v>4190</v>
      </c>
      <c r="Z5" s="158" t="s">
        <v>4191</v>
      </c>
      <c r="AA5" s="158" t="s">
        <v>4192</v>
      </c>
      <c r="AC5" s="224" t="s">
        <v>4193</v>
      </c>
      <c r="AD5" s="224" t="s">
        <v>26</v>
      </c>
      <c r="AE5" s="224" t="s">
        <v>3476</v>
      </c>
      <c r="AF5" s="224" t="s">
        <v>4194</v>
      </c>
      <c r="AI5" s="225" t="str">
        <f>IFERROR(HLOOKUP('Gen Info'!AM2,AJ4:AO5,2,FALSE),"Out of range")</f>
        <v>Out of range</v>
      </c>
      <c r="AJ5" s="7">
        <f t="shared" ref="AJ5:AO5" si="0">COUNTA(AJ6:AJ20)</f>
        <v>5</v>
      </c>
      <c r="AK5" s="7">
        <f t="shared" si="0"/>
        <v>6</v>
      </c>
      <c r="AL5" s="7">
        <f t="shared" si="0"/>
        <v>5</v>
      </c>
      <c r="AM5" s="7">
        <f t="shared" si="0"/>
        <v>6</v>
      </c>
      <c r="AN5" s="7">
        <f t="shared" si="0"/>
        <v>0</v>
      </c>
      <c r="AO5" s="7">
        <f t="shared" si="0"/>
        <v>0</v>
      </c>
      <c r="AR5" t="s">
        <v>4195</v>
      </c>
      <c r="AU5" s="144" t="s">
        <v>4196</v>
      </c>
      <c r="AV5" s="144" t="s">
        <v>4197</v>
      </c>
      <c r="AW5" s="144" t="s">
        <v>4198</v>
      </c>
      <c r="AX5" s="144" t="s">
        <v>4199</v>
      </c>
      <c r="AY5" s="144" t="s">
        <v>49</v>
      </c>
      <c r="BA5" t="s">
        <v>4196</v>
      </c>
      <c r="BB5" t="s">
        <v>4197</v>
      </c>
      <c r="BC5" t="s">
        <v>4198</v>
      </c>
      <c r="BD5" t="s">
        <v>4199</v>
      </c>
      <c r="BE5" t="s">
        <v>49</v>
      </c>
      <c r="BG5" t="s">
        <v>4196</v>
      </c>
      <c r="BH5" t="s">
        <v>4197</v>
      </c>
      <c r="BI5" t="s">
        <v>4198</v>
      </c>
      <c r="BJ5" t="s">
        <v>4199</v>
      </c>
      <c r="BK5" t="s">
        <v>49</v>
      </c>
      <c r="BM5" t="s">
        <v>4196</v>
      </c>
      <c r="BN5" t="s">
        <v>4197</v>
      </c>
      <c r="BO5" t="s">
        <v>4198</v>
      </c>
      <c r="BP5" t="s">
        <v>4199</v>
      </c>
      <c r="BQ5" t="s">
        <v>49</v>
      </c>
      <c r="BS5" t="s">
        <v>4196</v>
      </c>
      <c r="BT5" t="s">
        <v>4197</v>
      </c>
      <c r="BU5" t="s">
        <v>4198</v>
      </c>
      <c r="BV5" t="s">
        <v>4199</v>
      </c>
      <c r="BW5" t="s">
        <v>49</v>
      </c>
      <c r="BY5" s="226" t="s">
        <v>4196</v>
      </c>
      <c r="BZ5" s="227" t="s">
        <v>4197</v>
      </c>
      <c r="CA5" s="228" t="s">
        <v>4198</v>
      </c>
      <c r="CB5" s="227" t="s">
        <v>4199</v>
      </c>
      <c r="CC5" s="227" t="s">
        <v>49</v>
      </c>
      <c r="CI5" t="s">
        <v>26</v>
      </c>
      <c r="CJ5" t="s">
        <v>3492</v>
      </c>
      <c r="CK5" t="s">
        <v>3484</v>
      </c>
      <c r="CL5" t="s">
        <v>3499</v>
      </c>
      <c r="CM5" t="s">
        <v>3531</v>
      </c>
      <c r="CN5" t="s">
        <v>2178</v>
      </c>
      <c r="CO5" t="s">
        <v>3541</v>
      </c>
    </row>
    <row r="6" spans="5:93" ht="15" thickBot="1">
      <c r="E6" s="229"/>
      <c r="F6" s="176"/>
      <c r="G6" s="176"/>
      <c r="H6" s="176"/>
      <c r="I6" s="176"/>
      <c r="J6" s="230"/>
      <c r="K6" s="176"/>
      <c r="P6" s="221" t="s">
        <v>4200</v>
      </c>
      <c r="Q6" s="9" t="str">
        <f>"Compliance Review Findings Letter - "&amp;"Replace_AgentName_Here "&amp;"(Replace_AgentAccountIDs_Here)"</f>
        <v>Compliance Review Findings Letter - Replace_AgentName_Here (Replace_AgentAccountIDs_Here)</v>
      </c>
      <c r="R6" s="9" t="str">
        <f>"Compliance Review Findings Letter - "&amp;"Replace_AgentName_Here "&amp;"(Replace_AgentAccountIDs_Here)"</f>
        <v>Compliance Review Findings Letter - Replace_AgentName_Here (Replace_AgentAccountIDs_Here)</v>
      </c>
      <c r="T6" s="231" t="s">
        <v>2581</v>
      </c>
      <c r="U6" s="232" t="s">
        <v>2581</v>
      </c>
      <c r="Z6" s="233">
        <f>'Gen Info'!$C$1</f>
        <v>45327.395833333336</v>
      </c>
      <c r="AA6" s="234">
        <v>45327.395833333336</v>
      </c>
      <c r="AC6" s="70" t="s">
        <v>4075</v>
      </c>
      <c r="AD6" s="70" t="s">
        <v>2581</v>
      </c>
      <c r="AE6" s="70" t="s">
        <v>4201</v>
      </c>
      <c r="AF6" s="70" t="s">
        <v>4202</v>
      </c>
      <c r="AJ6" s="235" t="s">
        <v>4203</v>
      </c>
      <c r="AK6" s="235" t="s">
        <v>4203</v>
      </c>
      <c r="AL6" s="235" t="s">
        <v>4203</v>
      </c>
      <c r="AM6" s="235" t="s">
        <v>4204</v>
      </c>
      <c r="AN6" s="235"/>
      <c r="AO6" s="236"/>
      <c r="AR6" t="s">
        <v>4205</v>
      </c>
      <c r="AU6" t="s">
        <v>711</v>
      </c>
      <c r="AV6" t="s">
        <v>4206</v>
      </c>
      <c r="AW6" t="str">
        <f>IFERROR(IF(('Gen Info'!$AM$2)&amp;"_DocsQ"=$AU$4,IF(VLOOKUP(IndependentUnited_States_DocsQ[[#This Row],[iWatch Number]],'Gen Info'!$J$17:$M$50,4,FALSE)=0,"",VLOOKUP(IndependentUnited_States_DocsQ[[#This Row],[iWatch Number]],'Gen Info'!$J$17:$M$50,4,FALSE)),""),"")</f>
        <v/>
      </c>
      <c r="AX6" t="str">
        <f ca="1">IFERROR("_"&amp;VLOOKUP(IndependentUnited_States_DocsQ[[#This Row],[iWatch Number]],INDIRECT('Gen Info'!$D$4),3,FALSE),"_"&amp;VLOOKUP(IndependentUnited_States_DocsQ[[#This Row],[iWatch Number]],INDIRECT('Gen Info'!$D$4&amp;"_"&amp;'Gen Info'!$E$4),3,FALSE))</f>
        <v>_2</v>
      </c>
      <c r="AY6" t="str">
        <f ca="1">IFERROR(VLOOKUP(IndependentUnited_States_DocsQ[[#This Row],[iWatch Number]],INDIRECT('Gen Info'!$D$4),2,FALSE),VLOOKUP(IndependentUnited_States_DocsQ[[#This Row],[iWatch Number]],INDIRECT('Gen Info'!$D$4&amp;"_"&amp;'Gen Info'!$E$4),2,FALSE))</f>
        <v>Can FLAs demonstrate that they have been properly trained by describing AML and CFT compliance characteristics?</v>
      </c>
      <c r="BA6" t="s">
        <v>711</v>
      </c>
      <c r="BB6" t="s">
        <v>4206</v>
      </c>
      <c r="BC6" t="str">
        <f>IFERROR(IF(('Gen Info'!$AM$2)&amp;"_DocsQ"=$BA$4,IF(VLOOKUP(IndependentCanada_DocsQ[[#This Row],[iWatch Number]],'Gen Info'!$J$17:$M$50,4,FALSE)=0,"",VLOOKUP(IndependentCanada_DocsQ[[#This Row],[iWatch Number]],'Gen Info'!$J$22:$M$50,4,FALSE)),""),"")</f>
        <v/>
      </c>
      <c r="BD6" t="str">
        <f ca="1">IFERROR("_"&amp;VLOOKUP(IndependentCanada_DocsQ[[#This Row],[iWatch Number]],INDIRECT('Gen Info'!$D$4),3,FALSE),"_"&amp;VLOOKUP(IndependentCanada_DocsQ[[#This Row],[iWatch Number]],INDIRECT('Gen Info'!$D$4&amp;"_"&amp;'Gen Info'!$E$4),3,FALSE))</f>
        <v>_2</v>
      </c>
      <c r="BE6" t="str">
        <f ca="1">IFERROR(VLOOKUP(IndependentCanada_DocsQ[[#This Row],[iWatch Number]],INDIRECT('Gen Info'!$D$4),2,FALSE),VLOOKUP(IndependentCanada_DocsQ[[#This Row],[iWatch Number]],INDIRECT('Gen Info'!$D$4&amp;"_"&amp;'Gen Info'!$E$4),2,FALSE))</f>
        <v>Can FLAs demonstrate that they have been properly trained by describing AML and CFT compliance characteristics?</v>
      </c>
      <c r="BG6" t="s">
        <v>711</v>
      </c>
      <c r="BH6" t="s">
        <v>4206</v>
      </c>
      <c r="BI6" t="str">
        <f>IFERROR(IF(('Gen Info'!$AM$2)&amp;"_DocsQ"=$BG$4,IF(VLOOKUP(IndependentAustralia_DocsQ[[#This Row],[iWatch Number]],'Gen Info'!$J$17:$M$50,4,FALSE)=0,"",VLOOKUP(IndependentAustralia_DocsQ[[#This Row],[iWatch Number]],'Gen Info'!$J$17:$M$50,4,FALSE)),""),"")</f>
        <v/>
      </c>
      <c r="BJ6" t="str">
        <f ca="1">IFERROR("_"&amp;VLOOKUP(IndependentAustralia_DocsQ[[#This Row],[iWatch Number]],INDIRECT('Gen Info'!$D$4),3,FALSE),"_"&amp;VLOOKUP(IndependentAustralia_DocsQ[[#This Row],[iWatch Number]],INDIRECT('Gen Info'!$D$4&amp;"_"&amp;'Gen Info'!$E$4),3,FALSE))</f>
        <v>_2</v>
      </c>
      <c r="BK6" t="str">
        <f ca="1">IFERROR(VLOOKUP(IndependentAustralia_DocsQ[[#This Row],[iWatch Number]],INDIRECT('Gen Info'!$D$4),2,FALSE),VLOOKUP(IndependentAustralia_DocsQ[[#This Row],[iWatch Number]],INDIRECT('Gen Info'!$D$4&amp;"_"&amp;'Gen Info'!$E$4),2,FALSE))</f>
        <v>Can FLAs demonstrate that they have been properly trained by describing AML and CFT compliance characteristics?</v>
      </c>
      <c r="BM6" t="s">
        <v>661</v>
      </c>
      <c r="BN6" t="s">
        <v>4207</v>
      </c>
      <c r="BO6" t="str">
        <f>IF(('Gen Info'!$AM$2)&amp;"_DocsQ"=$BM$4,IF(VLOOKUP(Master_Agent_HQsUnited_States_DocsQ[[#This Row],[iWatch Number]],'Gen Info'!$J$17:$M$50,4,FALSE)=0,"",VLOOKUP(Master_Agent_HQsUnited_States_DocsQ[[#This Row],[iWatch Number]],'Gen Info'!$J$17:$M$50,4,FALSE)),"")</f>
        <v/>
      </c>
      <c r="BP6" t="str">
        <f ca="1">IFERROR("_"&amp;VLOOKUP(Master_Agent_HQsUnited_States_DocsQ[[#This Row],[iWatch Number]],INDIRECT('Gen Info'!$D$4),3,FALSE),"_"&amp;VLOOKUP(Master_Agent_HQsUnited_States_DocsQ[[#This Row],[iWatch Number]],INDIRECT('Gen Info'!$D$4&amp;"_"&amp;'Gen Info'!$E$4),3,FALSE))</f>
        <v>_2</v>
      </c>
      <c r="BQ6" t="str">
        <f ca="1">IFERROR(VLOOKUP(Master_Agent_HQsUnited_States_DocsQ[[#This Row],[iWatch Number]],INDIRECT('Gen Info'!$D$4),2,FALSE),VLOOKUP(Master_Agent_HQsUnited_States_DocsQ[[#This Row],[iWatch Number]],INDIRECT('Gen Info'!$D$4&amp;"_"&amp;'Gen Info'!$E$4),2,FALSE))</f>
        <v>Are the location name, address, and telephone number stored in Western Union ("WU") systems accurate?</v>
      </c>
      <c r="BR6" t="s">
        <v>42</v>
      </c>
      <c r="BS6" t="s">
        <v>661</v>
      </c>
      <c r="BT6" t="s">
        <v>4207</v>
      </c>
      <c r="BU6" t="str">
        <f>IFERROR(IF(('Gen Info'!$AM$2)&amp;"_DocsQ"=$BS$4,IF(VLOOKUP(Master_Agent_HQsMalaysia_DocsQ[[#This Row],[iWatch Number]],'Gen Info'!$J$17:$M$50,4,FALSE)=0,"",VLOOKUP(Master_Agent_HQsMalaysia_DocsQ[[#This Row],[iWatch Number]],'Gen Info'!$J$17:$M$50,4,FALSE)),""),"")</f>
        <v/>
      </c>
      <c r="BV6" t="str">
        <f ca="1">IFERROR("_"&amp;VLOOKUP(Master_Agent_HQsMalaysia_DocsQ[[#This Row],[iWatch Number]],INDIRECT('Gen Info'!$D$4),3,FALSE),"_"&amp;VLOOKUP(Master_Agent_HQsMalaysia_DocsQ[[#This Row],[iWatch Number]],INDIRECT('Gen Info'!$D$4&amp;"_"&amp;'Gen Info'!$E$4),3,FALSE))</f>
        <v>_2</v>
      </c>
      <c r="BW6" t="str">
        <f ca="1">IFERROR(VLOOKUP(Master_Agent_HQsMalaysia_DocsQ[[#This Row],[iWatch Number]],INDIRECT('Gen Info'!$D$4),2,FALSE),VLOOKUP(Master_Agent_HQsMalaysia_DocsQ[[#This Row],[iWatch Number]],INDIRECT('Gen Info'!$D$4&amp;"_"&amp;'Gen Info'!$E$4),2,FALSE))</f>
        <v>Are the location name, address, and telephone number stored in Western Union ("WU") systems accurate?</v>
      </c>
      <c r="BY6" t="s">
        <v>661</v>
      </c>
      <c r="BZ6" t="s">
        <v>4207</v>
      </c>
      <c r="CA6" t="str">
        <f>IFERROR(IF(('Gen Info'!$AM$2)&amp;"_DocsQ"=$BY$4,IF(VLOOKUP(Master_Agent_HQsCanada_DocsQ[[#This Row],[iWatch Number]],'Gen Info'!$J$17:$M$50,4,FALSE)=0,"",VLOOKUP(Master_Agent_HQsCanada_DocsQ[[#This Row],[iWatch Number]],'Gen Info'!$J$17:$M$50,4,FALSE)),""),"")</f>
        <v/>
      </c>
      <c r="CB6" t="str">
        <f ca="1">IFERROR("_"&amp;VLOOKUP(Master_Agent_HQsCanada_DocsQ[[#This Row],[iWatch Number]],INDIRECT('Gen Info'!$D$4),3,FALSE),"_"&amp;VLOOKUP(Master_Agent_HQsCanada_DocsQ[[#This Row],[iWatch Number]],INDIRECT('Gen Info'!$D$4&amp;"_"&amp;'Gen Info'!$E$4),3,FALSE))</f>
        <v>_2</v>
      </c>
      <c r="CC6" t="str">
        <f ca="1">IFERROR(VLOOKUP(Master_Agent_HQsCanada_DocsQ[[#This Row],[iWatch Number]],INDIRECT('Gen Info'!$D$4),2,FALSE),VLOOKUP(Master_Agent_HQsCanada_DocsQ[[#This Row],[iWatch Number]],INDIRECT('Gen Info'!$D$4&amp;"_"&amp;'Gen Info'!$E$4),2,FALSE))</f>
        <v>Are the location name, address, and telephone number stored in Western Union ("WU") systems accurate?</v>
      </c>
      <c r="CI6" t="s">
        <v>2581</v>
      </c>
      <c r="CJ6" t="s">
        <v>4208</v>
      </c>
      <c r="CK6" t="s">
        <v>4209</v>
      </c>
      <c r="CL6" t="s">
        <v>4210</v>
      </c>
      <c r="CM6" t="s">
        <v>4211</v>
      </c>
      <c r="CN6" t="s">
        <v>4212</v>
      </c>
      <c r="CO6" t="s">
        <v>4210</v>
      </c>
    </row>
    <row r="7" spans="5:93" ht="14.5">
      <c r="E7" s="229"/>
      <c r="F7" s="176"/>
      <c r="G7" s="176"/>
      <c r="H7" s="176"/>
      <c r="I7" s="176"/>
      <c r="J7" s="237"/>
      <c r="K7" s="176"/>
      <c r="T7" s="231" t="s">
        <v>3500</v>
      </c>
      <c r="U7" s="232" t="s">
        <v>3500</v>
      </c>
      <c r="AA7" s="238"/>
      <c r="AC7" s="70" t="s">
        <v>4111</v>
      </c>
      <c r="AD7" s="70" t="s">
        <v>2281</v>
      </c>
      <c r="AE7" s="70" t="s">
        <v>4201</v>
      </c>
      <c r="AF7" s="70" t="s">
        <v>4202</v>
      </c>
      <c r="AJ7" s="235" t="s">
        <v>4213</v>
      </c>
      <c r="AK7" s="235" t="s">
        <v>4213</v>
      </c>
      <c r="AL7" s="235" t="s">
        <v>4214</v>
      </c>
      <c r="AM7" s="235" t="s">
        <v>4203</v>
      </c>
      <c r="AN7" s="235"/>
      <c r="AO7" s="236"/>
      <c r="AR7" t="s">
        <v>60</v>
      </c>
      <c r="AU7" t="s">
        <v>761</v>
      </c>
      <c r="AV7" t="s">
        <v>4215</v>
      </c>
      <c r="AW7" t="str">
        <f>IFERROR(IF(('Gen Info'!$AM$2)&amp;"_DocsQ"=$AU$4,IF(VLOOKUP(IndependentUnited_States_DocsQ[[#This Row],[iWatch Number]],'Gen Info'!$J$17:$M$50,4,FALSE)=0,"",VLOOKUP(IndependentUnited_States_DocsQ[[#This Row],[iWatch Number]],'Gen Info'!$J$17:$M$50,4,FALSE)),""),"")</f>
        <v/>
      </c>
      <c r="AX7" t="str">
        <f ca="1">IFERROR("_"&amp;VLOOKUP(IndependentUnited_States_DocsQ[[#This Row],[iWatch Number]],INDIRECT('Gen Info'!$D$4),3,FALSE),"_"&amp;VLOOKUP(IndependentUnited_States_DocsQ[[#This Row],[iWatch Number]],INDIRECT('Gen Info'!$D$4&amp;"_"&amp;'Gen Info'!$E$4),3,FALSE))</f>
        <v>_2</v>
      </c>
      <c r="AY7" t="str">
        <f ca="1">IFERROR(VLOOKUP(IndependentUnited_States_DocsQ[[#This Row],[iWatch Number]],INDIRECT('Gen Info'!$D$4),2,FALSE),VLOOKUP(IndependentUnited_States_DocsQ[[#This Row],[iWatch Number]],INDIRECT('Gen Info'!$D$4&amp;"_"&amp;'Gen Info'!$E$4),2,FALSE))</f>
        <v xml:space="preserve">FLA INTERVIEW: Is the FLA(s)  able to explain the actions that should be taken with regard to Agent Fraud related activity? </v>
      </c>
      <c r="BA7" t="s">
        <v>761</v>
      </c>
      <c r="BB7" t="s">
        <v>4215</v>
      </c>
      <c r="BC7" t="str">
        <f>IFERROR(IF(('Gen Info'!$AM$2)&amp;"_DocsQ"=$BA$4,IF(VLOOKUP(IndependentCanada_DocsQ[[#This Row],[iWatch Number]],'Gen Info'!$J$17:$M$50,4,FALSE)=0,"",VLOOKUP(IndependentCanada_DocsQ[[#This Row],[iWatch Number]],'Gen Info'!$J$22:$M$50,4,FALSE)),""),"")</f>
        <v/>
      </c>
      <c r="BD7" t="str">
        <f ca="1">IFERROR("_"&amp;VLOOKUP(IndependentCanada_DocsQ[[#This Row],[iWatch Number]],INDIRECT('Gen Info'!$D$4),3,FALSE),"_"&amp;VLOOKUP(IndependentCanada_DocsQ[[#This Row],[iWatch Number]],INDIRECT('Gen Info'!$D$4&amp;"_"&amp;'Gen Info'!$E$4),3,FALSE))</f>
        <v>_2</v>
      </c>
      <c r="BE7" t="str">
        <f ca="1">IFERROR(VLOOKUP(IndependentCanada_DocsQ[[#This Row],[iWatch Number]],INDIRECT('Gen Info'!$D$4),2,FALSE),VLOOKUP(IndependentCanada_DocsQ[[#This Row],[iWatch Number]],INDIRECT('Gen Info'!$D$4&amp;"_"&amp;'Gen Info'!$E$4),2,FALSE))</f>
        <v xml:space="preserve">FLA INTERVIEW: Is the FLA(s)  able to explain the actions that should be taken with regard to Agent Fraud related activity? </v>
      </c>
      <c r="BG7" t="s">
        <v>761</v>
      </c>
      <c r="BH7" t="s">
        <v>4215</v>
      </c>
      <c r="BI7" t="str">
        <f>IFERROR(IF(('Gen Info'!$AM$2)&amp;"_DocsQ"=$BG$4,IF(VLOOKUP(IndependentAustralia_DocsQ[[#This Row],[iWatch Number]],'Gen Info'!$J$17:$M$50,4,FALSE)=0,"",VLOOKUP(IndependentAustralia_DocsQ[[#This Row],[iWatch Number]],'Gen Info'!$J$17:$M$50,4,FALSE)),""),"")</f>
        <v/>
      </c>
      <c r="BJ7" t="str">
        <f ca="1">IFERROR("_"&amp;VLOOKUP(IndependentAustralia_DocsQ[[#This Row],[iWatch Number]],INDIRECT('Gen Info'!$D$4),3,FALSE),"_"&amp;VLOOKUP(IndependentAustralia_DocsQ[[#This Row],[iWatch Number]],INDIRECT('Gen Info'!$D$4&amp;"_"&amp;'Gen Info'!$E$4),3,FALSE))</f>
        <v>_2</v>
      </c>
      <c r="BK7" t="str">
        <f ca="1">IFERROR(VLOOKUP(IndependentAustralia_DocsQ[[#This Row],[iWatch Number]],INDIRECT('Gen Info'!$D$4),2,FALSE),VLOOKUP(IndependentAustralia_DocsQ[[#This Row],[iWatch Number]],INDIRECT('Gen Info'!$D$4&amp;"_"&amp;'Gen Info'!$E$4),2,FALSE))</f>
        <v xml:space="preserve">FLA INTERVIEW: Is the FLA(s)  able to explain the actions that should be taken with regard to Agent Fraud related activity? </v>
      </c>
      <c r="BM7" t="s">
        <v>711</v>
      </c>
      <c r="BN7" t="s">
        <v>4216</v>
      </c>
      <c r="BO7" t="str">
        <f>IF(('Gen Info'!$AM$2)&amp;"_DocsQ"=$BM$4,IF(VLOOKUP(Master_Agent_HQsUnited_States_DocsQ[[#This Row],[iWatch Number]],'Gen Info'!$J$17:$M$50,4,FALSE)=0,"",VLOOKUP(Master_Agent_HQsUnited_States_DocsQ[[#This Row],[iWatch Number]],'Gen Info'!$J$17:$M$50,4,FALSE)),"")</f>
        <v/>
      </c>
      <c r="BP7" t="str">
        <f ca="1">IFERROR("_"&amp;VLOOKUP(Master_Agent_HQsUnited_States_DocsQ[[#This Row],[iWatch Number]],INDIRECT('Gen Info'!$D$4),3,FALSE),"_"&amp;VLOOKUP(Master_Agent_HQsUnited_States_DocsQ[[#This Row],[iWatch Number]],INDIRECT('Gen Info'!$D$4&amp;"_"&amp;'Gen Info'!$E$4),3,FALSE))</f>
        <v>_2</v>
      </c>
      <c r="BQ7" t="str">
        <f ca="1">IFERROR(VLOOKUP(Master_Agent_HQsUnited_States_DocsQ[[#This Row],[iWatch Number]],INDIRECT('Gen Info'!$D$4),2,FALSE),VLOOKUP(Master_Agent_HQsUnited_States_DocsQ[[#This Row],[iWatch Number]],INDIRECT('Gen Info'!$D$4&amp;"_"&amp;'Gen Info'!$E$4),2,FALSE))</f>
        <v>Can FLAs demonstrate that they have been properly trained by describing AML and CFT compliance characteristics?</v>
      </c>
      <c r="BR7" t="s">
        <v>42</v>
      </c>
      <c r="BS7" t="s">
        <v>711</v>
      </c>
      <c r="BT7" t="s">
        <v>4216</v>
      </c>
      <c r="BU7" t="str">
        <f>IFERROR(IF(('Gen Info'!$AM$2)&amp;"_DocsQ"=$BS$4,IF(VLOOKUP(Master_Agent_HQsMalaysia_DocsQ[[#This Row],[iWatch Number]],'Gen Info'!$J$17:$M$50,4,FALSE)=0,"",VLOOKUP(Master_Agent_HQsMalaysia_DocsQ[[#This Row],[iWatch Number]],'Gen Info'!$J$17:$M$50,4,FALSE)),""),"")</f>
        <v/>
      </c>
      <c r="BV7" t="str">
        <f ca="1">IFERROR("_"&amp;VLOOKUP(Master_Agent_HQsMalaysia_DocsQ[[#This Row],[iWatch Number]],INDIRECT('Gen Info'!$D$4),3,FALSE),"_"&amp;VLOOKUP(Master_Agent_HQsMalaysia_DocsQ[[#This Row],[iWatch Number]],INDIRECT('Gen Info'!$D$4&amp;"_"&amp;'Gen Info'!$E$4),3,FALSE))</f>
        <v>_2</v>
      </c>
      <c r="BW7" t="str">
        <f ca="1">IFERROR(VLOOKUP(Master_Agent_HQsMalaysia_DocsQ[[#This Row],[iWatch Number]],INDIRECT('Gen Info'!$D$4),2,FALSE),VLOOKUP(Master_Agent_HQsMalaysia_DocsQ[[#This Row],[iWatch Number]],INDIRECT('Gen Info'!$D$4&amp;"_"&amp;'Gen Info'!$E$4),2,FALSE))</f>
        <v>Can FLAs demonstrate that they have been properly trained by describing AML and CFT compliance characteristics?</v>
      </c>
      <c r="BY7" t="s">
        <v>711</v>
      </c>
      <c r="BZ7" t="s">
        <v>4216</v>
      </c>
      <c r="CA7" t="str">
        <f>IFERROR(IF(('Gen Info'!$AM$2)&amp;"_DocsQ"=$BY$4,IF(VLOOKUP(Master_Agent_HQsCanada_DocsQ[[#This Row],[iWatch Number]],'Gen Info'!$J$17:$M$50,4,FALSE)=0,"",VLOOKUP(Master_Agent_HQsCanada_DocsQ[[#This Row],[iWatch Number]],'Gen Info'!$J$17:$M$50,4,FALSE)),""),"")</f>
        <v/>
      </c>
      <c r="CB7" t="str">
        <f ca="1">IFERROR("_"&amp;VLOOKUP(Master_Agent_HQsCanada_DocsQ[[#This Row],[iWatch Number]],INDIRECT('Gen Info'!$D$4),3,FALSE),"_"&amp;VLOOKUP(Master_Agent_HQsCanada_DocsQ[[#This Row],[iWatch Number]],INDIRECT('Gen Info'!$D$4&amp;"_"&amp;'Gen Info'!$E$4),3,FALSE))</f>
        <v>_2</v>
      </c>
      <c r="CC7" t="str">
        <f ca="1">IFERROR(VLOOKUP(Master_Agent_HQsCanada_DocsQ[[#This Row],[iWatch Number]],INDIRECT('Gen Info'!$D$4),2,FALSE),VLOOKUP(Master_Agent_HQsCanada_DocsQ[[#This Row],[iWatch Number]],INDIRECT('Gen Info'!$D$4&amp;"_"&amp;'Gen Info'!$E$4),2,FALSE))</f>
        <v>Can FLAs demonstrate that they have been properly trained by describing AML and CFT compliance characteristics?</v>
      </c>
      <c r="CI7" t="s">
        <v>2281</v>
      </c>
      <c r="CJ7" t="s">
        <v>4217</v>
      </c>
      <c r="CK7" t="s">
        <v>4218</v>
      </c>
      <c r="CL7" t="s">
        <v>4219</v>
      </c>
      <c r="CM7" s="9" t="s">
        <v>4220</v>
      </c>
      <c r="CN7" t="s">
        <v>4221</v>
      </c>
      <c r="CO7" t="s">
        <v>4222</v>
      </c>
    </row>
    <row r="8" spans="5:93" ht="14.5">
      <c r="E8" s="229"/>
      <c r="F8" s="176"/>
      <c r="G8" s="176"/>
      <c r="H8" s="176"/>
      <c r="I8" s="176"/>
      <c r="J8" s="237"/>
      <c r="K8" s="176"/>
      <c r="P8" t="s">
        <v>4223</v>
      </c>
      <c r="T8" s="231" t="s">
        <v>2281</v>
      </c>
      <c r="U8" s="232" t="s">
        <v>2281</v>
      </c>
      <c r="Z8" s="7" t="s">
        <v>4224</v>
      </c>
      <c r="AA8" s="238"/>
      <c r="AC8" s="70" t="s">
        <v>4225</v>
      </c>
      <c r="AD8" s="70" t="s">
        <v>3500</v>
      </c>
      <c r="AE8" s="70" t="s">
        <v>4201</v>
      </c>
      <c r="AF8" s="70" t="s">
        <v>4226</v>
      </c>
      <c r="AJ8" s="235" t="s">
        <v>4204</v>
      </c>
      <c r="AK8" s="235" t="s">
        <v>4214</v>
      </c>
      <c r="AL8" s="235" t="s">
        <v>168</v>
      </c>
      <c r="AM8" s="235" t="s">
        <v>4213</v>
      </c>
      <c r="AN8" s="235"/>
      <c r="AO8" s="236"/>
      <c r="AU8" t="s">
        <v>797</v>
      </c>
      <c r="AV8" t="s">
        <v>4216</v>
      </c>
      <c r="AW8" t="str">
        <f>IFERROR(IF(('Gen Info'!$AM$2)&amp;"_DocsQ"=$AU$4,IF(VLOOKUP(IndependentUnited_States_DocsQ[[#This Row],[iWatch Number]],'Gen Info'!$J$17:$M$50,4,FALSE)=0,"",VLOOKUP(IndependentUnited_States_DocsQ[[#This Row],[iWatch Number]],'Gen Info'!$J$17:$M$50,4,FALSE)),""),"")</f>
        <v/>
      </c>
      <c r="AX8" t="str">
        <f ca="1">IFERROR("_"&amp;VLOOKUP(IndependentUnited_States_DocsQ[[#This Row],[iWatch Number]],INDIRECT('Gen Info'!$D$4),3,FALSE),"_"&amp;VLOOKUP(IndependentUnited_States_DocsQ[[#This Row],[iWatch Number]],INDIRECT('Gen Info'!$D$4&amp;"_"&amp;'Gen Info'!$E$4),3,FALSE))</f>
        <v>_3</v>
      </c>
      <c r="AY8" t="str">
        <f ca="1">IFERROR(VLOOKUP(IndependentUnited_States_DocsQ[[#This Row],[iWatch Number]],INDIRECT('Gen Info'!$D$4),2,FALSE),VLOOKUP(IndependentUnited_States_DocsQ[[#This Row],[iWatch Number]],INDIRECT('Gen Info'!$D$4&amp;"_"&amp;'Gen Info'!$E$4),2,FALSE))</f>
        <v xml:space="preserve">During pre-work, does a review of  transactions show no or minimal Data integrity issues including invalid, illegible, incomplete, missing, or conflicting biographical data for consumers or recipients of money transfers (Specifically: Names, Addresses, Telephone numbers and identifications)? </v>
      </c>
      <c r="BA8" t="s">
        <v>797</v>
      </c>
      <c r="BB8" t="s">
        <v>4216</v>
      </c>
      <c r="BC8" t="str">
        <f>IFERROR(IF(('Gen Info'!$AM$2)&amp;"_DocsQ"=$BA$4,IF(VLOOKUP(IndependentCanada_DocsQ[[#This Row],[iWatch Number]],'Gen Info'!$J$17:$M$50,4,FALSE)=0,"",VLOOKUP(IndependentCanada_DocsQ[[#This Row],[iWatch Number]],'Gen Info'!$J$22:$M$50,4,FALSE)),""),"")</f>
        <v/>
      </c>
      <c r="BD8" t="str">
        <f ca="1">IFERROR("_"&amp;VLOOKUP(IndependentCanada_DocsQ[[#This Row],[iWatch Number]],INDIRECT('Gen Info'!$D$4),3,FALSE),"_"&amp;VLOOKUP(IndependentCanada_DocsQ[[#This Row],[iWatch Number]],INDIRECT('Gen Info'!$D$4&amp;"_"&amp;'Gen Info'!$E$4),3,FALSE))</f>
        <v>_3</v>
      </c>
      <c r="BE8" t="str">
        <f ca="1">IFERROR(VLOOKUP(IndependentCanada_DocsQ[[#This Row],[iWatch Number]],INDIRECT('Gen Info'!$D$4),2,FALSE),VLOOKUP(IndependentCanada_DocsQ[[#This Row],[iWatch Number]],INDIRECT('Gen Info'!$D$4&amp;"_"&amp;'Gen Info'!$E$4),2,FALSE))</f>
        <v xml:space="preserve">During pre-work, does a review of  transactions show no or minimal Data integrity issues including invalid, illegible, incomplete, missing, or conflicting biographical data for consumers or recipients of money transfers (Specifically: Names, Addresses, Telephone numbers and identifications)? </v>
      </c>
      <c r="BF8" t="s">
        <v>42</v>
      </c>
      <c r="BG8" t="s">
        <v>797</v>
      </c>
      <c r="BH8" t="s">
        <v>4216</v>
      </c>
      <c r="BI8" t="str">
        <f>IFERROR(IF(('Gen Info'!$AM$2)&amp;"_DocsQ"=$BG$4,IF(VLOOKUP(IndependentAustralia_DocsQ[[#This Row],[iWatch Number]],'Gen Info'!$J$17:$M$50,4,FALSE)=0,"",VLOOKUP(IndependentAustralia_DocsQ[[#This Row],[iWatch Number]],'Gen Info'!$J$17:$M$50,4,FALSE)),""),"")</f>
        <v/>
      </c>
      <c r="BJ8" t="str">
        <f ca="1">IFERROR("_"&amp;VLOOKUP(IndependentAustralia_DocsQ[[#This Row],[iWatch Number]],INDIRECT('Gen Info'!$D$4),3,FALSE),"_"&amp;VLOOKUP(IndependentAustralia_DocsQ[[#This Row],[iWatch Number]],INDIRECT('Gen Info'!$D$4&amp;"_"&amp;'Gen Info'!$E$4),3,FALSE))</f>
        <v>_3</v>
      </c>
      <c r="BK8" t="str">
        <f ca="1">IFERROR(VLOOKUP(IndependentAustralia_DocsQ[[#This Row],[iWatch Number]],INDIRECT('Gen Info'!$D$4),2,FALSE),VLOOKUP(IndependentAustralia_DocsQ[[#This Row],[iWatch Number]],INDIRECT('Gen Info'!$D$4&amp;"_"&amp;'Gen Info'!$E$4),2,FALSE))</f>
        <v xml:space="preserve">During pre-work, does a review of  transactions show no or minimal Data integrity issues including invalid, illegible, incomplete, missing, or conflicting biographical data for consumers or recipients of money transfers (Specifically: Names, Addresses, Telephone numbers and identifications)? </v>
      </c>
      <c r="BM8" t="s">
        <v>723</v>
      </c>
      <c r="BN8" t="s">
        <v>4227</v>
      </c>
      <c r="BO8" t="str">
        <f>IF(('Gen Info'!$AM$2)&amp;"_DocsQ"=$BM$4,IF(VLOOKUP(Master_Agent_HQsUnited_States_DocsQ[[#This Row],[iWatch Number]],'Gen Info'!$J$17:$M$50,4,FALSE)=0,"",VLOOKUP(Master_Agent_HQsUnited_States_DocsQ[[#This Row],[iWatch Number]],'Gen Info'!$J$17:$M$50,4,FALSE)),"")</f>
        <v/>
      </c>
      <c r="BP8" t="str">
        <f ca="1">IFERROR("_"&amp;VLOOKUP(Master_Agent_HQsUnited_States_DocsQ[[#This Row],[iWatch Number]],INDIRECT('Gen Info'!$D$4),3,FALSE),"_"&amp;VLOOKUP(Master_Agent_HQsUnited_States_DocsQ[[#This Row],[iWatch Number]],INDIRECT('Gen Info'!$D$4&amp;"_"&amp;'Gen Info'!$E$4),3,FALSE))</f>
        <v>_2</v>
      </c>
      <c r="BQ8" t="str">
        <f ca="1">IFERROR(VLOOKUP(Master_Agent_HQsUnited_States_DocsQ[[#This Row],[iWatch Number]],INDIRECT('Gen Info'!$D$4),2,FALSE),VLOOKUP(Master_Agent_HQsUnited_States_DocsQ[[#This Row],[iWatch Number]],INDIRECT('Gen Info'!$D$4&amp;"_"&amp;'Gen Info'!$E$4),2,FALSE))</f>
        <v xml:space="preserve">FLA INTERVIEW: Can FLAs identify red flags that indicate a consumer may be involved in Suspicious Activity or transactions?
</v>
      </c>
      <c r="BR8" t="s">
        <v>42</v>
      </c>
      <c r="BS8" t="s">
        <v>723</v>
      </c>
      <c r="BT8" t="s">
        <v>4227</v>
      </c>
      <c r="BU8" t="str">
        <f>IFERROR(IF(('Gen Info'!$AM$2)&amp;"_DocsQ"=$BS$4,IF(VLOOKUP(Master_Agent_HQsMalaysia_DocsQ[[#This Row],[iWatch Number]],'Gen Info'!$J$17:$M$50,4,FALSE)=0,"",VLOOKUP(Master_Agent_HQsMalaysia_DocsQ[[#This Row],[iWatch Number]],'Gen Info'!$J$17:$M$50,4,FALSE)),""),"")</f>
        <v/>
      </c>
      <c r="BV8" t="str">
        <f ca="1">IFERROR("_"&amp;VLOOKUP(Master_Agent_HQsMalaysia_DocsQ[[#This Row],[iWatch Number]],INDIRECT('Gen Info'!$D$4),3,FALSE),"_"&amp;VLOOKUP(Master_Agent_HQsMalaysia_DocsQ[[#This Row],[iWatch Number]],INDIRECT('Gen Info'!$D$4&amp;"_"&amp;'Gen Info'!$E$4),3,FALSE))</f>
        <v>_2</v>
      </c>
      <c r="BW8" t="str">
        <f ca="1">IFERROR(VLOOKUP(Master_Agent_HQsMalaysia_DocsQ[[#This Row],[iWatch Number]],INDIRECT('Gen Info'!$D$4),2,FALSE),VLOOKUP(Master_Agent_HQsMalaysia_DocsQ[[#This Row],[iWatch Number]],INDIRECT('Gen Info'!$D$4&amp;"_"&amp;'Gen Info'!$E$4),2,FALSE))</f>
        <v xml:space="preserve">FLA INTERVIEW: Can FLAs identify red flags that indicate a consumer may be involved in Suspicious Activity or transactions?
</v>
      </c>
      <c r="BY8" t="s">
        <v>723</v>
      </c>
      <c r="BZ8" t="s">
        <v>4227</v>
      </c>
      <c r="CA8" t="str">
        <f>IFERROR(IF(('Gen Info'!$AM$2)&amp;"_DocsQ"=$BY$4,IF(VLOOKUP(Master_Agent_HQsCanada_DocsQ[[#This Row],[iWatch Number]],'Gen Info'!$J$17:$M$50,4,FALSE)=0,"",VLOOKUP(Master_Agent_HQsCanada_DocsQ[[#This Row],[iWatch Number]],'Gen Info'!$J$17:$M$50,4,FALSE)),""),"")</f>
        <v/>
      </c>
      <c r="CB8" t="str">
        <f ca="1">IFERROR("_"&amp;VLOOKUP(Master_Agent_HQsCanada_DocsQ[[#This Row],[iWatch Number]],INDIRECT('Gen Info'!$D$4),3,FALSE),"_"&amp;VLOOKUP(Master_Agent_HQsCanada_DocsQ[[#This Row],[iWatch Number]],INDIRECT('Gen Info'!$D$4&amp;"_"&amp;'Gen Info'!$E$4),3,FALSE))</f>
        <v>_2</v>
      </c>
      <c r="CC8" t="str">
        <f ca="1">IFERROR(VLOOKUP(Master_Agent_HQsCanada_DocsQ[[#This Row],[iWatch Number]],INDIRECT('Gen Info'!$D$4),2,FALSE),VLOOKUP(Master_Agent_HQsCanada_DocsQ[[#This Row],[iWatch Number]],INDIRECT('Gen Info'!$D$4&amp;"_"&amp;'Gen Info'!$E$4),2,FALSE))</f>
        <v xml:space="preserve">FLA INTERVIEW: Can FLAs identify red flags that indicate a consumer may be involved in Suspicious Activity or transactions?
</v>
      </c>
      <c r="CI8" t="s">
        <v>3500</v>
      </c>
      <c r="CJ8" t="s">
        <v>4220</v>
      </c>
      <c r="CK8" t="s">
        <v>4228</v>
      </c>
      <c r="CM8" t="s">
        <v>4220</v>
      </c>
      <c r="CN8" t="s">
        <v>4220</v>
      </c>
      <c r="CO8" t="s">
        <v>4220</v>
      </c>
    </row>
    <row r="9" spans="5:93" ht="14.5">
      <c r="E9" s="229"/>
      <c r="F9" s="176"/>
      <c r="G9" s="176"/>
      <c r="H9" s="176"/>
      <c r="I9" s="176"/>
      <c r="J9" s="237"/>
      <c r="K9" s="176"/>
      <c r="P9" s="221" t="s">
        <v>4187</v>
      </c>
      <c r="Q9" s="9" t="s">
        <v>4229</v>
      </c>
      <c r="R9" s="9" t="s">
        <v>4230</v>
      </c>
      <c r="T9" s="231" t="s">
        <v>3495</v>
      </c>
      <c r="U9" s="232" t="s">
        <v>4231</v>
      </c>
      <c r="AA9" s="238"/>
      <c r="AC9" s="70" t="s">
        <v>4232</v>
      </c>
      <c r="AD9" s="70" t="s">
        <v>4233</v>
      </c>
      <c r="AE9" s="70" t="s">
        <v>4201</v>
      </c>
      <c r="AF9" s="70" t="s">
        <v>4202</v>
      </c>
      <c r="AJ9" s="235" t="s">
        <v>4234</v>
      </c>
      <c r="AK9" s="235" t="s">
        <v>4235</v>
      </c>
      <c r="AL9" s="235" t="s">
        <v>4235</v>
      </c>
      <c r="AM9" s="235" t="s">
        <v>168</v>
      </c>
      <c r="AN9" s="235"/>
      <c r="AO9" s="236"/>
      <c r="AR9" t="s">
        <v>4236</v>
      </c>
      <c r="AU9" t="s">
        <v>807</v>
      </c>
      <c r="AV9" t="s">
        <v>4216</v>
      </c>
      <c r="AW9" t="str">
        <f>IFERROR(IF(('Gen Info'!$AM$2)&amp;"_DocsQ"=$AU$4,IF(VLOOKUP(IndependentUnited_States_DocsQ[[#This Row],[iWatch Number]],'Gen Info'!$J$17:$M$50,4,FALSE)=0,"",VLOOKUP(IndependentUnited_States_DocsQ[[#This Row],[iWatch Number]],'Gen Info'!$J$17:$M$50,4,FALSE)),""),"")</f>
        <v/>
      </c>
      <c r="AX9" t="str">
        <f ca="1">IFERROR("_"&amp;VLOOKUP(IndependentUnited_States_DocsQ[[#This Row],[iWatch Number]],INDIRECT('Gen Info'!$D$4),3,FALSE),"_"&amp;VLOOKUP(IndependentUnited_States_DocsQ[[#This Row],[iWatch Number]],INDIRECT('Gen Info'!$D$4&amp;"_"&amp;'Gen Info'!$E$4),3,FALSE))</f>
        <v>_</v>
      </c>
      <c r="AY9" t="str">
        <f ca="1">IFERROR(VLOOKUP(IndependentUnited_States_DocsQ[[#This Row],[iWatch Number]],INDIRECT('Gen Info'!$D$4),2,FALSE),VLOOKUP(IndependentUnited_States_DocsQ[[#This Row],[iWatch Number]],INDIRECT('Gen Info'!$D$4&amp;"_"&amp;'Gen Info'!$E$4),2,FALSE))</f>
        <v xml:space="preserve">Provide your Data Integrity Tool summary (include an overall reason for discussion, Agent response, WUCO recommendation and action required). If N/A was selected for the previous question, please provide a detailed explanation for why Data Integrity Analysis does not apply to this Agent.  
</v>
      </c>
      <c r="AZ9" t="s">
        <v>42</v>
      </c>
      <c r="BA9" t="s">
        <v>807</v>
      </c>
      <c r="BB9" t="s">
        <v>4216</v>
      </c>
      <c r="BC9" t="str">
        <f>IFERROR(IF(('Gen Info'!$AM$2)&amp;"_DocsQ"=$BA$4,IF(VLOOKUP(IndependentCanada_DocsQ[[#This Row],[iWatch Number]],'Gen Info'!$J$17:$M$50,4,FALSE)=0,"",VLOOKUP(IndependentCanada_DocsQ[[#This Row],[iWatch Number]],'Gen Info'!$J$22:$M$50,4,FALSE)),""),"")</f>
        <v/>
      </c>
      <c r="BD9" t="str">
        <f ca="1">IFERROR("_"&amp;VLOOKUP(IndependentCanada_DocsQ[[#This Row],[iWatch Number]],INDIRECT('Gen Info'!$D$4),3,FALSE),"_"&amp;VLOOKUP(IndependentCanada_DocsQ[[#This Row],[iWatch Number]],INDIRECT('Gen Info'!$D$4&amp;"_"&amp;'Gen Info'!$E$4),3,FALSE))</f>
        <v>_</v>
      </c>
      <c r="BE9" t="str">
        <f ca="1">IFERROR(VLOOKUP(IndependentCanada_DocsQ[[#This Row],[iWatch Number]],INDIRECT('Gen Info'!$D$4),2,FALSE),VLOOKUP(IndependentCanada_DocsQ[[#This Row],[iWatch Number]],INDIRECT('Gen Info'!$D$4&amp;"_"&amp;'Gen Info'!$E$4),2,FALSE))</f>
        <v xml:space="preserve">Provide your Data Integrity Tool summary (include an overall reason for discussion, Agent response, WUCO recommendation and action required). If N/A was selected for the previous question, please provide a detailed explanation for why Data Integrity Analysis does not apply to this Agent.  
</v>
      </c>
      <c r="BF9" t="s">
        <v>42</v>
      </c>
      <c r="BG9" t="s">
        <v>807</v>
      </c>
      <c r="BH9" t="s">
        <v>4216</v>
      </c>
      <c r="BI9" t="str">
        <f>IFERROR(IF(('Gen Info'!$AM$2)&amp;"_DocsQ"=$BG$4,IF(VLOOKUP(IndependentAustralia_DocsQ[[#This Row],[iWatch Number]],'Gen Info'!$J$17:$M$50,4,FALSE)=0,"",VLOOKUP(IndependentAustralia_DocsQ[[#This Row],[iWatch Number]],'Gen Info'!$J$17:$M$50,4,FALSE)),""),"")</f>
        <v/>
      </c>
      <c r="BJ9" t="str">
        <f ca="1">IFERROR("_"&amp;VLOOKUP(IndependentAustralia_DocsQ[[#This Row],[iWatch Number]],INDIRECT('Gen Info'!$D$4),3,FALSE),"_"&amp;VLOOKUP(IndependentAustralia_DocsQ[[#This Row],[iWatch Number]],INDIRECT('Gen Info'!$D$4&amp;"_"&amp;'Gen Info'!$E$4),3,FALSE))</f>
        <v>_</v>
      </c>
      <c r="BK9" t="str">
        <f ca="1">IFERROR(VLOOKUP(IndependentAustralia_DocsQ[[#This Row],[iWatch Number]],INDIRECT('Gen Info'!$D$4),2,FALSE),VLOOKUP(IndependentAustralia_DocsQ[[#This Row],[iWatch Number]],INDIRECT('Gen Info'!$D$4&amp;"_"&amp;'Gen Info'!$E$4),2,FALSE))</f>
        <v xml:space="preserve">Provide your Data Integrity Tool summary (include an overall reason for discussion, Agent response, WUCO recommendation and action required). If N/A was selected for the previous question, please provide a detailed explanation for why Data Integrity Analysis does not apply to this Agent.  
</v>
      </c>
      <c r="BL9" t="s">
        <v>42</v>
      </c>
      <c r="BM9" t="s">
        <v>738</v>
      </c>
      <c r="BN9" t="s">
        <v>4237</v>
      </c>
      <c r="BO9" t="str">
        <f>IF(('Gen Info'!$AM$2)&amp;"_DocsQ"=$BM$4,IF(VLOOKUP(Master_Agent_HQsUnited_States_DocsQ[[#This Row],[iWatch Number]],'Gen Info'!$J$17:$M$50,4,FALSE)=0,"",VLOOKUP(Master_Agent_HQsUnited_States_DocsQ[[#This Row],[iWatch Number]],'Gen Info'!$J$17:$M$50,4,FALSE)),"")</f>
        <v/>
      </c>
      <c r="BP9" t="str">
        <f ca="1">IFERROR("_"&amp;VLOOKUP(Master_Agent_HQsUnited_States_DocsQ[[#This Row],[iWatch Number]],INDIRECT('Gen Info'!$D$4),3,FALSE),"_"&amp;VLOOKUP(Master_Agent_HQsUnited_States_DocsQ[[#This Row],[iWatch Number]],INDIRECT('Gen Info'!$D$4&amp;"_"&amp;'Gen Info'!$E$4),3,FALSE))</f>
        <v>_2</v>
      </c>
      <c r="BQ9" t="str">
        <f ca="1">IFERROR(VLOOKUP(Master_Agent_HQsUnited_States_DocsQ[[#This Row],[iWatch Number]],INDIRECT('Gen Info'!$D$4),2,FALSE),VLOOKUP(Master_Agent_HQsUnited_States_DocsQ[[#This Row],[iWatch Number]],INDIRECT('Gen Info'!$D$4&amp;"_"&amp;'Gen Info'!$E$4),2,FALSE))</f>
        <v xml:space="preserve">FLA INTERVIEW: Do FLAs know the appropriate steps to take (including reporting, etc.) when faced with suspicious activity or transactions?
</v>
      </c>
      <c r="BR9" t="s">
        <v>42</v>
      </c>
      <c r="BS9" t="s">
        <v>738</v>
      </c>
      <c r="BT9" t="s">
        <v>4237</v>
      </c>
      <c r="BU9" t="str">
        <f>IFERROR(IF(('Gen Info'!$AM$2)&amp;"_DocsQ"=$BS$4,IF(VLOOKUP(Master_Agent_HQsMalaysia_DocsQ[[#This Row],[iWatch Number]],'Gen Info'!$J$17:$M$50,4,FALSE)=0,"",VLOOKUP(Master_Agent_HQsMalaysia_DocsQ[[#This Row],[iWatch Number]],'Gen Info'!$J$17:$M$50,4,FALSE)),""),"")</f>
        <v/>
      </c>
      <c r="BV9" t="str">
        <f ca="1">IFERROR("_"&amp;VLOOKUP(Master_Agent_HQsMalaysia_DocsQ[[#This Row],[iWatch Number]],INDIRECT('Gen Info'!$D$4),3,FALSE),"_"&amp;VLOOKUP(Master_Agent_HQsMalaysia_DocsQ[[#This Row],[iWatch Number]],INDIRECT('Gen Info'!$D$4&amp;"_"&amp;'Gen Info'!$E$4),3,FALSE))</f>
        <v>_2</v>
      </c>
      <c r="BW9" t="str">
        <f ca="1">IFERROR(VLOOKUP(Master_Agent_HQsMalaysia_DocsQ[[#This Row],[iWatch Number]],INDIRECT('Gen Info'!$D$4),2,FALSE),VLOOKUP(Master_Agent_HQsMalaysia_DocsQ[[#This Row],[iWatch Number]],INDIRECT('Gen Info'!$D$4&amp;"_"&amp;'Gen Info'!$E$4),2,FALSE))</f>
        <v xml:space="preserve">FLA INTERVIEW: Do FLAs know the appropriate steps to take (including reporting, etc.) when faced with suspicious activity or transactions?
</v>
      </c>
      <c r="BY9" t="s">
        <v>738</v>
      </c>
      <c r="BZ9" t="s">
        <v>4237</v>
      </c>
      <c r="CA9" t="str">
        <f>IFERROR(IF(('Gen Info'!$AM$2)&amp;"_DocsQ"=$BY$4,IF(VLOOKUP(Master_Agent_HQsCanada_DocsQ[[#This Row],[iWatch Number]],'Gen Info'!$J$17:$M$50,4,FALSE)=0,"",VLOOKUP(Master_Agent_HQsCanada_DocsQ[[#This Row],[iWatch Number]],'Gen Info'!$J$17:$M$50,4,FALSE)),""),"")</f>
        <v/>
      </c>
      <c r="CB9" t="str">
        <f ca="1">IFERROR("_"&amp;VLOOKUP(Master_Agent_HQsCanada_DocsQ[[#This Row],[iWatch Number]],INDIRECT('Gen Info'!$D$4),3,FALSE),"_"&amp;VLOOKUP(Master_Agent_HQsCanada_DocsQ[[#This Row],[iWatch Number]],INDIRECT('Gen Info'!$D$4&amp;"_"&amp;'Gen Info'!$E$4),3,FALSE))</f>
        <v>_2</v>
      </c>
      <c r="CC9" t="str">
        <f ca="1">IFERROR(VLOOKUP(Master_Agent_HQsCanada_DocsQ[[#This Row],[iWatch Number]],INDIRECT('Gen Info'!$D$4),2,FALSE),VLOOKUP(Master_Agent_HQsCanada_DocsQ[[#This Row],[iWatch Number]],INDIRECT('Gen Info'!$D$4&amp;"_"&amp;'Gen Info'!$E$4),2,FALSE))</f>
        <v xml:space="preserve">FLA INTERVIEW: Do FLAs know the appropriate steps to take (including reporting, etc.) when faced with suspicious activity or transactions?
</v>
      </c>
      <c r="CI9" t="s">
        <v>3437</v>
      </c>
      <c r="CJ9" t="s">
        <v>4238</v>
      </c>
      <c r="CK9" t="s">
        <v>4239</v>
      </c>
      <c r="CL9" t="s">
        <v>4240</v>
      </c>
      <c r="CM9" t="s">
        <v>4220</v>
      </c>
      <c r="CN9" t="s">
        <v>4220</v>
      </c>
      <c r="CO9" t="s">
        <v>4220</v>
      </c>
    </row>
    <row r="10" spans="5:93" ht="14.5">
      <c r="E10" s="229"/>
      <c r="F10" s="176"/>
      <c r="G10" s="176"/>
      <c r="H10" s="176"/>
      <c r="I10" s="176"/>
      <c r="J10" s="237"/>
      <c r="K10" s="176"/>
      <c r="P10" s="221" t="s">
        <v>4200</v>
      </c>
      <c r="Q10" s="9" t="str">
        <f>"Compliance Review Findings Letter "&amp;"/ "&amp;" Carta de Hallazgos de la Revisión de Cumplimiento: "&amp;"Replace_AgentName_Here "&amp;"(Replace_AgentAccountIDs_Here)"</f>
        <v>Compliance Review Findings Letter /  Carta de Hallazgos de la Revisión de Cumplimiento: Replace_AgentName_Here (Replace_AgentAccountIDs_Here)</v>
      </c>
      <c r="R10" s="9" t="str">
        <f>"Compliance Review Findings Letter "&amp;"/ "&amp;" Carta de Hallazgos de la Revisión de Cumplimiento: "&amp;"Replace_AgentName_Here "&amp;"Replace_AgentAccountIDs_Here"</f>
        <v>Compliance Review Findings Letter /  Carta de Hallazgos de la Revisión de Cumplimiento: Replace_AgentName_Here Replace_AgentAccountIDs_Here</v>
      </c>
      <c r="T10" s="231" t="s">
        <v>3544</v>
      </c>
      <c r="U10" s="232" t="s">
        <v>4231</v>
      </c>
      <c r="Z10" s="176" t="s">
        <v>4231</v>
      </c>
      <c r="AA10" s="238"/>
      <c r="AC10" s="70" t="s">
        <v>4241</v>
      </c>
      <c r="AD10" s="70" t="s">
        <v>4242</v>
      </c>
      <c r="AE10" s="70" t="s">
        <v>4201</v>
      </c>
      <c r="AF10" s="70" t="s">
        <v>4202</v>
      </c>
      <c r="AJ10" s="235" t="s">
        <v>4235</v>
      </c>
      <c r="AK10" s="235" t="s">
        <v>4243</v>
      </c>
      <c r="AL10" s="235" t="s">
        <v>4243</v>
      </c>
      <c r="AM10" s="235" t="s">
        <v>4235</v>
      </c>
      <c r="AN10" s="235"/>
      <c r="AO10" s="236"/>
      <c r="AR10" t="s">
        <v>4205</v>
      </c>
      <c r="AU10" t="s">
        <v>815</v>
      </c>
      <c r="AV10" t="s">
        <v>4237</v>
      </c>
      <c r="AW10" t="str">
        <f>IFERROR(IF(('Gen Info'!$AM$2)&amp;"_DocsQ"=$AU$4,IF(VLOOKUP(IndependentUnited_States_DocsQ[[#This Row],[iWatch Number]],'Gen Info'!$J$17:$M$50,4,FALSE)=0,"",VLOOKUP(IndependentUnited_States_DocsQ[[#This Row],[iWatch Number]],'Gen Info'!$J$17:$M$50,4,FALSE)),""),"")</f>
        <v/>
      </c>
      <c r="AX10" t="str">
        <f ca="1">IFERROR("_"&amp;VLOOKUP(IndependentUnited_States_DocsQ[[#This Row],[iWatch Number]],INDIRECT('Gen Info'!$D$4),3,FALSE),"_"&amp;VLOOKUP(IndependentUnited_States_DocsQ[[#This Row],[iWatch Number]],INDIRECT('Gen Info'!$D$4&amp;"_"&amp;'Gen Info'!$E$4),3,FALSE))</f>
        <v>_2</v>
      </c>
      <c r="AY10" t="str">
        <f ca="1">IFERROR(VLOOKUP(IndependentUnited_States_DocsQ[[#This Row],[iWatch Number]],INDIRECT('Gen Info'!$D$4),2,FALSE),VLOOKUP(IndependentUnited_States_DocsQ[[#This Row],[iWatch Number]],INDIRECT('Gen Info'!$D$4&amp;"_"&amp;'Gen Info'!$E$4),2,FALSE))</f>
        <v>FLA INTERVIEW: Do FLAs know the acceptable forms of identification for Western Union money transfer/money order transactions?</v>
      </c>
      <c r="AZ10" t="s">
        <v>42</v>
      </c>
      <c r="BA10" t="s">
        <v>815</v>
      </c>
      <c r="BB10" t="s">
        <v>4237</v>
      </c>
      <c r="BC10" t="str">
        <f>IFERROR(IF(('Gen Info'!$AM$2)&amp;"_DocsQ"=$BA$4,IF(VLOOKUP(IndependentCanada_DocsQ[[#This Row],[iWatch Number]],'Gen Info'!$J$17:$M$50,4,FALSE)=0,"",VLOOKUP(IndependentCanada_DocsQ[[#This Row],[iWatch Number]],'Gen Info'!$J$22:$M$50,4,FALSE)),""),"")</f>
        <v/>
      </c>
      <c r="BD10" t="str">
        <f ca="1">IFERROR("_"&amp;VLOOKUP(IndependentCanada_DocsQ[[#This Row],[iWatch Number]],INDIRECT('Gen Info'!$D$4),3,FALSE),"_"&amp;VLOOKUP(IndependentCanada_DocsQ[[#This Row],[iWatch Number]],INDIRECT('Gen Info'!$D$4&amp;"_"&amp;'Gen Info'!$E$4),3,FALSE))</f>
        <v>_2</v>
      </c>
      <c r="BE10" t="str">
        <f ca="1">IFERROR(VLOOKUP(IndependentCanada_DocsQ[[#This Row],[iWatch Number]],INDIRECT('Gen Info'!$D$4),2,FALSE),VLOOKUP(IndependentCanada_DocsQ[[#This Row],[iWatch Number]],INDIRECT('Gen Info'!$D$4&amp;"_"&amp;'Gen Info'!$E$4),2,FALSE))</f>
        <v>FLA INTERVIEW: Do FLAs know the acceptable forms of identification for Western Union money transfer/money order transactions?</v>
      </c>
      <c r="BF10" t="s">
        <v>42</v>
      </c>
      <c r="BG10" t="s">
        <v>815</v>
      </c>
      <c r="BH10" t="s">
        <v>4237</v>
      </c>
      <c r="BI10" t="str">
        <f>IFERROR(IF(('Gen Info'!$AM$2)&amp;"_DocsQ"=$BG$4,IF(VLOOKUP(IndependentAustralia_DocsQ[[#This Row],[iWatch Number]],'Gen Info'!$J$17:$M$50,4,FALSE)=0,"",VLOOKUP(IndependentAustralia_DocsQ[[#This Row],[iWatch Number]],'Gen Info'!$J$17:$M$50,4,FALSE)),""),"")</f>
        <v/>
      </c>
      <c r="BJ10" t="str">
        <f ca="1">IFERROR("_"&amp;VLOOKUP(IndependentAustralia_DocsQ[[#This Row],[iWatch Number]],INDIRECT('Gen Info'!$D$4),3,FALSE),"_"&amp;VLOOKUP(IndependentAustralia_DocsQ[[#This Row],[iWatch Number]],INDIRECT('Gen Info'!$D$4&amp;"_"&amp;'Gen Info'!$E$4),3,FALSE))</f>
        <v>_2</v>
      </c>
      <c r="BK10" t="str">
        <f ca="1">IFERROR(VLOOKUP(IndependentAustralia_DocsQ[[#This Row],[iWatch Number]],INDIRECT('Gen Info'!$D$4),2,FALSE),VLOOKUP(IndependentAustralia_DocsQ[[#This Row],[iWatch Number]],INDIRECT('Gen Info'!$D$4&amp;"_"&amp;'Gen Info'!$E$4),2,FALSE))</f>
        <v>FLA INTERVIEW: Do FLAs know the acceptable forms of identification for Western Union money transfer/money order transactions?</v>
      </c>
      <c r="BL10" t="s">
        <v>42</v>
      </c>
      <c r="BM10" t="s">
        <v>753</v>
      </c>
      <c r="BN10" t="s">
        <v>4244</v>
      </c>
      <c r="BO10" t="str">
        <f>IF(('Gen Info'!$AM$2)&amp;"_DocsQ"=$BM$4,IF(VLOOKUP(Master_Agent_HQsUnited_States_DocsQ[[#This Row],[iWatch Number]],'Gen Info'!$J$17:$M$50,4,FALSE)=0,"",VLOOKUP(Master_Agent_HQsUnited_States_DocsQ[[#This Row],[iWatch Number]],'Gen Info'!$J$17:$M$50,4,FALSE)),"")</f>
        <v/>
      </c>
      <c r="BP10" t="str">
        <f ca="1">IFERROR("_"&amp;VLOOKUP(Master_Agent_HQsUnited_States_DocsQ[[#This Row],[iWatch Number]],INDIRECT('Gen Info'!$D$4),3,FALSE),"_"&amp;VLOOKUP(Master_Agent_HQsUnited_States_DocsQ[[#This Row],[iWatch Number]],INDIRECT('Gen Info'!$D$4&amp;"_"&amp;'Gen Info'!$E$4),3,FALSE))</f>
        <v>_2</v>
      </c>
      <c r="BQ10" t="str">
        <f ca="1">IFERROR(VLOOKUP(Master_Agent_HQsUnited_States_DocsQ[[#This Row],[iWatch Number]],INDIRECT('Gen Info'!$D$4),2,FALSE),VLOOKUP(Master_Agent_HQsUnited_States_DocsQ[[#This Row],[iWatch Number]],INDIRECT('Gen Info'!$D$4&amp;"_"&amp;'Gen Info'!$E$4),2,FALSE))</f>
        <v xml:space="preserve">FLA INTERVIEW: Is the FLA(s)  able to identify Agent Fraud related activity? </v>
      </c>
      <c r="BR10" t="s">
        <v>42</v>
      </c>
      <c r="BS10" t="s">
        <v>753</v>
      </c>
      <c r="BT10" t="s">
        <v>4244</v>
      </c>
      <c r="BU10" t="str">
        <f>IFERROR(IF(('Gen Info'!$AM$2)&amp;"_DocsQ"=$BS$4,IF(VLOOKUP(Master_Agent_HQsMalaysia_DocsQ[[#This Row],[iWatch Number]],'Gen Info'!$J$17:$M$50,4,FALSE)=0,"",VLOOKUP(Master_Agent_HQsMalaysia_DocsQ[[#This Row],[iWatch Number]],'Gen Info'!$J$17:$M$50,4,FALSE)),""),"")</f>
        <v/>
      </c>
      <c r="BV10" t="str">
        <f ca="1">IFERROR("_"&amp;VLOOKUP(Master_Agent_HQsMalaysia_DocsQ[[#This Row],[iWatch Number]],INDIRECT('Gen Info'!$D$4),3,FALSE),"_"&amp;VLOOKUP(Master_Agent_HQsMalaysia_DocsQ[[#This Row],[iWatch Number]],INDIRECT('Gen Info'!$D$4&amp;"_"&amp;'Gen Info'!$E$4),3,FALSE))</f>
        <v>_2</v>
      </c>
      <c r="BW10" t="str">
        <f ca="1">IFERROR(VLOOKUP(Master_Agent_HQsMalaysia_DocsQ[[#This Row],[iWatch Number]],INDIRECT('Gen Info'!$D$4),2,FALSE),VLOOKUP(Master_Agent_HQsMalaysia_DocsQ[[#This Row],[iWatch Number]],INDIRECT('Gen Info'!$D$4&amp;"_"&amp;'Gen Info'!$E$4),2,FALSE))</f>
        <v xml:space="preserve">FLA INTERVIEW: Is the FLA(s)  able to identify Agent Fraud related activity? </v>
      </c>
      <c r="BY10" t="s">
        <v>753</v>
      </c>
      <c r="BZ10" t="s">
        <v>4244</v>
      </c>
      <c r="CA10" t="str">
        <f>IFERROR(IF(('Gen Info'!$AM$2)&amp;"_DocsQ"=$BY$4,IF(VLOOKUP(Master_Agent_HQsCanada_DocsQ[[#This Row],[iWatch Number]],'Gen Info'!$J$17:$M$50,4,FALSE)=0,"",VLOOKUP(Master_Agent_HQsCanada_DocsQ[[#This Row],[iWatch Number]],'Gen Info'!$J$17:$M$50,4,FALSE)),""),"")</f>
        <v/>
      </c>
      <c r="CB10" t="str">
        <f ca="1">IFERROR("_"&amp;VLOOKUP(Master_Agent_HQsCanada_DocsQ[[#This Row],[iWatch Number]],INDIRECT('Gen Info'!$D$4),3,FALSE),"_"&amp;VLOOKUP(Master_Agent_HQsCanada_DocsQ[[#This Row],[iWatch Number]],INDIRECT('Gen Info'!$D$4&amp;"_"&amp;'Gen Info'!$E$4),3,FALSE))</f>
        <v>_2</v>
      </c>
      <c r="CC10" t="str">
        <f ca="1">IFERROR(VLOOKUP(Master_Agent_HQsCanada_DocsQ[[#This Row],[iWatch Number]],INDIRECT('Gen Info'!$D$4),2,FALSE),VLOOKUP(Master_Agent_HQsCanada_DocsQ[[#This Row],[iWatch Number]],INDIRECT('Gen Info'!$D$4&amp;"_"&amp;'Gen Info'!$E$4),2,FALSE))</f>
        <v xml:space="preserve">FLA INTERVIEW: Is the FLA(s)  able to identify Agent Fraud related activity? </v>
      </c>
      <c r="CI10" t="s">
        <v>2196</v>
      </c>
      <c r="CJ10" t="s">
        <v>4220</v>
      </c>
      <c r="CK10" t="s">
        <v>4245</v>
      </c>
      <c r="CL10" t="s">
        <v>4220</v>
      </c>
      <c r="CM10" t="s">
        <v>4220</v>
      </c>
      <c r="CN10" t="s">
        <v>4220</v>
      </c>
      <c r="CO10" t="s">
        <v>4220</v>
      </c>
    </row>
    <row r="11" spans="5:93" ht="14.5">
      <c r="E11" s="229"/>
      <c r="F11" s="176"/>
      <c r="G11" s="176"/>
      <c r="H11" s="176"/>
      <c r="I11" s="176"/>
      <c r="J11" s="237"/>
      <c r="K11" s="176"/>
      <c r="T11" s="231" t="s">
        <v>3564</v>
      </c>
      <c r="U11" s="232" t="s">
        <v>4231</v>
      </c>
      <c r="Z11" s="239" t="s">
        <v>4246</v>
      </c>
      <c r="AA11" s="238"/>
      <c r="AC11" s="70" t="s">
        <v>4247</v>
      </c>
      <c r="AD11" s="70" t="s">
        <v>4248</v>
      </c>
      <c r="AE11" s="70" t="s">
        <v>4201</v>
      </c>
      <c r="AF11" s="70" t="s">
        <v>4202</v>
      </c>
      <c r="AJ11" s="235"/>
      <c r="AK11" s="235" t="s">
        <v>4234</v>
      </c>
      <c r="AL11" s="235"/>
      <c r="AM11" s="235" t="s">
        <v>4234</v>
      </c>
      <c r="AN11" s="235"/>
      <c r="AO11" s="236"/>
      <c r="AR11" t="s">
        <v>3630</v>
      </c>
      <c r="AU11" t="s">
        <v>829</v>
      </c>
      <c r="AV11" t="s">
        <v>4237</v>
      </c>
      <c r="AW11" t="str">
        <f>IFERROR(IF(('Gen Info'!$AM$2)&amp;"_DocsQ"=$AU$4,IF(VLOOKUP(IndependentUnited_States_DocsQ[[#This Row],[iWatch Number]],'Gen Info'!$J$17:$M$50,4,FALSE)=0,"",VLOOKUP(IndependentUnited_States_DocsQ[[#This Row],[iWatch Number]],'Gen Info'!$J$17:$M$50,4,FALSE)),""),"")</f>
        <v/>
      </c>
      <c r="AX11" t="str">
        <f ca="1">IFERROR("_"&amp;VLOOKUP(IndependentUnited_States_DocsQ[[#This Row],[iWatch Number]],INDIRECT('Gen Info'!$D$4),3,FALSE),"_"&amp;VLOOKUP(IndependentUnited_States_DocsQ[[#This Row],[iWatch Number]],INDIRECT('Gen Info'!$D$4&amp;"_"&amp;'Gen Info'!$E$4),3,FALSE))</f>
        <v>_2</v>
      </c>
      <c r="AY11" t="str">
        <f ca="1">IFERROR(VLOOKUP(IndependentUnited_States_DocsQ[[#This Row],[iWatch Number]],INDIRECT('Gen Info'!$D$4),2,FALSE),VLOOKUP(IndependentUnited_States_DocsQ[[#This Row],[iWatch Number]],INDIRECT('Gen Info'!$D$4&amp;"_"&amp;'Gen Info'!$E$4),2,FALSE))</f>
        <v xml:space="preserve">Do FLAs check to ensure that consumer IDs meet minimum requirements, are only using valid ID cards, which at a minimum must include that the ID is not expired, it is government issued (or as applicable per regional requirements), and contains a photo of the consumer?
</v>
      </c>
      <c r="AZ11" t="s">
        <v>42</v>
      </c>
      <c r="BA11" t="s">
        <v>829</v>
      </c>
      <c r="BB11" t="s">
        <v>4237</v>
      </c>
      <c r="BC11" t="str">
        <f>IFERROR(IF(('Gen Info'!$AM$2)&amp;"_DocsQ"=$BA$4,IF(VLOOKUP(IndependentCanada_DocsQ[[#This Row],[iWatch Number]],'Gen Info'!$J$17:$M$50,4,FALSE)=0,"",VLOOKUP(IndependentCanada_DocsQ[[#This Row],[iWatch Number]],'Gen Info'!$J$22:$M$50,4,FALSE)),""),"")</f>
        <v/>
      </c>
      <c r="BD11" t="str">
        <f ca="1">IFERROR("_"&amp;VLOOKUP(IndependentCanada_DocsQ[[#This Row],[iWatch Number]],INDIRECT('Gen Info'!$D$4),3,FALSE),"_"&amp;VLOOKUP(IndependentCanada_DocsQ[[#This Row],[iWatch Number]],INDIRECT('Gen Info'!$D$4&amp;"_"&amp;'Gen Info'!$E$4),3,FALSE))</f>
        <v>_2</v>
      </c>
      <c r="BE11" t="str">
        <f ca="1">IFERROR(VLOOKUP(IndependentCanada_DocsQ[[#This Row],[iWatch Number]],INDIRECT('Gen Info'!$D$4),2,FALSE),VLOOKUP(IndependentCanada_DocsQ[[#This Row],[iWatch Number]],INDIRECT('Gen Info'!$D$4&amp;"_"&amp;'Gen Info'!$E$4),2,FALSE))</f>
        <v xml:space="preserve">Do FLAs check to ensure that consumer IDs meet minimum requirements, are only using valid ID cards, which at a minimum must include that the ID is not expired, it is government issued (or as applicable per regional requirements), and contains a photo of the consumer?
</v>
      </c>
      <c r="BF11" t="s">
        <v>42</v>
      </c>
      <c r="BG11" t="s">
        <v>829</v>
      </c>
      <c r="BH11" t="s">
        <v>4237</v>
      </c>
      <c r="BI11" t="str">
        <f>IFERROR(IF(('Gen Info'!$AM$2)&amp;"_DocsQ"=$BG$4,IF(VLOOKUP(IndependentAustralia_DocsQ[[#This Row],[iWatch Number]],'Gen Info'!$J$17:$M$50,4,FALSE)=0,"",VLOOKUP(IndependentAustralia_DocsQ[[#This Row],[iWatch Number]],'Gen Info'!$J$17:$M$50,4,FALSE)),""),"")</f>
        <v/>
      </c>
      <c r="BJ11" t="str">
        <f ca="1">IFERROR("_"&amp;VLOOKUP(IndependentAustralia_DocsQ[[#This Row],[iWatch Number]],INDIRECT('Gen Info'!$D$4),3,FALSE),"_"&amp;VLOOKUP(IndependentAustralia_DocsQ[[#This Row],[iWatch Number]],INDIRECT('Gen Info'!$D$4&amp;"_"&amp;'Gen Info'!$E$4),3,FALSE))</f>
        <v>_2</v>
      </c>
      <c r="BK11" t="str">
        <f ca="1">IFERROR(VLOOKUP(IndependentAustralia_DocsQ[[#This Row],[iWatch Number]],INDIRECT('Gen Info'!$D$4),2,FALSE),VLOOKUP(IndependentAustralia_DocsQ[[#This Row],[iWatch Number]],INDIRECT('Gen Info'!$D$4&amp;"_"&amp;'Gen Info'!$E$4),2,FALSE))</f>
        <v xml:space="preserve">Do FLAs check to ensure that consumer IDs meet minimum requirements, are only using valid ID cards, which at a minimum must include that the ID is not expired, it is government issued (or as applicable per regional requirements), and contains a photo of the consumer?
</v>
      </c>
      <c r="BL11" t="s">
        <v>42</v>
      </c>
      <c r="BM11" t="s">
        <v>761</v>
      </c>
      <c r="BN11" t="s">
        <v>4249</v>
      </c>
      <c r="BO11" t="str">
        <f>IF(('Gen Info'!$AM$2)&amp;"_DocsQ"=$BM$4,IF(VLOOKUP(Master_Agent_HQsUnited_States_DocsQ[[#This Row],[iWatch Number]],'Gen Info'!$J$17:$M$50,4,FALSE)=0,"",VLOOKUP(Master_Agent_HQsUnited_States_DocsQ[[#This Row],[iWatch Number]],'Gen Info'!$J$17:$M$50,4,FALSE)),"")</f>
        <v/>
      </c>
      <c r="BP11" t="str">
        <f ca="1">IFERROR("_"&amp;VLOOKUP(Master_Agent_HQsUnited_States_DocsQ[[#This Row],[iWatch Number]],INDIRECT('Gen Info'!$D$4),3,FALSE),"_"&amp;VLOOKUP(Master_Agent_HQsUnited_States_DocsQ[[#This Row],[iWatch Number]],INDIRECT('Gen Info'!$D$4&amp;"_"&amp;'Gen Info'!$E$4),3,FALSE))</f>
        <v>_2</v>
      </c>
      <c r="BQ11" t="str">
        <f ca="1">IFERROR(VLOOKUP(Master_Agent_HQsUnited_States_DocsQ[[#This Row],[iWatch Number]],INDIRECT('Gen Info'!$D$4),2,FALSE),VLOOKUP(Master_Agent_HQsUnited_States_DocsQ[[#This Row],[iWatch Number]],INDIRECT('Gen Info'!$D$4&amp;"_"&amp;'Gen Info'!$E$4),2,FALSE))</f>
        <v xml:space="preserve">FLA INTERVIEW: Is the FLA(s)  able to explain the actions that should be taken with regard to Agent Fraud related activity? </v>
      </c>
      <c r="BR11" t="s">
        <v>42</v>
      </c>
      <c r="BS11" t="s">
        <v>761</v>
      </c>
      <c r="BT11" t="s">
        <v>4249</v>
      </c>
      <c r="BU11" t="str">
        <f>IFERROR(IF(('Gen Info'!$AM$2)&amp;"_DocsQ"=$BS$4,IF(VLOOKUP(Master_Agent_HQsMalaysia_DocsQ[[#This Row],[iWatch Number]],'Gen Info'!$J$17:$M$50,4,FALSE)=0,"",VLOOKUP(Master_Agent_HQsMalaysia_DocsQ[[#This Row],[iWatch Number]],'Gen Info'!$J$17:$M$50,4,FALSE)),""),"")</f>
        <v/>
      </c>
      <c r="BV11" t="str">
        <f ca="1">IFERROR("_"&amp;VLOOKUP(Master_Agent_HQsMalaysia_DocsQ[[#This Row],[iWatch Number]],INDIRECT('Gen Info'!$D$4),3,FALSE),"_"&amp;VLOOKUP(Master_Agent_HQsMalaysia_DocsQ[[#This Row],[iWatch Number]],INDIRECT('Gen Info'!$D$4&amp;"_"&amp;'Gen Info'!$E$4),3,FALSE))</f>
        <v>_2</v>
      </c>
      <c r="BW11" t="str">
        <f ca="1">IFERROR(VLOOKUP(Master_Agent_HQsMalaysia_DocsQ[[#This Row],[iWatch Number]],INDIRECT('Gen Info'!$D$4),2,FALSE),VLOOKUP(Master_Agent_HQsMalaysia_DocsQ[[#This Row],[iWatch Number]],INDIRECT('Gen Info'!$D$4&amp;"_"&amp;'Gen Info'!$E$4),2,FALSE))</f>
        <v xml:space="preserve">FLA INTERVIEW: Is the FLA(s)  able to explain the actions that should be taken with regard to Agent Fraud related activity? </v>
      </c>
      <c r="BY11" t="s">
        <v>761</v>
      </c>
      <c r="BZ11" t="s">
        <v>4249</v>
      </c>
      <c r="CA11" t="str">
        <f>IFERROR(IF(('Gen Info'!$AM$2)&amp;"_DocsQ"=$BY$4,IF(VLOOKUP(Master_Agent_HQsCanada_DocsQ[[#This Row],[iWatch Number]],'Gen Info'!$J$17:$M$50,4,FALSE)=0,"",VLOOKUP(Master_Agent_HQsCanada_DocsQ[[#This Row],[iWatch Number]],'Gen Info'!$J$17:$M$50,4,FALSE)),""),"")</f>
        <v/>
      </c>
      <c r="CB11" t="str">
        <f ca="1">IFERROR("_"&amp;VLOOKUP(Master_Agent_HQsCanada_DocsQ[[#This Row],[iWatch Number]],INDIRECT('Gen Info'!$D$4),3,FALSE),"_"&amp;VLOOKUP(Master_Agent_HQsCanada_DocsQ[[#This Row],[iWatch Number]],INDIRECT('Gen Info'!$D$4&amp;"_"&amp;'Gen Info'!$E$4),3,FALSE))</f>
        <v>_2</v>
      </c>
      <c r="CC11" t="str">
        <f ca="1">IFERROR(VLOOKUP(Master_Agent_HQsCanada_DocsQ[[#This Row],[iWatch Number]],INDIRECT('Gen Info'!$D$4),2,FALSE),VLOOKUP(Master_Agent_HQsCanada_DocsQ[[#This Row],[iWatch Number]],INDIRECT('Gen Info'!$D$4&amp;"_"&amp;'Gen Info'!$E$4),2,FALSE))</f>
        <v xml:space="preserve">FLA INTERVIEW: Is the FLA(s)  able to explain the actions that should be taken with regard to Agent Fraud related activity? </v>
      </c>
      <c r="CI11" t="s">
        <v>3162</v>
      </c>
      <c r="CJ11" t="s">
        <v>4220</v>
      </c>
      <c r="CK11" t="s">
        <v>4250</v>
      </c>
    </row>
    <row r="12" spans="5:93" ht="14.5">
      <c r="E12" s="229"/>
      <c r="F12" s="176"/>
      <c r="G12" s="176"/>
      <c r="H12" s="176"/>
      <c r="I12" s="176"/>
      <c r="J12" s="237"/>
      <c r="K12" s="176"/>
      <c r="P12" t="s">
        <v>4251</v>
      </c>
      <c r="T12" s="231" t="s">
        <v>3581</v>
      </c>
      <c r="U12" s="232" t="s">
        <v>4231</v>
      </c>
      <c r="AA12" s="238"/>
      <c r="AC12" s="70" t="s">
        <v>4252</v>
      </c>
      <c r="AD12" s="70" t="s">
        <v>4253</v>
      </c>
      <c r="AE12" s="70" t="s">
        <v>3481</v>
      </c>
      <c r="AF12" s="70" t="s">
        <v>4254</v>
      </c>
      <c r="AJ12" s="235"/>
      <c r="AK12" s="235"/>
      <c r="AL12" s="235"/>
      <c r="AM12" s="235"/>
      <c r="AN12" s="235"/>
      <c r="AO12" s="236"/>
      <c r="AR12" t="s">
        <v>3634</v>
      </c>
      <c r="AU12" t="s">
        <v>841</v>
      </c>
      <c r="AV12" t="s">
        <v>4255</v>
      </c>
      <c r="AW12" t="str">
        <f>IFERROR(IF(('Gen Info'!$AM$2)&amp;"_DocsQ"=$AU$4,IF(VLOOKUP(IndependentUnited_States_DocsQ[[#This Row],[iWatch Number]],'Gen Info'!$J$17:$M$50,4,FALSE)=0,"",VLOOKUP(IndependentUnited_States_DocsQ[[#This Row],[iWatch Number]],'Gen Info'!$J$17:$M$50,4,FALSE)),""),"")</f>
        <v/>
      </c>
      <c r="AX12" t="str">
        <f ca="1">IFERROR("_"&amp;VLOOKUP(IndependentUnited_States_DocsQ[[#This Row],[iWatch Number]],INDIRECT('Gen Info'!$D$4),3,FALSE),"_"&amp;VLOOKUP(IndependentUnited_States_DocsQ[[#This Row],[iWatch Number]],INDIRECT('Gen Info'!$D$4&amp;"_"&amp;'Gen Info'!$E$4),3,FALSE))</f>
        <v>_2</v>
      </c>
      <c r="AY12" t="str">
        <f ca="1">IFERROR(VLOOKUP(IndependentUnited_States_DocsQ[[#This Row],[iWatch Number]],INDIRECT('Gen Info'!$D$4),2,FALSE),VLOOKUP(IndependentUnited_States_DocsQ[[#This Row],[iWatch Number]],INDIRECT('Gen Info'!$D$4&amp;"_"&amp;'Gen Info'!$E$4),2,FALSE))</f>
        <v>FLA INTERVIEW: Do the FLAs know that third party transactions are not permitted?</v>
      </c>
      <c r="AZ12" t="s">
        <v>42</v>
      </c>
      <c r="BA12" t="s">
        <v>841</v>
      </c>
      <c r="BB12" t="s">
        <v>4255</v>
      </c>
      <c r="BC12" t="str">
        <f>IFERROR(IF(('Gen Info'!$AM$2)&amp;"_DocsQ"=$BA$4,IF(VLOOKUP(IndependentCanada_DocsQ[[#This Row],[iWatch Number]],'Gen Info'!$J$17:$M$50,4,FALSE)=0,"",VLOOKUP(IndependentCanada_DocsQ[[#This Row],[iWatch Number]],'Gen Info'!$J$22:$M$50,4,FALSE)),""),"")</f>
        <v/>
      </c>
      <c r="BD12" t="str">
        <f ca="1">IFERROR("_"&amp;VLOOKUP(IndependentCanada_DocsQ[[#This Row],[iWatch Number]],INDIRECT('Gen Info'!$D$4),3,FALSE),"_"&amp;VLOOKUP(IndependentCanada_DocsQ[[#This Row],[iWatch Number]],INDIRECT('Gen Info'!$D$4&amp;"_"&amp;'Gen Info'!$E$4),3,FALSE))</f>
        <v>_2</v>
      </c>
      <c r="BE12" t="str">
        <f ca="1">IFERROR(VLOOKUP(IndependentCanada_DocsQ[[#This Row],[iWatch Number]],INDIRECT('Gen Info'!$D$4),2,FALSE),VLOOKUP(IndependentCanada_DocsQ[[#This Row],[iWatch Number]],INDIRECT('Gen Info'!$D$4&amp;"_"&amp;'Gen Info'!$E$4),2,FALSE))</f>
        <v>FLA INTERVIEW: Do the FLAs know that third party transactions are not permitted?</v>
      </c>
      <c r="BF12" t="s">
        <v>42</v>
      </c>
      <c r="BG12" t="s">
        <v>841</v>
      </c>
      <c r="BH12" t="s">
        <v>4255</v>
      </c>
      <c r="BI12" t="str">
        <f>IFERROR(IF(('Gen Info'!$AM$2)&amp;"_DocsQ"=$BG$4,IF(VLOOKUP(IndependentAustralia_DocsQ[[#This Row],[iWatch Number]],'Gen Info'!$J$17:$M$50,4,FALSE)=0,"",VLOOKUP(IndependentAustralia_DocsQ[[#This Row],[iWatch Number]],'Gen Info'!$J$17:$M$50,4,FALSE)),""),"")</f>
        <v/>
      </c>
      <c r="BJ12" t="str">
        <f ca="1">IFERROR("_"&amp;VLOOKUP(IndependentAustralia_DocsQ[[#This Row],[iWatch Number]],INDIRECT('Gen Info'!$D$4),3,FALSE),"_"&amp;VLOOKUP(IndependentAustralia_DocsQ[[#This Row],[iWatch Number]],INDIRECT('Gen Info'!$D$4&amp;"_"&amp;'Gen Info'!$E$4),3,FALSE))</f>
        <v>_2</v>
      </c>
      <c r="BK12" t="str">
        <f ca="1">IFERROR(VLOOKUP(IndependentAustralia_DocsQ[[#This Row],[iWatch Number]],INDIRECT('Gen Info'!$D$4),2,FALSE),VLOOKUP(IndependentAustralia_DocsQ[[#This Row],[iWatch Number]],INDIRECT('Gen Info'!$D$4&amp;"_"&amp;'Gen Info'!$E$4),2,FALSE))</f>
        <v>FLA INTERVIEW: Do the FLAs know that third party transactions are not permitted?</v>
      </c>
      <c r="BL12" t="s">
        <v>42</v>
      </c>
      <c r="BM12" t="s">
        <v>777</v>
      </c>
      <c r="BN12" t="s">
        <v>4256</v>
      </c>
      <c r="BO12" t="str">
        <f>IF(('Gen Info'!$AM$2)&amp;"_DocsQ"=$BM$4,IF(VLOOKUP(Master_Agent_HQsUnited_States_DocsQ[[#This Row],[iWatch Number]],'Gen Info'!$J$17:$M$50,4,FALSE)=0,"",VLOOKUP(Master_Agent_HQsUnited_States_DocsQ[[#This Row],[iWatch Number]],'Gen Info'!$J$17:$M$50,4,FALSE)),"")</f>
        <v/>
      </c>
      <c r="BP12" t="str">
        <f ca="1">IFERROR("_"&amp;VLOOKUP(Master_Agent_HQsUnited_States_DocsQ[[#This Row],[iWatch Number]],INDIRECT('Gen Info'!$D$4),3,FALSE),"_"&amp;VLOOKUP(Master_Agent_HQsUnited_States_DocsQ[[#This Row],[iWatch Number]],INDIRECT('Gen Info'!$D$4&amp;"_"&amp;'Gen Info'!$E$4),3,FALSE))</f>
        <v>_2</v>
      </c>
      <c r="BQ12" t="str">
        <f ca="1">IFERROR(VLOOKUP(Master_Agent_HQsUnited_States_DocsQ[[#This Row],[iWatch Number]],INDIRECT('Gen Info'!$D$4),2,FALSE),VLOOKUP(Master_Agent_HQsUnited_States_DocsQ[[#This Row],[iWatch Number]],INDIRECT('Gen Info'!$D$4&amp;"_"&amp;'Gen Info'!$E$4),2,FALSE))</f>
        <v xml:space="preserve">FLA INTERVIEW: Is the FLA(s)  able to explain the actions that should be taken with regards to consumer fraud related activity? </v>
      </c>
      <c r="BR12" t="s">
        <v>42</v>
      </c>
      <c r="BS12" t="s">
        <v>777</v>
      </c>
      <c r="BT12" t="s">
        <v>4256</v>
      </c>
      <c r="BU12" t="str">
        <f>IFERROR(IF(('Gen Info'!$AM$2)&amp;"_DocsQ"=$BS$4,IF(VLOOKUP(Master_Agent_HQsMalaysia_DocsQ[[#This Row],[iWatch Number]],'Gen Info'!$J$17:$M$50,4,FALSE)=0,"",VLOOKUP(Master_Agent_HQsMalaysia_DocsQ[[#This Row],[iWatch Number]],'Gen Info'!$J$17:$M$50,4,FALSE)),""),"")</f>
        <v/>
      </c>
      <c r="BV12" t="str">
        <f ca="1">IFERROR("_"&amp;VLOOKUP(Master_Agent_HQsMalaysia_DocsQ[[#This Row],[iWatch Number]],INDIRECT('Gen Info'!$D$4),3,FALSE),"_"&amp;VLOOKUP(Master_Agent_HQsMalaysia_DocsQ[[#This Row],[iWatch Number]],INDIRECT('Gen Info'!$D$4&amp;"_"&amp;'Gen Info'!$E$4),3,FALSE))</f>
        <v>_2</v>
      </c>
      <c r="BW12" t="str">
        <f ca="1">IFERROR(VLOOKUP(Master_Agent_HQsMalaysia_DocsQ[[#This Row],[iWatch Number]],INDIRECT('Gen Info'!$D$4),2,FALSE),VLOOKUP(Master_Agent_HQsMalaysia_DocsQ[[#This Row],[iWatch Number]],INDIRECT('Gen Info'!$D$4&amp;"_"&amp;'Gen Info'!$E$4),2,FALSE))</f>
        <v xml:space="preserve">FLA INTERVIEW: Is the FLA(s)  able to explain the actions that should be taken with regards to consumer fraud related activity? </v>
      </c>
      <c r="BY12" t="s">
        <v>777</v>
      </c>
      <c r="BZ12" t="s">
        <v>4256</v>
      </c>
      <c r="CA12" t="str">
        <f>IFERROR(IF(('Gen Info'!$AM$2)&amp;"_DocsQ"=$BY$4,IF(VLOOKUP(Master_Agent_HQsCanada_DocsQ[[#This Row],[iWatch Number]],'Gen Info'!$J$17:$M$50,4,FALSE)=0,"",VLOOKUP(Master_Agent_HQsCanada_DocsQ[[#This Row],[iWatch Number]],'Gen Info'!$J$17:$M$50,4,FALSE)),""),"")</f>
        <v/>
      </c>
      <c r="CB12" t="str">
        <f ca="1">IFERROR("_"&amp;VLOOKUP(Master_Agent_HQsCanada_DocsQ[[#This Row],[iWatch Number]],INDIRECT('Gen Info'!$D$4),3,FALSE),"_"&amp;VLOOKUP(Master_Agent_HQsCanada_DocsQ[[#This Row],[iWatch Number]],INDIRECT('Gen Info'!$D$4&amp;"_"&amp;'Gen Info'!$E$4),3,FALSE))</f>
        <v>_2</v>
      </c>
      <c r="CC12" t="str">
        <f ca="1">IFERROR(VLOOKUP(Master_Agent_HQsCanada_DocsQ[[#This Row],[iWatch Number]],INDIRECT('Gen Info'!$D$4),2,FALSE),VLOOKUP(Master_Agent_HQsCanada_DocsQ[[#This Row],[iWatch Number]],INDIRECT('Gen Info'!$D$4&amp;"_"&amp;'Gen Info'!$E$4),2,FALSE))</f>
        <v xml:space="preserve">FLA INTERVIEW: Is the FLA(s)  able to explain the actions that should be taken with regards to consumer fraud related activity? </v>
      </c>
      <c r="CI12" t="s">
        <v>3473</v>
      </c>
      <c r="CJ12" t="s">
        <v>4257</v>
      </c>
      <c r="CK12" t="s">
        <v>4239</v>
      </c>
      <c r="CL12" t="s">
        <v>4220</v>
      </c>
      <c r="CM12" t="s">
        <v>4220</v>
      </c>
      <c r="CN12" t="s">
        <v>4220</v>
      </c>
      <c r="CO12" t="s">
        <v>4220</v>
      </c>
    </row>
    <row r="13" spans="5:93" ht="14.5">
      <c r="E13" s="229"/>
      <c r="F13" s="176"/>
      <c r="G13" s="176"/>
      <c r="H13" s="176"/>
      <c r="I13" s="176"/>
      <c r="J13" s="237"/>
      <c r="K13" s="176"/>
      <c r="P13" s="221" t="s">
        <v>4187</v>
      </c>
      <c r="Q13" s="9" t="s">
        <v>4258</v>
      </c>
      <c r="R13" s="9" t="s">
        <v>4259</v>
      </c>
      <c r="T13" s="231" t="s">
        <v>3599</v>
      </c>
      <c r="U13" s="232" t="s">
        <v>4231</v>
      </c>
      <c r="AA13" s="238"/>
      <c r="AC13" s="70" t="s">
        <v>4260</v>
      </c>
      <c r="AD13" s="70" t="s">
        <v>3488</v>
      </c>
      <c r="AE13" s="70" t="s">
        <v>3481</v>
      </c>
      <c r="AF13" s="70" t="s">
        <v>4254</v>
      </c>
      <c r="AJ13" s="235"/>
      <c r="AK13" s="235"/>
      <c r="AL13" s="235"/>
      <c r="AM13" s="235"/>
      <c r="AN13" s="235"/>
      <c r="AO13" s="236"/>
      <c r="AR13" t="s">
        <v>3638</v>
      </c>
      <c r="AU13" t="s">
        <v>881</v>
      </c>
      <c r="AV13" t="s">
        <v>4216</v>
      </c>
      <c r="AW13" t="str">
        <f>IFERROR(IF(('Gen Info'!$AM$2)&amp;"_DocsQ"=$AU$4,IF(VLOOKUP(IndependentUnited_States_DocsQ[[#This Row],[iWatch Number]],'Gen Info'!$J$17:$M$50,4,FALSE)=0,"",VLOOKUP(IndependentUnited_States_DocsQ[[#This Row],[iWatch Number]],'Gen Info'!$J$17:$M$50,4,FALSE)),""),"")</f>
        <v/>
      </c>
      <c r="AX13" t="str">
        <f ca="1">IFERROR("_"&amp;VLOOKUP(IndependentUnited_States_DocsQ[[#This Row],[iWatch Number]],INDIRECT('Gen Info'!$D$4),3,FALSE),"_"&amp;VLOOKUP(IndependentUnited_States_DocsQ[[#This Row],[iWatch Number]],INDIRECT('Gen Info'!$D$4&amp;"_"&amp;'Gen Info'!$E$4),3,FALSE))</f>
        <v>_3</v>
      </c>
      <c r="AY13" t="str">
        <f ca="1">IFERROR(VLOOKUP(IndependentUnited_States_DocsQ[[#This Row],[iWatch Number]],INDIRECT('Gen Info'!$D$4),2,FALSE),VLOOKUP(IndependentUnited_States_DocsQ[[#This Row],[iWatch Number]],INDIRECT('Gen Info'!$D$4&amp;"_"&amp;'Gen Info'!$E$4),2,FALSE))</f>
        <v>For Send transactions, is the consumer charged the exact amount (principal plus fees and taxes) listed on the Western Union send receipt?</v>
      </c>
      <c r="AZ13" t="s">
        <v>42</v>
      </c>
      <c r="BA13" t="s">
        <v>881</v>
      </c>
      <c r="BB13" t="s">
        <v>4216</v>
      </c>
      <c r="BC13" t="str">
        <f>IFERROR(IF(('Gen Info'!$AM$2)&amp;"_DocsQ"=$BA$4,IF(VLOOKUP(IndependentCanada_DocsQ[[#This Row],[iWatch Number]],'Gen Info'!$J$17:$M$50,4,FALSE)=0,"",VLOOKUP(IndependentCanada_DocsQ[[#This Row],[iWatch Number]],'Gen Info'!$J$22:$M$50,4,FALSE)),""),"")</f>
        <v/>
      </c>
      <c r="BD13" t="str">
        <f ca="1">IFERROR("_"&amp;VLOOKUP(IndependentCanada_DocsQ[[#This Row],[iWatch Number]],INDIRECT('Gen Info'!$D$4),3,FALSE),"_"&amp;VLOOKUP(IndependentCanada_DocsQ[[#This Row],[iWatch Number]],INDIRECT('Gen Info'!$D$4&amp;"_"&amp;'Gen Info'!$E$4),3,FALSE))</f>
        <v>_3</v>
      </c>
      <c r="BE13" t="str">
        <f ca="1">IFERROR(VLOOKUP(IndependentCanada_DocsQ[[#This Row],[iWatch Number]],INDIRECT('Gen Info'!$D$4),2,FALSE),VLOOKUP(IndependentCanada_DocsQ[[#This Row],[iWatch Number]],INDIRECT('Gen Info'!$D$4&amp;"_"&amp;'Gen Info'!$E$4),2,FALSE))</f>
        <v>For Send transactions, is the consumer charged the exact amount (principal plus fees and taxes) listed on the Western Union send receipt?</v>
      </c>
      <c r="BF13" t="s">
        <v>42</v>
      </c>
      <c r="BG13" t="s">
        <v>881</v>
      </c>
      <c r="BH13" t="s">
        <v>4216</v>
      </c>
      <c r="BI13" t="str">
        <f>IFERROR(IF(('Gen Info'!$AM$2)&amp;"_DocsQ"=$BG$4,IF(VLOOKUP(IndependentAustralia_DocsQ[[#This Row],[iWatch Number]],'Gen Info'!$J$17:$M$50,4,FALSE)=0,"",VLOOKUP(IndependentAustralia_DocsQ[[#This Row],[iWatch Number]],'Gen Info'!$J$17:$M$50,4,FALSE)),""),"")</f>
        <v/>
      </c>
      <c r="BJ13" t="str">
        <f ca="1">IFERROR("_"&amp;VLOOKUP(IndependentAustralia_DocsQ[[#This Row],[iWatch Number]],INDIRECT('Gen Info'!$D$4),3,FALSE),"_"&amp;VLOOKUP(IndependentAustralia_DocsQ[[#This Row],[iWatch Number]],INDIRECT('Gen Info'!$D$4&amp;"_"&amp;'Gen Info'!$E$4),3,FALSE))</f>
        <v>_3</v>
      </c>
      <c r="BK13" t="str">
        <f ca="1">IFERROR(VLOOKUP(IndependentAustralia_DocsQ[[#This Row],[iWatch Number]],INDIRECT('Gen Info'!$D$4),2,FALSE),VLOOKUP(IndependentAustralia_DocsQ[[#This Row],[iWatch Number]],INDIRECT('Gen Info'!$D$4&amp;"_"&amp;'Gen Info'!$E$4),2,FALSE))</f>
        <v>For Send transactions, is the consumer charged the exact amount (principal plus fees and taxes) listed on the Western Union send receipt?</v>
      </c>
      <c r="BL13" t="s">
        <v>42</v>
      </c>
      <c r="BM13" t="s">
        <v>797</v>
      </c>
      <c r="BN13" t="s">
        <v>4216</v>
      </c>
      <c r="BO13" t="str">
        <f>IF(('Gen Info'!$AM$2)&amp;"_DocsQ"=$BM$4,IF(VLOOKUP(Master_Agent_HQsUnited_States_DocsQ[[#This Row],[iWatch Number]],'Gen Info'!$J$17:$M$50,4,FALSE)=0,"",VLOOKUP(Master_Agent_HQsUnited_States_DocsQ[[#This Row],[iWatch Number]],'Gen Info'!$J$17:$M$50,4,FALSE)),"")</f>
        <v/>
      </c>
      <c r="BP13" t="str">
        <f ca="1">IFERROR("_"&amp;VLOOKUP(Master_Agent_HQsUnited_States_DocsQ[[#This Row],[iWatch Number]],INDIRECT('Gen Info'!$D$4),3,FALSE),"_"&amp;VLOOKUP(Master_Agent_HQsUnited_States_DocsQ[[#This Row],[iWatch Number]],INDIRECT('Gen Info'!$D$4&amp;"_"&amp;'Gen Info'!$E$4),3,FALSE))</f>
        <v>_3</v>
      </c>
      <c r="BQ13" t="str">
        <f ca="1">IFERROR(VLOOKUP(Master_Agent_HQsUnited_States_DocsQ[[#This Row],[iWatch Number]],INDIRECT('Gen Info'!$D$4),2,FALSE),VLOOKUP(Master_Agent_HQsUnited_States_DocsQ[[#This Row],[iWatch Number]],INDIRECT('Gen Info'!$D$4&amp;"_"&amp;'Gen Info'!$E$4),2,FALSE))</f>
        <v xml:space="preserve">During pre-work, does a review of  transactions show no or minimal Data integrity issues including invalid, illegible, incomplete, missing, or conflicting biographical data for consumers or recipients of money transfers (Specifically: Names, Addresses, Telephone numbers and identifications)? </v>
      </c>
      <c r="BR13" t="s">
        <v>42</v>
      </c>
      <c r="BS13" t="s">
        <v>797</v>
      </c>
      <c r="BT13" t="s">
        <v>4216</v>
      </c>
      <c r="BU13" t="str">
        <f>IFERROR(IF(('Gen Info'!$AM$2)&amp;"_DocsQ"=$BS$4,IF(VLOOKUP(Master_Agent_HQsMalaysia_DocsQ[[#This Row],[iWatch Number]],'Gen Info'!$J$17:$M$50,4,FALSE)=0,"",VLOOKUP(Master_Agent_HQsMalaysia_DocsQ[[#This Row],[iWatch Number]],'Gen Info'!$J$17:$M$50,4,FALSE)),""),"")</f>
        <v/>
      </c>
      <c r="BV13" t="str">
        <f ca="1">IFERROR("_"&amp;VLOOKUP(Master_Agent_HQsMalaysia_DocsQ[[#This Row],[iWatch Number]],INDIRECT('Gen Info'!$D$4),3,FALSE),"_"&amp;VLOOKUP(Master_Agent_HQsMalaysia_DocsQ[[#This Row],[iWatch Number]],INDIRECT('Gen Info'!$D$4&amp;"_"&amp;'Gen Info'!$E$4),3,FALSE))</f>
        <v>_3</v>
      </c>
      <c r="BW13" t="str">
        <f ca="1">IFERROR(VLOOKUP(Master_Agent_HQsMalaysia_DocsQ[[#This Row],[iWatch Number]],INDIRECT('Gen Info'!$D$4),2,FALSE),VLOOKUP(Master_Agent_HQsMalaysia_DocsQ[[#This Row],[iWatch Number]],INDIRECT('Gen Info'!$D$4&amp;"_"&amp;'Gen Info'!$E$4),2,FALSE))</f>
        <v xml:space="preserve">During pre-work, does a review of  transactions show no or minimal Data integrity issues including invalid, illegible, incomplete, missing, or conflicting biographical data for consumers or recipients of money transfers (Specifically: Names, Addresses, Telephone numbers and identifications)? </v>
      </c>
      <c r="BY13" t="s">
        <v>797</v>
      </c>
      <c r="BZ13" t="s">
        <v>4216</v>
      </c>
      <c r="CA13" t="str">
        <f>IFERROR(IF(('Gen Info'!$AM$2)&amp;"_DocsQ"=$BY$4,IF(VLOOKUP(Master_Agent_HQsCanada_DocsQ[[#This Row],[iWatch Number]],'Gen Info'!$J$17:$M$50,4,FALSE)=0,"",VLOOKUP(Master_Agent_HQsCanada_DocsQ[[#This Row],[iWatch Number]],'Gen Info'!$J$17:$M$50,4,FALSE)),""),"")</f>
        <v/>
      </c>
      <c r="CB13" t="str">
        <f ca="1">IFERROR("_"&amp;VLOOKUP(Master_Agent_HQsCanada_DocsQ[[#This Row],[iWatch Number]],INDIRECT('Gen Info'!$D$4),3,FALSE),"_"&amp;VLOOKUP(Master_Agent_HQsCanada_DocsQ[[#This Row],[iWatch Number]],INDIRECT('Gen Info'!$D$4&amp;"_"&amp;'Gen Info'!$E$4),3,FALSE))</f>
        <v>_3</v>
      </c>
      <c r="CC13" t="str">
        <f ca="1">IFERROR(VLOOKUP(Master_Agent_HQsCanada_DocsQ[[#This Row],[iWatch Number]],INDIRECT('Gen Info'!$D$4),2,FALSE),VLOOKUP(Master_Agent_HQsCanada_DocsQ[[#This Row],[iWatch Number]],INDIRECT('Gen Info'!$D$4&amp;"_"&amp;'Gen Info'!$E$4),2,FALSE))</f>
        <v xml:space="preserve">During pre-work, does a review of  transactions show no or minimal Data integrity issues including invalid, illegible, incomplete, missing, or conflicting biographical data for consumers or recipients of money transfers (Specifically: Names, Addresses, Telephone numbers and identifications)? </v>
      </c>
      <c r="CI13" t="s">
        <v>3481</v>
      </c>
      <c r="CJ13" t="s">
        <v>4220</v>
      </c>
      <c r="CK13" t="s">
        <v>4228</v>
      </c>
      <c r="CL13" t="s">
        <v>4240</v>
      </c>
      <c r="CM13" t="s">
        <v>4220</v>
      </c>
      <c r="CN13" t="s">
        <v>4220</v>
      </c>
      <c r="CO13" t="s">
        <v>4220</v>
      </c>
    </row>
    <row r="14" spans="5:93" ht="14.5">
      <c r="E14" s="229"/>
      <c r="F14" s="176"/>
      <c r="G14" s="176"/>
      <c r="H14" s="176"/>
      <c r="I14" s="176"/>
      <c r="J14" s="237"/>
      <c r="K14" s="176"/>
      <c r="P14" s="221" t="s">
        <v>4200</v>
      </c>
      <c r="Q14" s="9" t="str">
        <f>"Compliance Review Findings Letter "&amp;"/ "&amp;" Lettre de Résultats de la Revue du Programme de Conformité: "&amp;"Replace_AgentName_Here "&amp;"(Replace_AgentAccountIDs_Here)"</f>
        <v>Compliance Review Findings Letter /  Lettre de Résultats de la Revue du Programme de Conformité: Replace_AgentName_Here (Replace_AgentAccountIDs_Here)</v>
      </c>
      <c r="R14" s="9" t="str">
        <f>"Compliance Review Findings Letter "&amp;"/ "&amp;" Lettre de Résultats de la Revue du Programme de Conformité: "&amp;"Replace_AgentName_Here "&amp;"(Replace_AgentAccountIDs_Here)"</f>
        <v>Compliance Review Findings Letter /  Lettre de Résultats de la Revue du Programme de Conformité: Replace_AgentName_Here (Replace_AgentAccountIDs_Here)</v>
      </c>
      <c r="T14" s="231" t="s">
        <v>3560</v>
      </c>
      <c r="U14" s="232" t="s">
        <v>4231</v>
      </c>
      <c r="AA14" s="238"/>
      <c r="AC14" s="70" t="s">
        <v>4261</v>
      </c>
      <c r="AD14" s="70" t="s">
        <v>3495</v>
      </c>
      <c r="AE14" s="70" t="s">
        <v>3481</v>
      </c>
      <c r="AF14" s="70" t="s">
        <v>4262</v>
      </c>
      <c r="AJ14" s="236"/>
      <c r="AK14" s="236"/>
      <c r="AL14" s="236"/>
      <c r="AM14" s="236"/>
      <c r="AN14" s="236"/>
      <c r="AO14" s="236"/>
      <c r="AU14" t="s">
        <v>906</v>
      </c>
      <c r="AV14" t="s">
        <v>4263</v>
      </c>
      <c r="AW14" t="str">
        <f>IFERROR(IF(('Gen Info'!$AM$2)&amp;"_DocsQ"=$AU$4,IF(VLOOKUP(IndependentUnited_States_DocsQ[[#This Row],[iWatch Number]],'Gen Info'!$J$17:$M$50,4,FALSE)=0,"",VLOOKUP(IndependentUnited_States_DocsQ[[#This Row],[iWatch Number]],'Gen Info'!$J$17:$M$50,4,FALSE)),""),"")</f>
        <v/>
      </c>
      <c r="AX14" t="str">
        <f ca="1">IFERROR("_"&amp;VLOOKUP(IndependentUnited_States_DocsQ[[#This Row],[iWatch Number]],INDIRECT('Gen Info'!$D$4),3,FALSE),"_"&amp;VLOOKUP(IndependentUnited_States_DocsQ[[#This Row],[iWatch Number]],INDIRECT('Gen Info'!$D$4&amp;"_"&amp;'Gen Info'!$E$4),3,FALSE))</f>
        <v>_2</v>
      </c>
      <c r="AY14" t="str">
        <f ca="1">IFERROR(VLOOKUP(IndependentUnited_States_DocsQ[[#This Row],[iWatch Number]],INDIRECT('Gen Info'!$D$4),2,FALSE),VLOOKUP(IndependentUnited_States_DocsQ[[#This Row],[iWatch Number]],INDIRECT('Gen Info'!$D$4&amp;"_"&amp;'Gen Info'!$E$4),2,FALSE))</f>
        <v>Is this an EFRAL Post reactivation Quarterly Review?</v>
      </c>
      <c r="AZ14" t="s">
        <v>42</v>
      </c>
      <c r="BA14" t="s">
        <v>906</v>
      </c>
      <c r="BB14" t="s">
        <v>4263</v>
      </c>
      <c r="BC14" t="str">
        <f>IFERROR(IF(('Gen Info'!$AM$2)&amp;"_DocsQ"=$BA$4,IF(VLOOKUP(IndependentCanada_DocsQ[[#This Row],[iWatch Number]],'Gen Info'!$J$17:$M$50,4,FALSE)=0,"",VLOOKUP(IndependentCanada_DocsQ[[#This Row],[iWatch Number]],'Gen Info'!$J$22:$M$50,4,FALSE)),""),"")</f>
        <v/>
      </c>
      <c r="BD14" t="str">
        <f ca="1">IFERROR("_"&amp;VLOOKUP(IndependentCanada_DocsQ[[#This Row],[iWatch Number]],INDIRECT('Gen Info'!$D$4),3,FALSE),"_"&amp;VLOOKUP(IndependentCanada_DocsQ[[#This Row],[iWatch Number]],INDIRECT('Gen Info'!$D$4&amp;"_"&amp;'Gen Info'!$E$4),3,FALSE))</f>
        <v>_2</v>
      </c>
      <c r="BE14" t="str">
        <f ca="1">IFERROR(VLOOKUP(IndependentCanada_DocsQ[[#This Row],[iWatch Number]],INDIRECT('Gen Info'!$D$4),2,FALSE),VLOOKUP(IndependentCanada_DocsQ[[#This Row],[iWatch Number]],INDIRECT('Gen Info'!$D$4&amp;"_"&amp;'Gen Info'!$E$4),2,FALSE))</f>
        <v>Is this an EFRAL Post reactivation Quarterly Review?</v>
      </c>
      <c r="BF14" t="s">
        <v>42</v>
      </c>
      <c r="BG14" t="s">
        <v>906</v>
      </c>
      <c r="BH14" t="s">
        <v>4263</v>
      </c>
      <c r="BI14" t="str">
        <f>IFERROR(IF(('Gen Info'!$AM$2)&amp;"_DocsQ"=$BG$4,IF(VLOOKUP(IndependentAustralia_DocsQ[[#This Row],[iWatch Number]],'Gen Info'!$J$17:$M$50,4,FALSE)=0,"",VLOOKUP(IndependentAustralia_DocsQ[[#This Row],[iWatch Number]],'Gen Info'!$J$17:$M$50,4,FALSE)),""),"")</f>
        <v/>
      </c>
      <c r="BJ14" t="str">
        <f ca="1">IFERROR("_"&amp;VLOOKUP(IndependentAustralia_DocsQ[[#This Row],[iWatch Number]],INDIRECT('Gen Info'!$D$4),3,FALSE),"_"&amp;VLOOKUP(IndependentAustralia_DocsQ[[#This Row],[iWatch Number]],INDIRECT('Gen Info'!$D$4&amp;"_"&amp;'Gen Info'!$E$4),3,FALSE))</f>
        <v>_2</v>
      </c>
      <c r="BK14" t="str">
        <f ca="1">IFERROR(VLOOKUP(IndependentAustralia_DocsQ[[#This Row],[iWatch Number]],INDIRECT('Gen Info'!$D$4),2,FALSE),VLOOKUP(IndependentAustralia_DocsQ[[#This Row],[iWatch Number]],INDIRECT('Gen Info'!$D$4&amp;"_"&amp;'Gen Info'!$E$4),2,FALSE))</f>
        <v>Is this an EFRAL Post reactivation Quarterly Review?</v>
      </c>
      <c r="BL14" t="s">
        <v>42</v>
      </c>
      <c r="BM14" t="s">
        <v>881</v>
      </c>
      <c r="BN14" t="s">
        <v>4249</v>
      </c>
      <c r="BO14" t="str">
        <f>IF(('Gen Info'!$AM$2)&amp;"_DocsQ"=$BM$4,IF(VLOOKUP(Master_Agent_HQsUnited_States_DocsQ[[#This Row],[iWatch Number]],'Gen Info'!$J$17:$M$50,4,FALSE)=0,"",VLOOKUP(Master_Agent_HQsUnited_States_DocsQ[[#This Row],[iWatch Number]],'Gen Info'!$J$17:$M$50,4,FALSE)),"")</f>
        <v/>
      </c>
      <c r="BP14" t="str">
        <f ca="1">IFERROR("_"&amp;VLOOKUP(Master_Agent_HQsUnited_States_DocsQ[[#This Row],[iWatch Number]],INDIRECT('Gen Info'!$D$4),3,FALSE),"_"&amp;VLOOKUP(Master_Agent_HQsUnited_States_DocsQ[[#This Row],[iWatch Number]],INDIRECT('Gen Info'!$D$4&amp;"_"&amp;'Gen Info'!$E$4),3,FALSE))</f>
        <v>_3</v>
      </c>
      <c r="BQ14" t="str">
        <f ca="1">IFERROR(VLOOKUP(Master_Agent_HQsUnited_States_DocsQ[[#This Row],[iWatch Number]],INDIRECT('Gen Info'!$D$4),2,FALSE),VLOOKUP(Master_Agent_HQsUnited_States_DocsQ[[#This Row],[iWatch Number]],INDIRECT('Gen Info'!$D$4&amp;"_"&amp;'Gen Info'!$E$4),2,FALSE))</f>
        <v>For Send transactions, is the consumer charged the exact amount (principal plus fees and taxes) listed on the Western Union send receipt?</v>
      </c>
      <c r="BR14" t="s">
        <v>42</v>
      </c>
      <c r="BS14" t="s">
        <v>881</v>
      </c>
      <c r="BT14" t="s">
        <v>4249</v>
      </c>
      <c r="BU14" t="str">
        <f>IFERROR(IF(('Gen Info'!$AM$2)&amp;"_DocsQ"=$BS$4,IF(VLOOKUP(Master_Agent_HQsMalaysia_DocsQ[[#This Row],[iWatch Number]],'Gen Info'!$J$17:$M$50,4,FALSE)=0,"",VLOOKUP(Master_Agent_HQsMalaysia_DocsQ[[#This Row],[iWatch Number]],'Gen Info'!$J$17:$M$50,4,FALSE)),""),"")</f>
        <v/>
      </c>
      <c r="BV14" t="str">
        <f ca="1">IFERROR("_"&amp;VLOOKUP(Master_Agent_HQsMalaysia_DocsQ[[#This Row],[iWatch Number]],INDIRECT('Gen Info'!$D$4),3,FALSE),"_"&amp;VLOOKUP(Master_Agent_HQsMalaysia_DocsQ[[#This Row],[iWatch Number]],INDIRECT('Gen Info'!$D$4&amp;"_"&amp;'Gen Info'!$E$4),3,FALSE))</f>
        <v>_3</v>
      </c>
      <c r="BW14" t="str">
        <f ca="1">IFERROR(VLOOKUP(Master_Agent_HQsMalaysia_DocsQ[[#This Row],[iWatch Number]],INDIRECT('Gen Info'!$D$4),2,FALSE),VLOOKUP(Master_Agent_HQsMalaysia_DocsQ[[#This Row],[iWatch Number]],INDIRECT('Gen Info'!$D$4&amp;"_"&amp;'Gen Info'!$E$4),2,FALSE))</f>
        <v>For Send transactions, is the consumer charged the exact amount (principal plus fees and taxes) listed on the Western Union send receipt?</v>
      </c>
      <c r="BY14" t="s">
        <v>881</v>
      </c>
      <c r="BZ14" t="s">
        <v>4249</v>
      </c>
      <c r="CA14" t="str">
        <f>IFERROR(IF(('Gen Info'!$AM$2)&amp;"_DocsQ"=$BY$4,IF(VLOOKUP(Master_Agent_HQsCanada_DocsQ[[#This Row],[iWatch Number]],'Gen Info'!$J$17:$M$50,4,FALSE)=0,"",VLOOKUP(Master_Agent_HQsCanada_DocsQ[[#This Row],[iWatch Number]],'Gen Info'!$J$17:$M$50,4,FALSE)),""),"")</f>
        <v/>
      </c>
      <c r="CB14" t="str">
        <f ca="1">IFERROR("_"&amp;VLOOKUP(Master_Agent_HQsCanada_DocsQ[[#This Row],[iWatch Number]],INDIRECT('Gen Info'!$D$4),3,FALSE),"_"&amp;VLOOKUP(Master_Agent_HQsCanada_DocsQ[[#This Row],[iWatch Number]],INDIRECT('Gen Info'!$D$4&amp;"_"&amp;'Gen Info'!$E$4),3,FALSE))</f>
        <v>_3</v>
      </c>
      <c r="CC14" t="str">
        <f ca="1">IFERROR(VLOOKUP(Master_Agent_HQsCanada_DocsQ[[#This Row],[iWatch Number]],INDIRECT('Gen Info'!$D$4),2,FALSE),VLOOKUP(Master_Agent_HQsCanada_DocsQ[[#This Row],[iWatch Number]],INDIRECT('Gen Info'!$D$4&amp;"_"&amp;'Gen Info'!$E$4),2,FALSE))</f>
        <v>For Send transactions, is the consumer charged the exact amount (principal plus fees and taxes) listed on the Western Union send receipt?</v>
      </c>
      <c r="CI14" t="s">
        <v>3480</v>
      </c>
      <c r="CJ14" t="s">
        <v>4220</v>
      </c>
      <c r="CK14" t="s">
        <v>4228</v>
      </c>
      <c r="CL14" s="240" t="s">
        <v>42</v>
      </c>
      <c r="CM14" t="s">
        <v>4220</v>
      </c>
      <c r="CN14" t="s">
        <v>4220</v>
      </c>
      <c r="CO14" t="s">
        <v>4220</v>
      </c>
    </row>
    <row r="15" spans="5:93" ht="14.5">
      <c r="E15" s="229"/>
      <c r="F15" s="176"/>
      <c r="G15" s="241"/>
      <c r="H15" s="241"/>
      <c r="I15" s="241"/>
      <c r="J15" s="242"/>
      <c r="K15" s="176"/>
      <c r="T15" s="231" t="s">
        <v>3591</v>
      </c>
      <c r="U15" s="232" t="s">
        <v>4231</v>
      </c>
      <c r="AA15" s="238"/>
      <c r="AC15" s="70" t="s">
        <v>4264</v>
      </c>
      <c r="AD15" s="70" t="s">
        <v>3504</v>
      </c>
      <c r="AE15" s="70" t="s">
        <v>3481</v>
      </c>
      <c r="AF15" s="70" t="s">
        <v>4254</v>
      </c>
      <c r="AJ15" s="236"/>
      <c r="AK15" s="236"/>
      <c r="AL15" s="236"/>
      <c r="AM15" s="236"/>
      <c r="AN15" s="236"/>
      <c r="AO15" s="236"/>
      <c r="AU15" t="s">
        <v>914</v>
      </c>
      <c r="AV15" t="s">
        <v>4255</v>
      </c>
      <c r="AW15" t="str">
        <f>IFERROR(IF(('Gen Info'!$AM$2)&amp;"_DocsQ"=$AU$4,IF(VLOOKUP(IndependentUnited_States_DocsQ[[#This Row],[iWatch Number]],'Gen Info'!$J$17:$M$50,4,FALSE)=0,"",VLOOKUP(IndependentUnited_States_DocsQ[[#This Row],[iWatch Number]],'Gen Info'!$J$17:$M$50,4,FALSE)),""),"")</f>
        <v/>
      </c>
      <c r="AX15" t="str">
        <f ca="1">IFERROR("_"&amp;VLOOKUP(IndependentUnited_States_DocsQ[[#This Row],[iWatch Number]],INDIRECT('Gen Info'!$D$4),3,FALSE),"_"&amp;VLOOKUP(IndependentUnited_States_DocsQ[[#This Row],[iWatch Number]],INDIRECT('Gen Info'!$D$4&amp;"_"&amp;'Gen Info'!$E$4),3,FALSE))</f>
        <v>_2</v>
      </c>
      <c r="AY15" t="str">
        <f ca="1">IFERROR(VLOOKUP(IndependentUnited_States_DocsQ[[#This Row],[iWatch Number]],INDIRECT('Gen Info'!$D$4),2,FALSE),VLOOKUP(IndependentUnited_States_DocsQ[[#This Row],[iWatch Number]],INDIRECT('Gen Info'!$D$4&amp;"_"&amp;'Gen Info'!$E$4),2,FALSE))</f>
        <v>Do FLAs retain a photocopy or scan of the identification documents or biometric information presented by the recipient and retain the photocopies or images, along with the receive forms, for a period of five (5) years?</v>
      </c>
      <c r="AZ15" t="s">
        <v>42</v>
      </c>
      <c r="BA15" t="s">
        <v>914</v>
      </c>
      <c r="BB15" t="s">
        <v>4255</v>
      </c>
      <c r="BC15" t="str">
        <f>IFERROR(IF(('Gen Info'!$AM$2)&amp;"_DocsQ"=$BA$4,IF(VLOOKUP(IndependentCanada_DocsQ[[#This Row],[iWatch Number]],'Gen Info'!$J$17:$M$50,4,FALSE)=0,"",VLOOKUP(IndependentCanada_DocsQ[[#This Row],[iWatch Number]],'Gen Info'!$J$22:$M$50,4,FALSE)),""),"")</f>
        <v/>
      </c>
      <c r="BD15" t="str">
        <f ca="1">IFERROR("_"&amp;VLOOKUP(IndependentCanada_DocsQ[[#This Row],[iWatch Number]],INDIRECT('Gen Info'!$D$4),3,FALSE),"_"&amp;VLOOKUP(IndependentCanada_DocsQ[[#This Row],[iWatch Number]],INDIRECT('Gen Info'!$D$4&amp;"_"&amp;'Gen Info'!$E$4),3,FALSE))</f>
        <v>_2</v>
      </c>
      <c r="BE15" t="str">
        <f ca="1">IFERROR(VLOOKUP(IndependentCanada_DocsQ[[#This Row],[iWatch Number]],INDIRECT('Gen Info'!$D$4),2,FALSE),VLOOKUP(IndependentCanada_DocsQ[[#This Row],[iWatch Number]],INDIRECT('Gen Info'!$D$4&amp;"_"&amp;'Gen Info'!$E$4),2,FALSE))</f>
        <v>Do FLAs retain a photocopy or scan of the identification documents or biometric information presented by the recipient and retain the photocopies or images, along with the receive forms, for a period of five (5) years?</v>
      </c>
      <c r="BF15" t="s">
        <v>42</v>
      </c>
      <c r="BG15" t="s">
        <v>914</v>
      </c>
      <c r="BH15" t="s">
        <v>4255</v>
      </c>
      <c r="BI15" t="str">
        <f>IFERROR(IF(('Gen Info'!$AM$2)&amp;"_DocsQ"=$BG$4,IF(VLOOKUP(IndependentAustralia_DocsQ[[#This Row],[iWatch Number]],'Gen Info'!$J$17:$M$50,4,FALSE)=0,"",VLOOKUP(IndependentAustralia_DocsQ[[#This Row],[iWatch Number]],'Gen Info'!$J$17:$M$50,4,FALSE)),""),"")</f>
        <v/>
      </c>
      <c r="BJ15" t="str">
        <f ca="1">IFERROR("_"&amp;VLOOKUP(IndependentAustralia_DocsQ[[#This Row],[iWatch Number]],INDIRECT('Gen Info'!$D$4),3,FALSE),"_"&amp;VLOOKUP(IndependentAustralia_DocsQ[[#This Row],[iWatch Number]],INDIRECT('Gen Info'!$D$4&amp;"_"&amp;'Gen Info'!$E$4),3,FALSE))</f>
        <v>_2</v>
      </c>
      <c r="BK15" t="str">
        <f ca="1">IFERROR(VLOOKUP(IndependentAustralia_DocsQ[[#This Row],[iWatch Number]],INDIRECT('Gen Info'!$D$4),2,FALSE),VLOOKUP(IndependentAustralia_DocsQ[[#This Row],[iWatch Number]],INDIRECT('Gen Info'!$D$4&amp;"_"&amp;'Gen Info'!$E$4),2,FALSE))</f>
        <v>Do FLAs retain a photocopy or scan of the identification documents or biometric information presented by the recipient and retain the photocopies or images, along with the receive forms, for a period of five (5) years?</v>
      </c>
      <c r="BL15" t="s">
        <v>42</v>
      </c>
      <c r="BM15" t="s">
        <v>881</v>
      </c>
      <c r="BN15" t="s">
        <v>4249</v>
      </c>
      <c r="BO15" t="str">
        <f>IF(('Gen Info'!$AM$2)&amp;"_DocsQ"=$BM$4,IF(VLOOKUP(Master_Agent_HQsUnited_States_DocsQ[[#This Row],[iWatch Number]],'Gen Info'!$J$17:$M$50,4,FALSE)=0,"",VLOOKUP(Master_Agent_HQsUnited_States_DocsQ[[#This Row],[iWatch Number]],'Gen Info'!$J$17:$M$50,4,FALSE)),"")</f>
        <v/>
      </c>
      <c r="BP15" t="str">
        <f ca="1">IFERROR("_"&amp;VLOOKUP(Master_Agent_HQsUnited_States_DocsQ[[#This Row],[iWatch Number]],INDIRECT('Gen Info'!$D$4),3,FALSE),"_"&amp;VLOOKUP(Master_Agent_HQsUnited_States_DocsQ[[#This Row],[iWatch Number]],INDIRECT('Gen Info'!$D$4&amp;"_"&amp;'Gen Info'!$E$4),3,FALSE))</f>
        <v>_3</v>
      </c>
      <c r="BQ15" t="str">
        <f ca="1">IFERROR(VLOOKUP(Master_Agent_HQsUnited_States_DocsQ[[#This Row],[iWatch Number]],INDIRECT('Gen Info'!$D$4),2,FALSE),VLOOKUP(Master_Agent_HQsUnited_States_DocsQ[[#This Row],[iWatch Number]],INDIRECT('Gen Info'!$D$4&amp;"_"&amp;'Gen Info'!$E$4),2,FALSE))</f>
        <v>For Send transactions, is the consumer charged the exact amount (principal plus fees and taxes) listed on the Western Union send receipt?</v>
      </c>
      <c r="BR15" t="s">
        <v>42</v>
      </c>
      <c r="BS15" t="s">
        <v>881</v>
      </c>
      <c r="BT15" t="s">
        <v>4249</v>
      </c>
      <c r="BU15" t="str">
        <f>IFERROR(IF(('Gen Info'!$AM$2)&amp;"_DocsQ"=$BS$4,IF(VLOOKUP(Master_Agent_HQsMalaysia_DocsQ[[#This Row],[iWatch Number]],'Gen Info'!$J$17:$M$50,4,FALSE)=0,"",VLOOKUP(Master_Agent_HQsMalaysia_DocsQ[[#This Row],[iWatch Number]],'Gen Info'!$J$17:$M$50,4,FALSE)),""),"")</f>
        <v/>
      </c>
      <c r="BV15" t="str">
        <f ca="1">IFERROR("_"&amp;VLOOKUP(Master_Agent_HQsMalaysia_DocsQ[[#This Row],[iWatch Number]],INDIRECT('Gen Info'!$D$4),3,FALSE),"_"&amp;VLOOKUP(Master_Agent_HQsMalaysia_DocsQ[[#This Row],[iWatch Number]],INDIRECT('Gen Info'!$D$4&amp;"_"&amp;'Gen Info'!$E$4),3,FALSE))</f>
        <v>_3</v>
      </c>
      <c r="BW15" t="str">
        <f ca="1">IFERROR(VLOOKUP(Master_Agent_HQsMalaysia_DocsQ[[#This Row],[iWatch Number]],INDIRECT('Gen Info'!$D$4),2,FALSE),VLOOKUP(Master_Agent_HQsMalaysia_DocsQ[[#This Row],[iWatch Number]],INDIRECT('Gen Info'!$D$4&amp;"_"&amp;'Gen Info'!$E$4),2,FALSE))</f>
        <v>For Send transactions, is the consumer charged the exact amount (principal plus fees and taxes) listed on the Western Union send receipt?</v>
      </c>
      <c r="BY15" t="s">
        <v>881</v>
      </c>
      <c r="BZ15" t="s">
        <v>4249</v>
      </c>
      <c r="CA15" t="str">
        <f>IFERROR(IF(('Gen Info'!$AM$2)&amp;"_DocsQ"=$BY$4,IF(VLOOKUP(Master_Agent_HQsCanada_DocsQ[[#This Row],[iWatch Number]],'Gen Info'!$J$17:$M$50,4,FALSE)=0,"",VLOOKUP(Master_Agent_HQsCanada_DocsQ[[#This Row],[iWatch Number]],'Gen Info'!$J$17:$M$50,4,FALSE)),""),"")</f>
        <v/>
      </c>
      <c r="CB15" t="str">
        <f ca="1">IFERROR("_"&amp;VLOOKUP(Master_Agent_HQsCanada_DocsQ[[#This Row],[iWatch Number]],INDIRECT('Gen Info'!$D$4),3,FALSE),"_"&amp;VLOOKUP(Master_Agent_HQsCanada_DocsQ[[#This Row],[iWatch Number]],INDIRECT('Gen Info'!$D$4&amp;"_"&amp;'Gen Info'!$E$4),3,FALSE))</f>
        <v>_3</v>
      </c>
      <c r="CC15" t="str">
        <f ca="1">IFERROR(VLOOKUP(Master_Agent_HQsCanada_DocsQ[[#This Row],[iWatch Number]],INDIRECT('Gen Info'!$D$4),2,FALSE),VLOOKUP(Master_Agent_HQsCanada_DocsQ[[#This Row],[iWatch Number]],INDIRECT('Gen Info'!$D$4&amp;"_"&amp;'Gen Info'!$E$4),2,FALSE))</f>
        <v>For Send transactions, is the consumer charged the exact amount (principal plus fees and taxes) listed on the Western Union send receipt?</v>
      </c>
      <c r="CI15" t="s">
        <v>3478</v>
      </c>
      <c r="CJ15" t="s">
        <v>4220</v>
      </c>
      <c r="CK15" t="s">
        <v>4228</v>
      </c>
      <c r="CL15" s="240" t="s">
        <v>42</v>
      </c>
      <c r="CM15" t="s">
        <v>4220</v>
      </c>
      <c r="CN15" t="s">
        <v>4220</v>
      </c>
      <c r="CO15" t="s">
        <v>4220</v>
      </c>
    </row>
    <row r="16" spans="5:93" ht="14.5">
      <c r="E16" s="229"/>
      <c r="F16" s="176"/>
      <c r="G16" s="176"/>
      <c r="H16" s="176"/>
      <c r="I16" s="176"/>
      <c r="J16" s="237"/>
      <c r="K16" s="176"/>
      <c r="P16" t="s">
        <v>4265</v>
      </c>
      <c r="T16" s="231" t="s">
        <v>3604</v>
      </c>
      <c r="U16" s="232" t="s">
        <v>4231</v>
      </c>
      <c r="AA16" s="238"/>
      <c r="AC16" s="70" t="s">
        <v>4266</v>
      </c>
      <c r="AD16" s="70" t="s">
        <v>3510</v>
      </c>
      <c r="AE16" s="70" t="s">
        <v>3481</v>
      </c>
      <c r="AF16" s="70" t="s">
        <v>4254</v>
      </c>
      <c r="AJ16" s="236"/>
      <c r="AK16" s="236"/>
      <c r="AL16" s="236"/>
      <c r="AM16" s="236"/>
      <c r="AN16" s="236"/>
      <c r="AO16" s="236"/>
      <c r="AU16" t="s">
        <v>918</v>
      </c>
      <c r="AV16" t="s">
        <v>4255</v>
      </c>
      <c r="AW16" t="str">
        <f>IFERROR(IF(('Gen Info'!$AM$2)&amp;"_DocsQ"=$AU$4,IF(VLOOKUP(IndependentUnited_States_DocsQ[[#This Row],[iWatch Number]],'Gen Info'!$J$17:$M$50,4,FALSE)=0,"",VLOOKUP(IndependentUnited_States_DocsQ[[#This Row],[iWatch Number]],'Gen Info'!$J$17:$M$50,4,FALSE)),""),"")</f>
        <v/>
      </c>
      <c r="AX16" t="str">
        <f ca="1">IFERROR("_"&amp;VLOOKUP(IndependentUnited_States_DocsQ[[#This Row],[iWatch Number]],INDIRECT('Gen Info'!$D$4),3,FALSE),"_"&amp;VLOOKUP(IndependentUnited_States_DocsQ[[#This Row],[iWatch Number]],INDIRECT('Gen Info'!$D$4&amp;"_"&amp;'Gen Info'!$E$4),3,FALSE))</f>
        <v>_</v>
      </c>
      <c r="AY16" t="str">
        <f ca="1">IFERROR(VLOOKUP(IndependentUnited_States_DocsQ[[#This Row],[iWatch Number]],INDIRECT('Gen Info'!$D$4),2,FALSE),VLOOKUP(IndependentUnited_States_DocsQ[[#This Row],[iWatch Number]],INDIRECT('Gen Info'!$D$4&amp;"_"&amp;'Gen Info'!$E$4),2,FALSE))</f>
        <v>Explicit statement that WUCO has verified the retention of identity documents and/or biometric information presented by receivers; attachment the document.  (see RRVA Attachment Requirements)</v>
      </c>
      <c r="AZ16" t="s">
        <v>42</v>
      </c>
      <c r="BA16" t="s">
        <v>918</v>
      </c>
      <c r="BB16" t="s">
        <v>4255</v>
      </c>
      <c r="BC16" t="str">
        <f>IFERROR(IF(('Gen Info'!$AM$2)&amp;"_DocsQ"=$BA$4,IF(VLOOKUP(IndependentCanada_DocsQ[[#This Row],[iWatch Number]],'Gen Info'!$J$17:$M$50,4,FALSE)=0,"",VLOOKUP(IndependentCanada_DocsQ[[#This Row],[iWatch Number]],'Gen Info'!$J$22:$M$50,4,FALSE)),""),"")</f>
        <v/>
      </c>
      <c r="BD16" t="str">
        <f ca="1">IFERROR("_"&amp;VLOOKUP(IndependentCanada_DocsQ[[#This Row],[iWatch Number]],INDIRECT('Gen Info'!$D$4),3,FALSE),"_"&amp;VLOOKUP(IndependentCanada_DocsQ[[#This Row],[iWatch Number]],INDIRECT('Gen Info'!$D$4&amp;"_"&amp;'Gen Info'!$E$4),3,FALSE))</f>
        <v>_</v>
      </c>
      <c r="BE16" t="str">
        <f ca="1">IFERROR(VLOOKUP(IndependentCanada_DocsQ[[#This Row],[iWatch Number]],INDIRECT('Gen Info'!$D$4),2,FALSE),VLOOKUP(IndependentCanada_DocsQ[[#This Row],[iWatch Number]],INDIRECT('Gen Info'!$D$4&amp;"_"&amp;'Gen Info'!$E$4),2,FALSE))</f>
        <v>Explicit statement that WUCO has verified the retention of identity documents and/or biometric information presented by receivers; attachment the document.  (see RRVA Attachment Requirements)</v>
      </c>
      <c r="BF16" t="s">
        <v>42</v>
      </c>
      <c r="BG16" t="s">
        <v>918</v>
      </c>
      <c r="BH16" t="s">
        <v>4255</v>
      </c>
      <c r="BI16" t="str">
        <f>IFERROR(IF(('Gen Info'!$AM$2)&amp;"_DocsQ"=$BG$4,IF(VLOOKUP(IndependentAustralia_DocsQ[[#This Row],[iWatch Number]],'Gen Info'!$J$17:$M$50,4,FALSE)=0,"",VLOOKUP(IndependentAustralia_DocsQ[[#This Row],[iWatch Number]],'Gen Info'!$J$17:$M$50,4,FALSE)),""),"")</f>
        <v/>
      </c>
      <c r="BJ16" t="str">
        <f ca="1">IFERROR("_"&amp;VLOOKUP(IndependentAustralia_DocsQ[[#This Row],[iWatch Number]],INDIRECT('Gen Info'!$D$4),3,FALSE),"_"&amp;VLOOKUP(IndependentAustralia_DocsQ[[#This Row],[iWatch Number]],INDIRECT('Gen Info'!$D$4&amp;"_"&amp;'Gen Info'!$E$4),3,FALSE))</f>
        <v>_</v>
      </c>
      <c r="BK16" t="str">
        <f ca="1">IFERROR(VLOOKUP(IndependentAustralia_DocsQ[[#This Row],[iWatch Number]],INDIRECT('Gen Info'!$D$4),2,FALSE),VLOOKUP(IndependentAustralia_DocsQ[[#This Row],[iWatch Number]],INDIRECT('Gen Info'!$D$4&amp;"_"&amp;'Gen Info'!$E$4),2,FALSE))</f>
        <v>Explicit statement that WUCO has verified the retention of identity documents and/or biometric information presented by receivers; attachment the document.  (see RRVA Attachment Requirements)</v>
      </c>
      <c r="BL16" t="s">
        <v>42</v>
      </c>
      <c r="BM16" t="s">
        <v>1696</v>
      </c>
      <c r="BN16" t="s">
        <v>4249</v>
      </c>
      <c r="BO16" t="str">
        <f>IF(('Gen Info'!$AM$2)&amp;"_DocsQ"=$BM$4,IF(VLOOKUP(Master_Agent_HQsUnited_States_DocsQ[[#This Row],[iWatch Number]],'Gen Info'!$J$17:$M$50,4,FALSE)=0,"",VLOOKUP(Master_Agent_HQsUnited_States_DocsQ[[#This Row],[iWatch Number]],'Gen Info'!$J$17:$M$50,4,FALSE)),"")</f>
        <v/>
      </c>
      <c r="BP16" t="e">
        <f ca="1">IFERROR("_"&amp;VLOOKUP(Master_Agent_HQsUnited_States_DocsQ[[#This Row],[iWatch Number]],INDIRECT('Gen Info'!$D$4),3,FALSE),"_"&amp;VLOOKUP(Master_Agent_HQsUnited_States_DocsQ[[#This Row],[iWatch Number]],INDIRECT('Gen Info'!$D$4&amp;"_"&amp;'Gen Info'!$E$4),3,FALSE))</f>
        <v>#REF!</v>
      </c>
      <c r="BQ16" t="e">
        <f ca="1">IFERROR(VLOOKUP(Master_Agent_HQsUnited_States_DocsQ[[#This Row],[iWatch Number]],INDIRECT('Gen Info'!$D$4),2,FALSE),VLOOKUP(Master_Agent_HQsUnited_States_DocsQ[[#This Row],[iWatch Number]],INDIRECT('Gen Info'!$D$4&amp;"_"&amp;'Gen Info'!$E$4),2,FALSE))</f>
        <v>#REF!</v>
      </c>
      <c r="BR16" t="s">
        <v>42</v>
      </c>
      <c r="BS16" t="s">
        <v>1696</v>
      </c>
      <c r="BT16" t="s">
        <v>4249</v>
      </c>
      <c r="BU16" t="str">
        <f>IFERROR(IF(('Gen Info'!$AM$2)&amp;"_DocsQ"=$BS$4,IF(VLOOKUP(Master_Agent_HQsMalaysia_DocsQ[[#This Row],[iWatch Number]],'Gen Info'!$J$17:$M$50,4,FALSE)=0,"",VLOOKUP(Master_Agent_HQsMalaysia_DocsQ[[#This Row],[iWatch Number]],'Gen Info'!$J$17:$M$50,4,FALSE)),""),"")</f>
        <v/>
      </c>
      <c r="BV16" t="e">
        <f ca="1">IFERROR("_"&amp;VLOOKUP(Master_Agent_HQsMalaysia_DocsQ[[#This Row],[iWatch Number]],INDIRECT('Gen Info'!$D$4),3,FALSE),"_"&amp;VLOOKUP(Master_Agent_HQsMalaysia_DocsQ[[#This Row],[iWatch Number]],INDIRECT('Gen Info'!$D$4&amp;"_"&amp;'Gen Info'!$E$4),3,FALSE))</f>
        <v>#REF!</v>
      </c>
      <c r="BW16" t="e">
        <f ca="1">IFERROR(VLOOKUP(Master_Agent_HQsMalaysia_DocsQ[[#This Row],[iWatch Number]],INDIRECT('Gen Info'!$D$4),2,FALSE),VLOOKUP(Master_Agent_HQsMalaysia_DocsQ[[#This Row],[iWatch Number]],INDIRECT('Gen Info'!$D$4&amp;"_"&amp;'Gen Info'!$E$4),2,FALSE))</f>
        <v>#REF!</v>
      </c>
      <c r="BY16" t="s">
        <v>1696</v>
      </c>
      <c r="BZ16" t="s">
        <v>4249</v>
      </c>
      <c r="CA16" t="str">
        <f>IFERROR(IF(('Gen Info'!$AM$2)&amp;"_DocsQ"=$BY$4,IF(VLOOKUP(Master_Agent_HQsCanada_DocsQ[[#This Row],[iWatch Number]],'Gen Info'!$J$17:$M$50,4,FALSE)=0,"",VLOOKUP(Master_Agent_HQsCanada_DocsQ[[#This Row],[iWatch Number]],'Gen Info'!$J$17:$M$50,4,FALSE)),""),"")</f>
        <v/>
      </c>
      <c r="CB16" t="e">
        <f ca="1">IFERROR("_"&amp;VLOOKUP(Master_Agent_HQsCanada_DocsQ[[#This Row],[iWatch Number]],INDIRECT('Gen Info'!$D$4),3,FALSE),"_"&amp;VLOOKUP(Master_Agent_HQsCanada_DocsQ[[#This Row],[iWatch Number]],INDIRECT('Gen Info'!$D$4&amp;"_"&amp;'Gen Info'!$E$4),3,FALSE))</f>
        <v>#REF!</v>
      </c>
      <c r="CC16" t="e">
        <f ca="1">IFERROR(VLOOKUP(Master_Agent_HQsCanada_DocsQ[[#This Row],[iWatch Number]],INDIRECT('Gen Info'!$D$4),2,FALSE),VLOOKUP(Master_Agent_HQsCanada_DocsQ[[#This Row],[iWatch Number]],INDIRECT('Gen Info'!$D$4&amp;"_"&amp;'Gen Info'!$E$4),2,FALSE))</f>
        <v>#REF!</v>
      </c>
    </row>
    <row r="17" spans="5:89" ht="14.5">
      <c r="E17" s="229"/>
      <c r="F17" s="176"/>
      <c r="G17" s="176"/>
      <c r="H17" s="176"/>
      <c r="I17" s="176"/>
      <c r="J17" s="237"/>
      <c r="K17" s="176"/>
      <c r="P17" s="221" t="s">
        <v>4187</v>
      </c>
      <c r="Q17" s="9" t="s">
        <v>4267</v>
      </c>
      <c r="R17" s="9" t="s">
        <v>4268</v>
      </c>
      <c r="T17" s="231" t="s">
        <v>3526</v>
      </c>
      <c r="U17" s="232" t="s">
        <v>4231</v>
      </c>
      <c r="AA17" s="238"/>
      <c r="AC17" s="70" t="s">
        <v>4269</v>
      </c>
      <c r="AD17" s="70" t="s">
        <v>3515</v>
      </c>
      <c r="AE17" s="70" t="s">
        <v>3481</v>
      </c>
      <c r="AF17" s="70" t="s">
        <v>4254</v>
      </c>
      <c r="AJ17" s="236"/>
      <c r="AK17" s="236"/>
      <c r="AL17" s="236"/>
      <c r="AM17" s="236"/>
      <c r="AN17" s="236"/>
      <c r="AO17" s="236"/>
      <c r="AU17" t="s">
        <v>920</v>
      </c>
      <c r="AV17" t="s">
        <v>4255</v>
      </c>
      <c r="AW17" t="str">
        <f>IFERROR(IF(('Gen Info'!$AM$2)&amp;"_DocsQ"=$AU$4,IF(VLOOKUP(IndependentUnited_States_DocsQ[[#This Row],[iWatch Number]],'Gen Info'!$J$17:$M$50,4,FALSE)=0,"",VLOOKUP(IndependentUnited_States_DocsQ[[#This Row],[iWatch Number]],'Gen Info'!$J$17:$M$50,4,FALSE)),""),"")</f>
        <v/>
      </c>
      <c r="AX17" t="str">
        <f ca="1">IFERROR("_"&amp;VLOOKUP(IndependentUnited_States_DocsQ[[#This Row],[iWatch Number]],INDIRECT('Gen Info'!$D$4),3,FALSE),"_"&amp;VLOOKUP(IndependentUnited_States_DocsQ[[#This Row],[iWatch Number]],INDIRECT('Gen Info'!$D$4&amp;"_"&amp;'Gen Info'!$E$4),3,FALSE))</f>
        <v>_2</v>
      </c>
      <c r="AY17" t="str">
        <f ca="1">IFERROR(VLOOKUP(IndependentUnited_States_DocsQ[[#This Row],[iWatch Number]],INDIRECT('Gen Info'!$D$4),2,FALSE),VLOOKUP(IndependentUnited_States_DocsQ[[#This Row],[iWatch Number]],INDIRECT('Gen Info'!$D$4&amp;"_"&amp;'Gen Info'!$E$4),2,FALSE))</f>
        <v>Is this location a Send-Only EFRAL?</v>
      </c>
      <c r="AZ17" t="s">
        <v>42</v>
      </c>
      <c r="BA17" t="s">
        <v>920</v>
      </c>
      <c r="BB17" t="s">
        <v>4255</v>
      </c>
      <c r="BC17" t="str">
        <f>IFERROR(IF(('Gen Info'!$AM$2)&amp;"_DocsQ"=$BA$4,IF(VLOOKUP(IndependentCanada_DocsQ[[#This Row],[iWatch Number]],'Gen Info'!$J$17:$M$50,4,FALSE)=0,"",VLOOKUP(IndependentCanada_DocsQ[[#This Row],[iWatch Number]],'Gen Info'!$J$22:$M$50,4,FALSE)),""),"")</f>
        <v/>
      </c>
      <c r="BD17" t="str">
        <f ca="1">IFERROR("_"&amp;VLOOKUP(IndependentCanada_DocsQ[[#This Row],[iWatch Number]],INDIRECT('Gen Info'!$D$4),3,FALSE),"_"&amp;VLOOKUP(IndependentCanada_DocsQ[[#This Row],[iWatch Number]],INDIRECT('Gen Info'!$D$4&amp;"_"&amp;'Gen Info'!$E$4),3,FALSE))</f>
        <v>_2</v>
      </c>
      <c r="BE17" t="str">
        <f ca="1">IFERROR(VLOOKUP(IndependentCanada_DocsQ[[#This Row],[iWatch Number]],INDIRECT('Gen Info'!$D$4),2,FALSE),VLOOKUP(IndependentCanada_DocsQ[[#This Row],[iWatch Number]],INDIRECT('Gen Info'!$D$4&amp;"_"&amp;'Gen Info'!$E$4),2,FALSE))</f>
        <v>Is this location a Send-Only EFRAL?</v>
      </c>
      <c r="BF17" t="s">
        <v>42</v>
      </c>
      <c r="BG17" t="s">
        <v>920</v>
      </c>
      <c r="BH17" t="s">
        <v>4255</v>
      </c>
      <c r="BI17" t="str">
        <f>IFERROR(IF(('Gen Info'!$AM$2)&amp;"_DocsQ"=$BG$4,IF(VLOOKUP(IndependentAustralia_DocsQ[[#This Row],[iWatch Number]],'Gen Info'!$J$17:$M$50,4,FALSE)=0,"",VLOOKUP(IndependentAustralia_DocsQ[[#This Row],[iWatch Number]],'Gen Info'!$J$17:$M$50,4,FALSE)),""),"")</f>
        <v/>
      </c>
      <c r="BJ17" t="str">
        <f ca="1">IFERROR("_"&amp;VLOOKUP(IndependentAustralia_DocsQ[[#This Row],[iWatch Number]],INDIRECT('Gen Info'!$D$4),3,FALSE),"_"&amp;VLOOKUP(IndependentAustralia_DocsQ[[#This Row],[iWatch Number]],INDIRECT('Gen Info'!$D$4&amp;"_"&amp;'Gen Info'!$E$4),3,FALSE))</f>
        <v>_2</v>
      </c>
      <c r="BK17" t="str">
        <f ca="1">IFERROR(VLOOKUP(IndependentAustralia_DocsQ[[#This Row],[iWatch Number]],INDIRECT('Gen Info'!$D$4),2,FALSE),VLOOKUP(IndependentAustralia_DocsQ[[#This Row],[iWatch Number]],INDIRECT('Gen Info'!$D$4&amp;"_"&amp;'Gen Info'!$E$4),2,FALSE))</f>
        <v>Is this location a Send-Only EFRAL?</v>
      </c>
      <c r="BL17" t="s">
        <v>42</v>
      </c>
      <c r="BM17" t="s">
        <v>1702</v>
      </c>
      <c r="BN17" t="s">
        <v>4256</v>
      </c>
      <c r="BO17" t="str">
        <f>IF(('Gen Info'!$AM$2)&amp;"_DocsQ"=$BM$4,IF(VLOOKUP(Master_Agent_HQsUnited_States_DocsQ[[#This Row],[iWatch Number]],'Gen Info'!$J$17:$M$50,4,FALSE)=0,"",VLOOKUP(Master_Agent_HQsUnited_States_DocsQ[[#This Row],[iWatch Number]],'Gen Info'!$J$17:$M$50,4,FALSE)),"")</f>
        <v/>
      </c>
      <c r="BP17" t="e">
        <f ca="1">IFERROR("_"&amp;VLOOKUP(Master_Agent_HQsUnited_States_DocsQ[[#This Row],[iWatch Number]],INDIRECT('Gen Info'!$D$4),3,FALSE),"_"&amp;VLOOKUP(Master_Agent_HQsUnited_States_DocsQ[[#This Row],[iWatch Number]],INDIRECT('Gen Info'!$D$4&amp;"_"&amp;'Gen Info'!$E$4),3,FALSE))</f>
        <v>#REF!</v>
      </c>
      <c r="BQ17" t="e">
        <f ca="1">IFERROR(VLOOKUP(Master_Agent_HQsUnited_States_DocsQ[[#This Row],[iWatch Number]],INDIRECT('Gen Info'!$D$4),2,FALSE),VLOOKUP(Master_Agent_HQsUnited_States_DocsQ[[#This Row],[iWatch Number]],INDIRECT('Gen Info'!$D$4&amp;"_"&amp;'Gen Info'!$E$4),2,FALSE))</f>
        <v>#REF!</v>
      </c>
      <c r="BR17" t="s">
        <v>42</v>
      </c>
      <c r="BS17" t="s">
        <v>1702</v>
      </c>
      <c r="BT17" t="s">
        <v>4256</v>
      </c>
      <c r="BU17" t="str">
        <f>IFERROR(IF(('Gen Info'!$AM$2)&amp;"_DocsQ"=$BS$4,IF(VLOOKUP(Master_Agent_HQsMalaysia_DocsQ[[#This Row],[iWatch Number]],'Gen Info'!$J$17:$M$50,4,FALSE)=0,"",VLOOKUP(Master_Agent_HQsMalaysia_DocsQ[[#This Row],[iWatch Number]],'Gen Info'!$J$17:$M$50,4,FALSE)),""),"")</f>
        <v/>
      </c>
      <c r="BV17" t="e">
        <f ca="1">IFERROR("_"&amp;VLOOKUP(Master_Agent_HQsMalaysia_DocsQ[[#This Row],[iWatch Number]],INDIRECT('Gen Info'!$D$4),3,FALSE),"_"&amp;VLOOKUP(Master_Agent_HQsMalaysia_DocsQ[[#This Row],[iWatch Number]],INDIRECT('Gen Info'!$D$4&amp;"_"&amp;'Gen Info'!$E$4),3,FALSE))</f>
        <v>#REF!</v>
      </c>
      <c r="BW17" t="e">
        <f ca="1">IFERROR(VLOOKUP(Master_Agent_HQsMalaysia_DocsQ[[#This Row],[iWatch Number]],INDIRECT('Gen Info'!$D$4),2,FALSE),VLOOKUP(Master_Agent_HQsMalaysia_DocsQ[[#This Row],[iWatch Number]],INDIRECT('Gen Info'!$D$4&amp;"_"&amp;'Gen Info'!$E$4),2,FALSE))</f>
        <v>#REF!</v>
      </c>
      <c r="BY17" t="s">
        <v>1702</v>
      </c>
      <c r="BZ17" t="s">
        <v>4256</v>
      </c>
      <c r="CA17" t="str">
        <f>IFERROR(IF(('Gen Info'!$AM$2)&amp;"_DocsQ"=$BY$4,IF(VLOOKUP(Master_Agent_HQsCanada_DocsQ[[#This Row],[iWatch Number]],'Gen Info'!$J$17:$M$50,4,FALSE)=0,"",VLOOKUP(Master_Agent_HQsCanada_DocsQ[[#This Row],[iWatch Number]],'Gen Info'!$J$17:$M$50,4,FALSE)),""),"")</f>
        <v/>
      </c>
      <c r="CB17" t="e">
        <f ca="1">IFERROR("_"&amp;VLOOKUP(Master_Agent_HQsCanada_DocsQ[[#This Row],[iWatch Number]],INDIRECT('Gen Info'!$D$4),3,FALSE),"_"&amp;VLOOKUP(Master_Agent_HQsCanada_DocsQ[[#This Row],[iWatch Number]],INDIRECT('Gen Info'!$D$4&amp;"_"&amp;'Gen Info'!$E$4),3,FALSE))</f>
        <v>#REF!</v>
      </c>
      <c r="CC17" t="e">
        <f ca="1">IFERROR(VLOOKUP(Master_Agent_HQsCanada_DocsQ[[#This Row],[iWatch Number]],INDIRECT('Gen Info'!$D$4),2,FALSE),VLOOKUP(Master_Agent_HQsCanada_DocsQ[[#This Row],[iWatch Number]],INDIRECT('Gen Info'!$D$4&amp;"_"&amp;'Gen Info'!$E$4),2,FALSE))</f>
        <v>#REF!</v>
      </c>
    </row>
    <row r="18" spans="5:89" ht="14.5">
      <c r="E18" s="229"/>
      <c r="F18" s="176"/>
      <c r="G18" s="176"/>
      <c r="H18" s="176"/>
      <c r="I18" s="176"/>
      <c r="J18" s="237"/>
      <c r="K18" s="176"/>
      <c r="P18" s="221" t="s">
        <v>4200</v>
      </c>
      <c r="Q18" s="9" t="str">
        <f>"Compliance Review Findings Letter "&amp;"/ "&amp;" Carta de Itens identificados da Revisão de Compliance: "&amp;"Replace_AgentName_Here "&amp;"(Replace_AgentAccountIDs_Here)"</f>
        <v>Compliance Review Findings Letter /  Carta de Itens identificados da Revisão de Compliance: Replace_AgentName_Here (Replace_AgentAccountIDs_Here)</v>
      </c>
      <c r="R18" s="9" t="str">
        <f>"Compliance Review Findings Letter "&amp;"/ "&amp;" Carta de Itens identificados da Revisão de Compliance: "&amp;"Replace_AgentName_Here "&amp;"(Replace_AgentAccountIDs_Here)"</f>
        <v>Compliance Review Findings Letter /  Carta de Itens identificados da Revisão de Compliance: Replace_AgentName_Here (Replace_AgentAccountIDs_Here)</v>
      </c>
      <c r="T18" s="231" t="s">
        <v>3553</v>
      </c>
      <c r="U18" s="232" t="s">
        <v>4231</v>
      </c>
      <c r="AA18" s="238"/>
      <c r="AC18" s="70" t="s">
        <v>4270</v>
      </c>
      <c r="AD18" s="70" t="s">
        <v>3519</v>
      </c>
      <c r="AE18" s="70" t="s">
        <v>3481</v>
      </c>
      <c r="AF18" s="70" t="s">
        <v>4254</v>
      </c>
      <c r="AJ18" s="236"/>
      <c r="AK18" s="236"/>
      <c r="AL18" s="236"/>
      <c r="AM18" s="236"/>
      <c r="AN18" s="236"/>
      <c r="AO18" s="236"/>
      <c r="AU18" t="s">
        <v>1216</v>
      </c>
      <c r="AV18" t="s">
        <v>4271</v>
      </c>
      <c r="AW18" t="str">
        <f>IFERROR(IF(('Gen Info'!$AM$2)&amp;"_DocsQ"=$AU$4,IF(VLOOKUP(IndependentUnited_States_DocsQ[[#This Row],[iWatch Number]],'Gen Info'!$J$17:$M$50,4,FALSE)=0,"",VLOOKUP(IndependentUnited_States_DocsQ[[#This Row],[iWatch Number]],'Gen Info'!$J$17:$M$50,4,FALSE)),""),"")</f>
        <v/>
      </c>
      <c r="AX18" t="e">
        <f ca="1">IFERROR("_"&amp;VLOOKUP(IndependentUnited_States_DocsQ[[#This Row],[iWatch Number]],INDIRECT('Gen Info'!$D$4),3,FALSE),"_"&amp;VLOOKUP(IndependentUnited_States_DocsQ[[#This Row],[iWatch Number]],INDIRECT('Gen Info'!$D$4&amp;"_"&amp;'Gen Info'!$E$4),3,FALSE))</f>
        <v>#REF!</v>
      </c>
      <c r="AY18" t="e">
        <f ca="1">IFERROR(VLOOKUP(IndependentUnited_States_DocsQ[[#This Row],[iWatch Number]],INDIRECT('Gen Info'!$D$4),2,FALSE),VLOOKUP(IndependentUnited_States_DocsQ[[#This Row],[iWatch Number]],INDIRECT('Gen Info'!$D$4&amp;"_"&amp;'Gen Info'!$E$4),2,FALSE))</f>
        <v>#REF!</v>
      </c>
      <c r="AZ18" t="s">
        <v>42</v>
      </c>
      <c r="BA18" t="s">
        <v>1216</v>
      </c>
      <c r="BB18" t="s">
        <v>4271</v>
      </c>
      <c r="BC18" t="str">
        <f>IFERROR(IF(('Gen Info'!$AM$2)&amp;"_DocsQ"=$BA$4,IF(VLOOKUP(IndependentCanada_DocsQ[[#This Row],[iWatch Number]],'Gen Info'!$J$17:$M$50,4,FALSE)=0,"",VLOOKUP(IndependentCanada_DocsQ[[#This Row],[iWatch Number]],'Gen Info'!$J$22:$M$50,4,FALSE)),""),"")</f>
        <v/>
      </c>
      <c r="BD18" t="e">
        <f ca="1">IFERROR("_"&amp;VLOOKUP(IndependentCanada_DocsQ[[#This Row],[iWatch Number]],INDIRECT('Gen Info'!$D$4),3,FALSE),"_"&amp;VLOOKUP(IndependentCanada_DocsQ[[#This Row],[iWatch Number]],INDIRECT('Gen Info'!$D$4&amp;"_"&amp;'Gen Info'!$E$4),3,FALSE))</f>
        <v>#REF!</v>
      </c>
      <c r="BE18" t="e">
        <f ca="1">IFERROR(VLOOKUP(IndependentCanada_DocsQ[[#This Row],[iWatch Number]],INDIRECT('Gen Info'!$D$4),2,FALSE),VLOOKUP(IndependentCanada_DocsQ[[#This Row],[iWatch Number]],INDIRECT('Gen Info'!$D$4&amp;"_"&amp;'Gen Info'!$E$4),2,FALSE))</f>
        <v>#REF!</v>
      </c>
      <c r="BF18" t="s">
        <v>42</v>
      </c>
      <c r="BG18" t="s">
        <v>1216</v>
      </c>
      <c r="BH18" t="s">
        <v>4271</v>
      </c>
      <c r="BI18" t="str">
        <f>IFERROR(IF(('Gen Info'!$AM$2)&amp;"_DocsQ"=$BG$4,IF(VLOOKUP(IndependentAustralia_DocsQ[[#This Row],[iWatch Number]],'Gen Info'!$J$17:$M$50,4,FALSE)=0,"",VLOOKUP(IndependentAustralia_DocsQ[[#This Row],[iWatch Number]],'Gen Info'!$J$17:$M$50,4,FALSE)),""),"")</f>
        <v/>
      </c>
      <c r="BJ18" t="e">
        <f ca="1">IFERROR("_"&amp;VLOOKUP(IndependentAustralia_DocsQ[[#This Row],[iWatch Number]],INDIRECT('Gen Info'!$D$4),3,FALSE),"_"&amp;VLOOKUP(IndependentAustralia_DocsQ[[#This Row],[iWatch Number]],INDIRECT('Gen Info'!$D$4&amp;"_"&amp;'Gen Info'!$E$4),3,FALSE))</f>
        <v>#REF!</v>
      </c>
      <c r="BK18" t="e">
        <f ca="1">IFERROR(VLOOKUP(IndependentAustralia_DocsQ[[#This Row],[iWatch Number]],INDIRECT('Gen Info'!$D$4),2,FALSE),VLOOKUP(IndependentAustralia_DocsQ[[#This Row],[iWatch Number]],INDIRECT('Gen Info'!$D$4&amp;"_"&amp;'Gen Info'!$E$4),2,FALSE))</f>
        <v>#REF!</v>
      </c>
      <c r="BL18" t="s">
        <v>42</v>
      </c>
      <c r="BM18" t="s">
        <v>1709</v>
      </c>
      <c r="BN18" t="s">
        <v>4256</v>
      </c>
      <c r="BO18" t="str">
        <f>IF(('Gen Info'!$AM$2)&amp;"_DocsQ"=$BM$4,IF(VLOOKUP(Master_Agent_HQsUnited_States_DocsQ[[#This Row],[iWatch Number]],'Gen Info'!$J$17:$M$50,4,FALSE)=0,"",VLOOKUP(Master_Agent_HQsUnited_States_DocsQ[[#This Row],[iWatch Number]],'Gen Info'!$J$17:$M$50,4,FALSE)),"")</f>
        <v/>
      </c>
      <c r="BP18" t="e">
        <f ca="1">IFERROR("_"&amp;VLOOKUP(Master_Agent_HQsUnited_States_DocsQ[[#This Row],[iWatch Number]],INDIRECT('Gen Info'!$D$4),3,FALSE),"_"&amp;VLOOKUP(Master_Agent_HQsUnited_States_DocsQ[[#This Row],[iWatch Number]],INDIRECT('Gen Info'!$D$4&amp;"_"&amp;'Gen Info'!$E$4),3,FALSE))</f>
        <v>#REF!</v>
      </c>
      <c r="BQ18" t="e">
        <f ca="1">IFERROR(VLOOKUP(Master_Agent_HQsUnited_States_DocsQ[[#This Row],[iWatch Number]],INDIRECT('Gen Info'!$D$4),2,FALSE),VLOOKUP(Master_Agent_HQsUnited_States_DocsQ[[#This Row],[iWatch Number]],INDIRECT('Gen Info'!$D$4&amp;"_"&amp;'Gen Info'!$E$4),2,FALSE))</f>
        <v>#REF!</v>
      </c>
      <c r="BR18" t="s">
        <v>42</v>
      </c>
      <c r="BS18" t="s">
        <v>1709</v>
      </c>
      <c r="BT18" t="s">
        <v>4256</v>
      </c>
      <c r="BU18" t="str">
        <f>IFERROR(IF(('Gen Info'!$AM$2)&amp;"_DocsQ"=$BS$4,IF(VLOOKUP(Master_Agent_HQsMalaysia_DocsQ[[#This Row],[iWatch Number]],'Gen Info'!$J$17:$M$50,4,FALSE)=0,"",VLOOKUP(Master_Agent_HQsMalaysia_DocsQ[[#This Row],[iWatch Number]],'Gen Info'!$J$17:$M$50,4,FALSE)),""),"")</f>
        <v/>
      </c>
      <c r="BV18" t="e">
        <f ca="1">IFERROR("_"&amp;VLOOKUP(Master_Agent_HQsMalaysia_DocsQ[[#This Row],[iWatch Number]],INDIRECT('Gen Info'!$D$4),3,FALSE),"_"&amp;VLOOKUP(Master_Agent_HQsMalaysia_DocsQ[[#This Row],[iWatch Number]],INDIRECT('Gen Info'!$D$4&amp;"_"&amp;'Gen Info'!$E$4),3,FALSE))</f>
        <v>#REF!</v>
      </c>
      <c r="BW18" t="e">
        <f ca="1">IFERROR(VLOOKUP(Master_Agent_HQsMalaysia_DocsQ[[#This Row],[iWatch Number]],INDIRECT('Gen Info'!$D$4),2,FALSE),VLOOKUP(Master_Agent_HQsMalaysia_DocsQ[[#This Row],[iWatch Number]],INDIRECT('Gen Info'!$D$4&amp;"_"&amp;'Gen Info'!$E$4),2,FALSE))</f>
        <v>#REF!</v>
      </c>
      <c r="BY18" t="s">
        <v>1709</v>
      </c>
      <c r="BZ18" t="s">
        <v>4256</v>
      </c>
      <c r="CA18" t="str">
        <f>IFERROR(IF(('Gen Info'!$AM$2)&amp;"_DocsQ"=$BY$4,IF(VLOOKUP(Master_Agent_HQsCanada_DocsQ[[#This Row],[iWatch Number]],'Gen Info'!$J$17:$M$50,4,FALSE)=0,"",VLOOKUP(Master_Agent_HQsCanada_DocsQ[[#This Row],[iWatch Number]],'Gen Info'!$J$17:$M$50,4,FALSE)),""),"")</f>
        <v/>
      </c>
      <c r="CB18" t="e">
        <f ca="1">IFERROR("_"&amp;VLOOKUP(Master_Agent_HQsCanada_DocsQ[[#This Row],[iWatch Number]],INDIRECT('Gen Info'!$D$4),3,FALSE),"_"&amp;VLOOKUP(Master_Agent_HQsCanada_DocsQ[[#This Row],[iWatch Number]],INDIRECT('Gen Info'!$D$4&amp;"_"&amp;'Gen Info'!$E$4),3,FALSE))</f>
        <v>#REF!</v>
      </c>
      <c r="CC18" t="e">
        <f ca="1">IFERROR(VLOOKUP(Master_Agent_HQsCanada_DocsQ[[#This Row],[iWatch Number]],INDIRECT('Gen Info'!$D$4),2,FALSE),VLOOKUP(Master_Agent_HQsCanada_DocsQ[[#This Row],[iWatch Number]],INDIRECT('Gen Info'!$D$4&amp;"_"&amp;'Gen Info'!$E$4),2,FALSE))</f>
        <v>#REF!</v>
      </c>
      <c r="CJ18" s="103"/>
      <c r="CK18" s="103"/>
    </row>
    <row r="19" spans="5:89" ht="14.5">
      <c r="E19" s="229"/>
      <c r="F19" s="176"/>
      <c r="G19" s="176"/>
      <c r="H19" s="176"/>
      <c r="I19" s="176"/>
      <c r="J19" s="237"/>
      <c r="K19" s="176"/>
      <c r="T19" s="231" t="s">
        <v>3647</v>
      </c>
      <c r="U19" s="232" t="s">
        <v>4231</v>
      </c>
      <c r="AA19" s="238"/>
      <c r="AC19" s="70" t="s">
        <v>4272</v>
      </c>
      <c r="AD19" s="70" t="s">
        <v>4273</v>
      </c>
      <c r="AE19" s="70" t="s">
        <v>3481</v>
      </c>
      <c r="AF19" s="70" t="s">
        <v>4254</v>
      </c>
      <c r="AJ19" s="236"/>
      <c r="AK19" s="236"/>
      <c r="AL19" s="236"/>
      <c r="AM19" s="236"/>
      <c r="AN19" s="236"/>
      <c r="AO19" s="236"/>
      <c r="AU19" t="s">
        <v>1226</v>
      </c>
      <c r="AV19" t="s">
        <v>4271</v>
      </c>
      <c r="AW19" t="str">
        <f>IFERROR(IF(('Gen Info'!$AM$2)&amp;"_DocsQ"=$AU$4,IF(VLOOKUP(IndependentUnited_States_DocsQ[[#This Row],[iWatch Number]],'Gen Info'!$J$17:$M$50,4,FALSE)=0,"",VLOOKUP(IndependentUnited_States_DocsQ[[#This Row],[iWatch Number]],'Gen Info'!$J$17:$M$50,4,FALSE)),""),"")</f>
        <v/>
      </c>
      <c r="AX19" t="e">
        <f ca="1">IFERROR("_"&amp;VLOOKUP(IndependentUnited_States_DocsQ[[#This Row],[iWatch Number]],INDIRECT('Gen Info'!$D$4),3,FALSE),"_"&amp;VLOOKUP(IndependentUnited_States_DocsQ[[#This Row],[iWatch Number]],INDIRECT('Gen Info'!$D$4&amp;"_"&amp;'Gen Info'!$E$4),3,FALSE))</f>
        <v>#REF!</v>
      </c>
      <c r="AY19" t="e">
        <f ca="1">IFERROR(VLOOKUP(IndependentUnited_States_DocsQ[[#This Row],[iWatch Number]],INDIRECT('Gen Info'!$D$4),2,FALSE),VLOOKUP(IndependentUnited_States_DocsQ[[#This Row],[iWatch Number]],INDIRECT('Gen Info'!$D$4&amp;"_"&amp;'Gen Info'!$E$4),2,FALSE))</f>
        <v>#REF!</v>
      </c>
      <c r="AZ19" t="s">
        <v>42</v>
      </c>
      <c r="BA19" t="s">
        <v>1226</v>
      </c>
      <c r="BB19" t="s">
        <v>4271</v>
      </c>
      <c r="BC19" t="str">
        <f>IFERROR(IF(('Gen Info'!$AM$2)&amp;"_DocsQ"=$BA$4,IF(VLOOKUP(IndependentCanada_DocsQ[[#This Row],[iWatch Number]],'Gen Info'!$J$17:$M$50,4,FALSE)=0,"",VLOOKUP(IndependentCanada_DocsQ[[#This Row],[iWatch Number]],'Gen Info'!$J$22:$M$50,4,FALSE)),""),"")</f>
        <v/>
      </c>
      <c r="BD19" t="e">
        <f ca="1">IFERROR("_"&amp;VLOOKUP(IndependentCanada_DocsQ[[#This Row],[iWatch Number]],INDIRECT('Gen Info'!$D$4),3,FALSE),"_"&amp;VLOOKUP(IndependentCanada_DocsQ[[#This Row],[iWatch Number]],INDIRECT('Gen Info'!$D$4&amp;"_"&amp;'Gen Info'!$E$4),3,FALSE))</f>
        <v>#REF!</v>
      </c>
      <c r="BE19" t="e">
        <f ca="1">IFERROR(VLOOKUP(IndependentCanada_DocsQ[[#This Row],[iWatch Number]],INDIRECT('Gen Info'!$D$4),2,FALSE),VLOOKUP(IndependentCanada_DocsQ[[#This Row],[iWatch Number]],INDIRECT('Gen Info'!$D$4&amp;"_"&amp;'Gen Info'!$E$4),2,FALSE))</f>
        <v>#REF!</v>
      </c>
      <c r="BF19" t="s">
        <v>42</v>
      </c>
      <c r="BG19" t="s">
        <v>1226</v>
      </c>
      <c r="BH19" t="s">
        <v>4271</v>
      </c>
      <c r="BI19" t="str">
        <f>IFERROR(IF(('Gen Info'!$AM$2)&amp;"_DocsQ"=$BG$4,IF(VLOOKUP(IndependentAustralia_DocsQ[[#This Row],[iWatch Number]],'Gen Info'!$J$17:$M$50,4,FALSE)=0,"",VLOOKUP(IndependentAustralia_DocsQ[[#This Row],[iWatch Number]],'Gen Info'!$J$17:$M$50,4,FALSE)),""),"")</f>
        <v/>
      </c>
      <c r="BJ19" t="e">
        <f ca="1">IFERROR("_"&amp;VLOOKUP(IndependentAustralia_DocsQ[[#This Row],[iWatch Number]],INDIRECT('Gen Info'!$D$4),3,FALSE),"_"&amp;VLOOKUP(IndependentAustralia_DocsQ[[#This Row],[iWatch Number]],INDIRECT('Gen Info'!$D$4&amp;"_"&amp;'Gen Info'!$E$4),3,FALSE))</f>
        <v>#REF!</v>
      </c>
      <c r="BK19" t="e">
        <f ca="1">IFERROR(VLOOKUP(IndependentAustralia_DocsQ[[#This Row],[iWatch Number]],INDIRECT('Gen Info'!$D$4),2,FALSE),VLOOKUP(IndependentAustralia_DocsQ[[#This Row],[iWatch Number]],INDIRECT('Gen Info'!$D$4&amp;"_"&amp;'Gen Info'!$E$4),2,FALSE))</f>
        <v>#REF!</v>
      </c>
      <c r="BL19" t="s">
        <v>42</v>
      </c>
      <c r="BM19" t="s">
        <v>1712</v>
      </c>
      <c r="BN19" t="s">
        <v>4256</v>
      </c>
      <c r="BO19" t="str">
        <f>IF(('Gen Info'!$AM$2)&amp;"_DocsQ"=$BM$4,IF(VLOOKUP(Master_Agent_HQsUnited_States_DocsQ[[#This Row],[iWatch Number]],'Gen Info'!$J$17:$M$50,4,FALSE)=0,"",VLOOKUP(Master_Agent_HQsUnited_States_DocsQ[[#This Row],[iWatch Number]],'Gen Info'!$J$17:$M$50,4,FALSE)),"")</f>
        <v/>
      </c>
      <c r="BP19" t="e">
        <f ca="1">IFERROR("_"&amp;VLOOKUP(Master_Agent_HQsUnited_States_DocsQ[[#This Row],[iWatch Number]],INDIRECT('Gen Info'!$D$4),3,FALSE),"_"&amp;VLOOKUP(Master_Agent_HQsUnited_States_DocsQ[[#This Row],[iWatch Number]],INDIRECT('Gen Info'!$D$4&amp;"_"&amp;'Gen Info'!$E$4),3,FALSE))</f>
        <v>#REF!</v>
      </c>
      <c r="BQ19" t="e">
        <f ca="1">IFERROR(VLOOKUP(Master_Agent_HQsUnited_States_DocsQ[[#This Row],[iWatch Number]],INDIRECT('Gen Info'!$D$4),2,FALSE),VLOOKUP(Master_Agent_HQsUnited_States_DocsQ[[#This Row],[iWatch Number]],INDIRECT('Gen Info'!$D$4&amp;"_"&amp;'Gen Info'!$E$4),2,FALSE))</f>
        <v>#REF!</v>
      </c>
      <c r="BR19" t="s">
        <v>42</v>
      </c>
      <c r="BS19" t="s">
        <v>1712</v>
      </c>
      <c r="BT19" t="s">
        <v>4256</v>
      </c>
      <c r="BU19" t="str">
        <f>IFERROR(IF(('Gen Info'!$AM$2)&amp;"_DocsQ"=$BS$4,IF(VLOOKUP(Master_Agent_HQsMalaysia_DocsQ[[#This Row],[iWatch Number]],'Gen Info'!$J$17:$M$50,4,FALSE)=0,"",VLOOKUP(Master_Agent_HQsMalaysia_DocsQ[[#This Row],[iWatch Number]],'Gen Info'!$J$17:$M$50,4,FALSE)),""),"")</f>
        <v/>
      </c>
      <c r="BV19" t="e">
        <f ca="1">IFERROR("_"&amp;VLOOKUP(Master_Agent_HQsMalaysia_DocsQ[[#This Row],[iWatch Number]],INDIRECT('Gen Info'!$D$4),3,FALSE),"_"&amp;VLOOKUP(Master_Agent_HQsMalaysia_DocsQ[[#This Row],[iWatch Number]],INDIRECT('Gen Info'!$D$4&amp;"_"&amp;'Gen Info'!$E$4),3,FALSE))</f>
        <v>#REF!</v>
      </c>
      <c r="BW19" t="e">
        <f ca="1">IFERROR(VLOOKUP(Master_Agent_HQsMalaysia_DocsQ[[#This Row],[iWatch Number]],INDIRECT('Gen Info'!$D$4),2,FALSE),VLOOKUP(Master_Agent_HQsMalaysia_DocsQ[[#This Row],[iWatch Number]],INDIRECT('Gen Info'!$D$4&amp;"_"&amp;'Gen Info'!$E$4),2,FALSE))</f>
        <v>#REF!</v>
      </c>
      <c r="BY19" t="s">
        <v>1712</v>
      </c>
      <c r="BZ19" t="s">
        <v>4256</v>
      </c>
      <c r="CA19" t="str">
        <f>IFERROR(IF(('Gen Info'!$AM$2)&amp;"_DocsQ"=$BY$4,IF(VLOOKUP(Master_Agent_HQsCanada_DocsQ[[#This Row],[iWatch Number]],'Gen Info'!$J$17:$M$50,4,FALSE)=0,"",VLOOKUP(Master_Agent_HQsCanada_DocsQ[[#This Row],[iWatch Number]],'Gen Info'!$J$17:$M$50,4,FALSE)),""),"")</f>
        <v/>
      </c>
      <c r="CB19" t="e">
        <f ca="1">IFERROR("_"&amp;VLOOKUP(Master_Agent_HQsCanada_DocsQ[[#This Row],[iWatch Number]],INDIRECT('Gen Info'!$D$4),3,FALSE),"_"&amp;VLOOKUP(Master_Agent_HQsCanada_DocsQ[[#This Row],[iWatch Number]],INDIRECT('Gen Info'!$D$4&amp;"_"&amp;'Gen Info'!$E$4),3,FALSE))</f>
        <v>#REF!</v>
      </c>
      <c r="CC19" t="e">
        <f ca="1">IFERROR(VLOOKUP(Master_Agent_HQsCanada_DocsQ[[#This Row],[iWatch Number]],INDIRECT('Gen Info'!$D$4),2,FALSE),VLOOKUP(Master_Agent_HQsCanada_DocsQ[[#This Row],[iWatch Number]],INDIRECT('Gen Info'!$D$4&amp;"_"&amp;'Gen Info'!$E$4),2,FALSE))</f>
        <v>#REF!</v>
      </c>
      <c r="CJ19" s="103"/>
      <c r="CK19" s="103"/>
    </row>
    <row r="20" spans="5:89" ht="14.5">
      <c r="E20" s="229"/>
      <c r="F20" s="176"/>
      <c r="G20" s="176"/>
      <c r="H20" s="176"/>
      <c r="I20" s="176"/>
      <c r="J20" s="237"/>
      <c r="K20" s="176"/>
      <c r="T20" s="231" t="s">
        <v>3530</v>
      </c>
      <c r="U20" s="232" t="s">
        <v>4231</v>
      </c>
      <c r="AA20" s="238"/>
      <c r="AC20" s="70" t="s">
        <v>4274</v>
      </c>
      <c r="AD20" s="70" t="s">
        <v>3526</v>
      </c>
      <c r="AE20" s="70" t="s">
        <v>3481</v>
      </c>
      <c r="AF20" s="70" t="s">
        <v>4275</v>
      </c>
      <c r="AJ20" s="236"/>
      <c r="AK20" s="236"/>
      <c r="AL20" s="236"/>
      <c r="AM20" s="236"/>
      <c r="AN20" s="236"/>
      <c r="AO20" s="236"/>
      <c r="AU20" t="s">
        <v>1237</v>
      </c>
      <c r="AV20" t="s">
        <v>4271</v>
      </c>
      <c r="AW20" t="str">
        <f>IFERROR(IF(('Gen Info'!$AM$2)&amp;"_DocsQ"=$AU$4,IF(VLOOKUP(IndependentUnited_States_DocsQ[[#This Row],[iWatch Number]],'Gen Info'!$J$17:$M$50,4,FALSE)=0,"",VLOOKUP(IndependentUnited_States_DocsQ[[#This Row],[iWatch Number]],'Gen Info'!$J$17:$M$50,4,FALSE)),""),"")</f>
        <v/>
      </c>
      <c r="AX20" t="e">
        <f ca="1">IFERROR("_"&amp;VLOOKUP(IndependentUnited_States_DocsQ[[#This Row],[iWatch Number]],INDIRECT('Gen Info'!$D$4),3,FALSE),"_"&amp;VLOOKUP(IndependentUnited_States_DocsQ[[#This Row],[iWatch Number]],INDIRECT('Gen Info'!$D$4&amp;"_"&amp;'Gen Info'!$E$4),3,FALSE))</f>
        <v>#REF!</v>
      </c>
      <c r="AY20" t="e">
        <f ca="1">IFERROR(VLOOKUP(IndependentUnited_States_DocsQ[[#This Row],[iWatch Number]],INDIRECT('Gen Info'!$D$4),2,FALSE),VLOOKUP(IndependentUnited_States_DocsQ[[#This Row],[iWatch Number]],INDIRECT('Gen Info'!$D$4&amp;"_"&amp;'Gen Info'!$E$4),2,FALSE))</f>
        <v>#REF!</v>
      </c>
      <c r="AZ20" t="s">
        <v>42</v>
      </c>
      <c r="BA20" t="s">
        <v>1237</v>
      </c>
      <c r="BB20" t="s">
        <v>4271</v>
      </c>
      <c r="BC20" t="str">
        <f>IFERROR(IF(('Gen Info'!$AM$2)&amp;"_DocsQ"=$BA$4,IF(VLOOKUP(IndependentCanada_DocsQ[[#This Row],[iWatch Number]],'Gen Info'!$J$17:$M$50,4,FALSE)=0,"",VLOOKUP(IndependentCanada_DocsQ[[#This Row],[iWatch Number]],'Gen Info'!$J$22:$M$50,4,FALSE)),""),"")</f>
        <v/>
      </c>
      <c r="BD20" t="e">
        <f ca="1">IFERROR("_"&amp;VLOOKUP(IndependentCanada_DocsQ[[#This Row],[iWatch Number]],INDIRECT('Gen Info'!$D$4),3,FALSE),"_"&amp;VLOOKUP(IndependentCanada_DocsQ[[#This Row],[iWatch Number]],INDIRECT('Gen Info'!$D$4&amp;"_"&amp;'Gen Info'!$E$4),3,FALSE))</f>
        <v>#REF!</v>
      </c>
      <c r="BE20" t="e">
        <f ca="1">IFERROR(VLOOKUP(IndependentCanada_DocsQ[[#This Row],[iWatch Number]],INDIRECT('Gen Info'!$D$4),2,FALSE),VLOOKUP(IndependentCanada_DocsQ[[#This Row],[iWatch Number]],INDIRECT('Gen Info'!$D$4&amp;"_"&amp;'Gen Info'!$E$4),2,FALSE))</f>
        <v>#REF!</v>
      </c>
      <c r="BF20" t="s">
        <v>42</v>
      </c>
      <c r="BG20" t="s">
        <v>1237</v>
      </c>
      <c r="BH20" t="s">
        <v>4271</v>
      </c>
      <c r="BI20" t="str">
        <f>IFERROR(IF(('Gen Info'!$AM$2)&amp;"_DocsQ"=$BG$4,IF(VLOOKUP(IndependentAustralia_DocsQ[[#This Row],[iWatch Number]],'Gen Info'!$J$17:$M$50,4,FALSE)=0,"",VLOOKUP(IndependentAustralia_DocsQ[[#This Row],[iWatch Number]],'Gen Info'!$J$17:$M$50,4,FALSE)),""),"")</f>
        <v/>
      </c>
      <c r="BJ20" t="e">
        <f ca="1">IFERROR("_"&amp;VLOOKUP(IndependentAustralia_DocsQ[[#This Row],[iWatch Number]],INDIRECT('Gen Info'!$D$4),3,FALSE),"_"&amp;VLOOKUP(IndependentAustralia_DocsQ[[#This Row],[iWatch Number]],INDIRECT('Gen Info'!$D$4&amp;"_"&amp;'Gen Info'!$E$4),3,FALSE))</f>
        <v>#REF!</v>
      </c>
      <c r="BK20" t="e">
        <f ca="1">IFERROR(VLOOKUP(IndependentAustralia_DocsQ[[#This Row],[iWatch Number]],INDIRECT('Gen Info'!$D$4),2,FALSE),VLOOKUP(IndependentAustralia_DocsQ[[#This Row],[iWatch Number]],INDIRECT('Gen Info'!$D$4&amp;"_"&amp;'Gen Info'!$E$4),2,FALSE))</f>
        <v>#REF!</v>
      </c>
      <c r="BL20" t="s">
        <v>42</v>
      </c>
      <c r="BM20" t="s">
        <v>926</v>
      </c>
      <c r="BN20" t="s">
        <v>4276</v>
      </c>
      <c r="BO20" t="str">
        <f>IF(('Gen Info'!$AM$2)&amp;"_DocsQ"=$BM$4,IF(VLOOKUP(Master_Agent_HQsUnited_States_DocsQ[[#This Row],[iWatch Number]],'Gen Info'!$J$17:$M$50,4,FALSE)=0,"",VLOOKUP(Master_Agent_HQsUnited_States_DocsQ[[#This Row],[iWatch Number]],'Gen Info'!$J$17:$M$50,4,FALSE)),"")</f>
        <v/>
      </c>
      <c r="BP20" t="str">
        <f ca="1">IFERROR("_"&amp;VLOOKUP(Master_Agent_HQsUnited_States_DocsQ[[#This Row],[iWatch Number]],INDIRECT('Gen Info'!$D$4),3,FALSE),"_"&amp;VLOOKUP(Master_Agent_HQsUnited_States_DocsQ[[#This Row],[iWatch Number]],INDIRECT('Gen Info'!$D$4&amp;"_"&amp;'Gen Info'!$E$4),3,FALSE))</f>
        <v>_2</v>
      </c>
      <c r="BQ20" t="str">
        <f ca="1">IFERROR(VLOOKUP(Master_Agent_HQsUnited_States_DocsQ[[#This Row],[iWatch Number]],INDIRECT('Gen Info'!$D$4),2,FALSE),VLOOKUP(Master_Agent_HQsUnited_States_DocsQ[[#This Row],[iWatch Number]],INDIRECT('Gen Info'!$D$4&amp;"_"&amp;'Gen Info'!$E$4),2,FALSE))</f>
        <v>Is this location a retired EFRAL?</v>
      </c>
      <c r="BR20" t="s">
        <v>42</v>
      </c>
      <c r="BS20" t="s">
        <v>926</v>
      </c>
      <c r="BT20" t="s">
        <v>4276</v>
      </c>
      <c r="BU20" t="str">
        <f>IFERROR(IF(('Gen Info'!$AM$2)&amp;"_DocsQ"=$BS$4,IF(VLOOKUP(Master_Agent_HQsMalaysia_DocsQ[[#This Row],[iWatch Number]],'Gen Info'!$J$17:$M$50,4,FALSE)=0,"",VLOOKUP(Master_Agent_HQsMalaysia_DocsQ[[#This Row],[iWatch Number]],'Gen Info'!$J$17:$M$50,4,FALSE)),""),"")</f>
        <v/>
      </c>
      <c r="BV20" t="str">
        <f ca="1">IFERROR("_"&amp;VLOOKUP(Master_Agent_HQsMalaysia_DocsQ[[#This Row],[iWatch Number]],INDIRECT('Gen Info'!$D$4),3,FALSE),"_"&amp;VLOOKUP(Master_Agent_HQsMalaysia_DocsQ[[#This Row],[iWatch Number]],INDIRECT('Gen Info'!$D$4&amp;"_"&amp;'Gen Info'!$E$4),3,FALSE))</f>
        <v>_2</v>
      </c>
      <c r="BW20" t="str">
        <f ca="1">IFERROR(VLOOKUP(Master_Agent_HQsMalaysia_DocsQ[[#This Row],[iWatch Number]],INDIRECT('Gen Info'!$D$4),2,FALSE),VLOOKUP(Master_Agent_HQsMalaysia_DocsQ[[#This Row],[iWatch Number]],INDIRECT('Gen Info'!$D$4&amp;"_"&amp;'Gen Info'!$E$4),2,FALSE))</f>
        <v>Is this location a retired EFRAL?</v>
      </c>
      <c r="BY20" t="s">
        <v>926</v>
      </c>
      <c r="BZ20" t="s">
        <v>4276</v>
      </c>
      <c r="CA20" t="str">
        <f>IFERROR(IF(('Gen Info'!$AM$2)&amp;"_DocsQ"=$BY$4,IF(VLOOKUP(Master_Agent_HQsCanada_DocsQ[[#This Row],[iWatch Number]],'Gen Info'!$J$17:$M$50,4,FALSE)=0,"",VLOOKUP(Master_Agent_HQsCanada_DocsQ[[#This Row],[iWatch Number]],'Gen Info'!$J$17:$M$50,4,FALSE)),""),"")</f>
        <v/>
      </c>
      <c r="CB20" t="str">
        <f ca="1">IFERROR("_"&amp;VLOOKUP(Master_Agent_HQsCanada_DocsQ[[#This Row],[iWatch Number]],INDIRECT('Gen Info'!$D$4),3,FALSE),"_"&amp;VLOOKUP(Master_Agent_HQsCanada_DocsQ[[#This Row],[iWatch Number]],INDIRECT('Gen Info'!$D$4&amp;"_"&amp;'Gen Info'!$E$4),3,FALSE))</f>
        <v>_2</v>
      </c>
      <c r="CC20" t="str">
        <f ca="1">IFERROR(VLOOKUP(Master_Agent_HQsCanada_DocsQ[[#This Row],[iWatch Number]],INDIRECT('Gen Info'!$D$4),2,FALSE),VLOOKUP(Master_Agent_HQsCanada_DocsQ[[#This Row],[iWatch Number]],INDIRECT('Gen Info'!$D$4&amp;"_"&amp;'Gen Info'!$E$4),2,FALSE))</f>
        <v>Is this location a retired EFRAL?</v>
      </c>
      <c r="CJ20" s="103"/>
      <c r="CK20" s="103"/>
    </row>
    <row r="21" spans="5:89" ht="15" thickBot="1">
      <c r="E21" s="229"/>
      <c r="F21" s="176"/>
      <c r="G21" s="176"/>
      <c r="H21" s="176"/>
      <c r="I21" s="176"/>
      <c r="J21" s="237"/>
      <c r="K21" s="176"/>
      <c r="N21">
        <f>LEN(Q21)</f>
        <v>0</v>
      </c>
      <c r="P21" s="243" t="s">
        <v>4277</v>
      </c>
      <c r="Q21" s="244" t="s">
        <v>654</v>
      </c>
      <c r="T21" s="231" t="s">
        <v>3540</v>
      </c>
      <c r="U21" s="232" t="s">
        <v>4231</v>
      </c>
      <c r="AA21" s="238"/>
      <c r="AC21" s="70" t="s">
        <v>4278</v>
      </c>
      <c r="AD21" s="70" t="s">
        <v>4279</v>
      </c>
      <c r="AE21" s="70" t="s">
        <v>3481</v>
      </c>
      <c r="AF21" s="70" t="s">
        <v>4254</v>
      </c>
      <c r="AS21" s="245"/>
      <c r="AU21" t="s">
        <v>1312</v>
      </c>
      <c r="AV21" t="s">
        <v>168</v>
      </c>
      <c r="AW21" t="str">
        <f>IFERROR(IF(('Gen Info'!$AM$2)&amp;"_DocsQ"=$AU$4,IF(VLOOKUP(IndependentUnited_States_DocsQ[[#This Row],[iWatch Number]],'Gen Info'!$J$17:$M$50,4,FALSE)=0,"",VLOOKUP(IndependentUnited_States_DocsQ[[#This Row],[iWatch Number]],'Gen Info'!$J$17:$M$50,4,FALSE)),""),"")</f>
        <v/>
      </c>
      <c r="AX21" t="e">
        <f ca="1">IFERROR("_"&amp;VLOOKUP(IndependentUnited_States_DocsQ[[#This Row],[iWatch Number]],INDIRECT('Gen Info'!$D$4),3,FALSE),"_"&amp;VLOOKUP(IndependentUnited_States_DocsQ[[#This Row],[iWatch Number]],INDIRECT('Gen Info'!$D$4&amp;"_"&amp;'Gen Info'!$E$4),3,FALSE))</f>
        <v>#REF!</v>
      </c>
      <c r="AY21" t="e">
        <f ca="1">IFERROR(VLOOKUP(IndependentUnited_States_DocsQ[[#This Row],[iWatch Number]],INDIRECT('Gen Info'!$D$4),2,FALSE),VLOOKUP(IndependentUnited_States_DocsQ[[#This Row],[iWatch Number]],INDIRECT('Gen Info'!$D$4&amp;"_"&amp;'Gen Info'!$E$4),2,FALSE))</f>
        <v>#REF!</v>
      </c>
      <c r="AZ21" t="s">
        <v>42</v>
      </c>
      <c r="BA21" t="s">
        <v>1312</v>
      </c>
      <c r="BB21" t="s">
        <v>168</v>
      </c>
      <c r="BC21" t="str">
        <f>IFERROR(IF(('Gen Info'!$AM$2)&amp;"_DocsQ"=$BA$4,IF(VLOOKUP(IndependentCanada_DocsQ[[#This Row],[iWatch Number]],'Gen Info'!$J$17:$M$50,4,FALSE)=0,"",VLOOKUP(IndependentCanada_DocsQ[[#This Row],[iWatch Number]],'Gen Info'!$J$22:$M$50,4,FALSE)),""),"")</f>
        <v/>
      </c>
      <c r="BD21" t="e">
        <f ca="1">IFERROR("_"&amp;VLOOKUP(IndependentCanada_DocsQ[[#This Row],[iWatch Number]],INDIRECT('Gen Info'!$D$4),3,FALSE),"_"&amp;VLOOKUP(IndependentCanada_DocsQ[[#This Row],[iWatch Number]],INDIRECT('Gen Info'!$D$4&amp;"_"&amp;'Gen Info'!$E$4),3,FALSE))</f>
        <v>#REF!</v>
      </c>
      <c r="BE21" t="e">
        <f ca="1">IFERROR(VLOOKUP(IndependentCanada_DocsQ[[#This Row],[iWatch Number]],INDIRECT('Gen Info'!$D$4),2,FALSE),VLOOKUP(IndependentCanada_DocsQ[[#This Row],[iWatch Number]],INDIRECT('Gen Info'!$D$4&amp;"_"&amp;'Gen Info'!$E$4),2,FALSE))</f>
        <v>#REF!</v>
      </c>
      <c r="BF21" t="s">
        <v>42</v>
      </c>
      <c r="BG21" t="s">
        <v>1312</v>
      </c>
      <c r="BH21" t="s">
        <v>168</v>
      </c>
      <c r="BI21" t="str">
        <f>IFERROR(IF(('Gen Info'!$AM$2)&amp;"_DocsQ"=$BG$4,IF(VLOOKUP(IndependentAustralia_DocsQ[[#This Row],[iWatch Number]],'Gen Info'!$J$17:$M$50,4,FALSE)=0,"",VLOOKUP(IndependentAustralia_DocsQ[[#This Row],[iWatch Number]],'Gen Info'!$J$17:$M$50,4,FALSE)),""),"")</f>
        <v/>
      </c>
      <c r="BJ21" t="e">
        <f ca="1">IFERROR("_"&amp;VLOOKUP(IndependentAustralia_DocsQ[[#This Row],[iWatch Number]],INDIRECT('Gen Info'!$D$4),3,FALSE),"_"&amp;VLOOKUP(IndependentAustralia_DocsQ[[#This Row],[iWatch Number]],INDIRECT('Gen Info'!$D$4&amp;"_"&amp;'Gen Info'!$E$4),3,FALSE))</f>
        <v>#REF!</v>
      </c>
      <c r="BK21" t="e">
        <f ca="1">IFERROR(VLOOKUP(IndependentAustralia_DocsQ[[#This Row],[iWatch Number]],INDIRECT('Gen Info'!$D$4),2,FALSE),VLOOKUP(IndependentAustralia_DocsQ[[#This Row],[iWatch Number]],INDIRECT('Gen Info'!$D$4&amp;"_"&amp;'Gen Info'!$E$4),2,FALSE))</f>
        <v>#REF!</v>
      </c>
      <c r="BL21" t="s">
        <v>42</v>
      </c>
      <c r="BM21" t="s">
        <v>932</v>
      </c>
      <c r="BN21" t="s">
        <v>168</v>
      </c>
      <c r="BO21" t="str">
        <f>IF(('Gen Info'!$AM$2)&amp;"_DocsQ"=$BM$4,IF(VLOOKUP(Master_Agent_HQsUnited_States_DocsQ[[#This Row],[iWatch Number]],'Gen Info'!$J$17:$M$50,4,FALSE)=0,"",VLOOKUP(Master_Agent_HQsUnited_States_DocsQ[[#This Row],[iWatch Number]],'Gen Info'!$J$17:$M$50,4,FALSE)),"")</f>
        <v/>
      </c>
      <c r="BP21" t="str">
        <f ca="1">IFERROR("_"&amp;VLOOKUP(Master_Agent_HQsUnited_States_DocsQ[[#This Row],[iWatch Number]],INDIRECT('Gen Info'!$D$4),3,FALSE),"_"&amp;VLOOKUP(Master_Agent_HQsUnited_States_DocsQ[[#This Row],[iWatch Number]],INDIRECT('Gen Info'!$D$4&amp;"_"&amp;'Gen Info'!$E$4),3,FALSE))</f>
        <v>_3</v>
      </c>
      <c r="BQ21" t="str">
        <f ca="1">IFERROR(VLOOKUP(Master_Agent_HQsUnited_States_DocsQ[[#This Row],[iWatch Number]],INDIRECT('Gen Info'!$D$4),2,FALSE),VLOOKUP(Master_Agent_HQsUnited_States_DocsQ[[#This Row],[iWatch Number]],INDIRECT('Gen Info'!$D$4&amp;"_"&amp;'Gen Info'!$E$4),2,FALSE))</f>
        <v>Does the Agent comply with retention period requirements for paper records (i.e., receipts) under local regulation or according to WU standards, whichever is more stringent?</v>
      </c>
      <c r="BR21" t="s">
        <v>42</v>
      </c>
      <c r="BS21" t="s">
        <v>932</v>
      </c>
      <c r="BT21" t="s">
        <v>168</v>
      </c>
      <c r="BU21" t="str">
        <f>IFERROR(IF(('Gen Info'!$AM$2)&amp;"_DocsQ"=$BS$4,IF(VLOOKUP(Master_Agent_HQsMalaysia_DocsQ[[#This Row],[iWatch Number]],'Gen Info'!$J$17:$M$50,4,FALSE)=0,"",VLOOKUP(Master_Agent_HQsMalaysia_DocsQ[[#This Row],[iWatch Number]],'Gen Info'!$J$17:$M$50,4,FALSE)),""),"")</f>
        <v/>
      </c>
      <c r="BV21" t="str">
        <f ca="1">IFERROR("_"&amp;VLOOKUP(Master_Agent_HQsMalaysia_DocsQ[[#This Row],[iWatch Number]],INDIRECT('Gen Info'!$D$4),3,FALSE),"_"&amp;VLOOKUP(Master_Agent_HQsMalaysia_DocsQ[[#This Row],[iWatch Number]],INDIRECT('Gen Info'!$D$4&amp;"_"&amp;'Gen Info'!$E$4),3,FALSE))</f>
        <v>_3</v>
      </c>
      <c r="BW21" t="str">
        <f ca="1">IFERROR(VLOOKUP(Master_Agent_HQsMalaysia_DocsQ[[#This Row],[iWatch Number]],INDIRECT('Gen Info'!$D$4),2,FALSE),VLOOKUP(Master_Agent_HQsMalaysia_DocsQ[[#This Row],[iWatch Number]],INDIRECT('Gen Info'!$D$4&amp;"_"&amp;'Gen Info'!$E$4),2,FALSE))</f>
        <v>Does the Agent comply with retention period requirements for paper records (i.e., receipts) under local regulation or according to WU standards, whichever is more stringent?</v>
      </c>
      <c r="BY21" t="s">
        <v>932</v>
      </c>
      <c r="BZ21" t="s">
        <v>168</v>
      </c>
      <c r="CA21" t="str">
        <f>IFERROR(IF(('Gen Info'!$AM$2)&amp;"_DocsQ"=$BY$4,IF(VLOOKUP(Master_Agent_HQsCanada_DocsQ[[#This Row],[iWatch Number]],'Gen Info'!$J$17:$M$50,4,FALSE)=0,"",VLOOKUP(Master_Agent_HQsCanada_DocsQ[[#This Row],[iWatch Number]],'Gen Info'!$J$17:$M$50,4,FALSE)),""),"")</f>
        <v/>
      </c>
      <c r="CB21" t="str">
        <f ca="1">IFERROR("_"&amp;VLOOKUP(Master_Agent_HQsCanada_DocsQ[[#This Row],[iWatch Number]],INDIRECT('Gen Info'!$D$4),3,FALSE),"_"&amp;VLOOKUP(Master_Agent_HQsCanada_DocsQ[[#This Row],[iWatch Number]],INDIRECT('Gen Info'!$D$4&amp;"_"&amp;'Gen Info'!$E$4),3,FALSE))</f>
        <v>_3</v>
      </c>
      <c r="CC21" t="str">
        <f ca="1">IFERROR(VLOOKUP(Master_Agent_HQsCanada_DocsQ[[#This Row],[iWatch Number]],INDIRECT('Gen Info'!$D$4),2,FALSE),VLOOKUP(Master_Agent_HQsCanada_DocsQ[[#This Row],[iWatch Number]],INDIRECT('Gen Info'!$D$4&amp;"_"&amp;'Gen Info'!$E$4),2,FALSE))</f>
        <v>Does the Agent comply with retention period requirements for paper records (i.e., receipts) under local regulation or according to WU standards, whichever is more stringent?</v>
      </c>
      <c r="CJ21" s="103"/>
      <c r="CK21" s="103"/>
    </row>
    <row r="22" spans="5:89" ht="15.5" thickTop="1" thickBot="1">
      <c r="E22" s="229"/>
      <c r="F22" s="176"/>
      <c r="G22" s="176"/>
      <c r="H22" s="176"/>
      <c r="I22" s="176"/>
      <c r="J22" s="237"/>
      <c r="K22" s="176"/>
      <c r="P22" s="240"/>
      <c r="Q22" s="246"/>
      <c r="T22" s="231" t="s">
        <v>3568</v>
      </c>
      <c r="U22" s="232" t="s">
        <v>4231</v>
      </c>
      <c r="AA22" s="238"/>
      <c r="AC22" s="70" t="s">
        <v>4278</v>
      </c>
      <c r="AD22" s="70" t="s">
        <v>4280</v>
      </c>
      <c r="AE22" s="70" t="s">
        <v>3481</v>
      </c>
      <c r="AF22" s="70" t="s">
        <v>4254</v>
      </c>
      <c r="AU22" t="s">
        <v>1326</v>
      </c>
      <c r="AV22" t="s">
        <v>168</v>
      </c>
      <c r="AW22" t="str">
        <f>IFERROR(IF(('Gen Info'!$AM$2)&amp;"_DocsQ"=$AU$4,IF(VLOOKUP(IndependentUnited_States_DocsQ[[#This Row],[iWatch Number]],'Gen Info'!$J$17:$M$50,4,FALSE)=0,"",VLOOKUP(IndependentUnited_States_DocsQ[[#This Row],[iWatch Number]],'Gen Info'!$J$17:$M$50,4,FALSE)),""),"")</f>
        <v/>
      </c>
      <c r="AX22" t="e">
        <f ca="1">IFERROR("_"&amp;VLOOKUP(IndependentUnited_States_DocsQ[[#This Row],[iWatch Number]],INDIRECT('Gen Info'!$D$4),3,FALSE),"_"&amp;VLOOKUP(IndependentUnited_States_DocsQ[[#This Row],[iWatch Number]],INDIRECT('Gen Info'!$D$4&amp;"_"&amp;'Gen Info'!$E$4),3,FALSE))</f>
        <v>#REF!</v>
      </c>
      <c r="AY22" t="e">
        <f ca="1">IFERROR(VLOOKUP(IndependentUnited_States_DocsQ[[#This Row],[iWatch Number]],INDIRECT('Gen Info'!$D$4),2,FALSE),VLOOKUP(IndependentUnited_States_DocsQ[[#This Row],[iWatch Number]],INDIRECT('Gen Info'!$D$4&amp;"_"&amp;'Gen Info'!$E$4),2,FALSE))</f>
        <v>#REF!</v>
      </c>
      <c r="AZ22" t="s">
        <v>42</v>
      </c>
      <c r="BA22" t="s">
        <v>1326</v>
      </c>
      <c r="BB22" t="s">
        <v>168</v>
      </c>
      <c r="BC22" t="str">
        <f>IFERROR(IF(('Gen Info'!$AM$2)&amp;"_DocsQ"=$BA$4,IF(VLOOKUP(IndependentCanada_DocsQ[[#This Row],[iWatch Number]],'Gen Info'!$J$17:$M$50,4,FALSE)=0,"",VLOOKUP(IndependentCanada_DocsQ[[#This Row],[iWatch Number]],'Gen Info'!$J$22:$M$50,4,FALSE)),""),"")</f>
        <v/>
      </c>
      <c r="BD22" t="e">
        <f ca="1">IFERROR("_"&amp;VLOOKUP(IndependentCanada_DocsQ[[#This Row],[iWatch Number]],INDIRECT('Gen Info'!$D$4),3,FALSE),"_"&amp;VLOOKUP(IndependentCanada_DocsQ[[#This Row],[iWatch Number]],INDIRECT('Gen Info'!$D$4&amp;"_"&amp;'Gen Info'!$E$4),3,FALSE))</f>
        <v>#REF!</v>
      </c>
      <c r="BE22" t="e">
        <f ca="1">IFERROR(VLOOKUP(IndependentCanada_DocsQ[[#This Row],[iWatch Number]],INDIRECT('Gen Info'!$D$4),2,FALSE),VLOOKUP(IndependentCanada_DocsQ[[#This Row],[iWatch Number]],INDIRECT('Gen Info'!$D$4&amp;"_"&amp;'Gen Info'!$E$4),2,FALSE))</f>
        <v>#REF!</v>
      </c>
      <c r="BF22" t="s">
        <v>42</v>
      </c>
      <c r="BG22" t="s">
        <v>1326</v>
      </c>
      <c r="BH22" t="s">
        <v>168</v>
      </c>
      <c r="BI22" t="str">
        <f>IFERROR(IF(('Gen Info'!$AM$2)&amp;"_DocsQ"=$BG$4,IF(VLOOKUP(IndependentAustralia_DocsQ[[#This Row],[iWatch Number]],'Gen Info'!$J$17:$M$50,4,FALSE)=0,"",VLOOKUP(IndependentAustralia_DocsQ[[#This Row],[iWatch Number]],'Gen Info'!$J$17:$M$50,4,FALSE)),""),"")</f>
        <v/>
      </c>
      <c r="BJ22" t="e">
        <f ca="1">IFERROR("_"&amp;VLOOKUP(IndependentAustralia_DocsQ[[#This Row],[iWatch Number]],INDIRECT('Gen Info'!$D$4),3,FALSE),"_"&amp;VLOOKUP(IndependentAustralia_DocsQ[[#This Row],[iWatch Number]],INDIRECT('Gen Info'!$D$4&amp;"_"&amp;'Gen Info'!$E$4),3,FALSE))</f>
        <v>#REF!</v>
      </c>
      <c r="BK22" t="e">
        <f ca="1">IFERROR(VLOOKUP(IndependentAustralia_DocsQ[[#This Row],[iWatch Number]],INDIRECT('Gen Info'!$D$4),2,FALSE),VLOOKUP(IndependentAustralia_DocsQ[[#This Row],[iWatch Number]],INDIRECT('Gen Info'!$D$4&amp;"_"&amp;'Gen Info'!$E$4),2,FALSE))</f>
        <v>#REF!</v>
      </c>
      <c r="BL22" t="s">
        <v>42</v>
      </c>
      <c r="BM22" t="s">
        <v>941</v>
      </c>
      <c r="BN22" t="s">
        <v>168</v>
      </c>
      <c r="BO22" t="str">
        <f>IF(('Gen Info'!$AM$2)&amp;"_DocsQ"=$BM$4,IF(VLOOKUP(Master_Agent_HQsUnited_States_DocsQ[[#This Row],[iWatch Number]],'Gen Info'!$J$17:$M$50,4,FALSE)=0,"",VLOOKUP(Master_Agent_HQsUnited_States_DocsQ[[#This Row],[iWatch Number]],'Gen Info'!$J$17:$M$50,4,FALSE)),"")</f>
        <v/>
      </c>
      <c r="BP22" t="str">
        <f ca="1">IFERROR("_"&amp;VLOOKUP(Master_Agent_HQsUnited_States_DocsQ[[#This Row],[iWatch Number]],INDIRECT('Gen Info'!$D$4),3,FALSE),"_"&amp;VLOOKUP(Master_Agent_HQsUnited_States_DocsQ[[#This Row],[iWatch Number]],INDIRECT('Gen Info'!$D$4&amp;"_"&amp;'Gen Info'!$E$4),3,FALSE))</f>
        <v>_3</v>
      </c>
      <c r="BQ22" t="str">
        <f ca="1">IFERROR(VLOOKUP(Master_Agent_HQsUnited_States_DocsQ[[#This Row],[iWatch Number]],INDIRECT('Gen Info'!$D$4),2,FALSE),VLOOKUP(Master_Agent_HQsUnited_States_DocsQ[[#This Row],[iWatch Number]],INDIRECT('Gen Info'!$D$4&amp;"_"&amp;'Gen Info'!$E$4),2,FALSE))</f>
        <v>Does the Agent securely dispose of all paper records after the retention period is reached (i.e., shredding)?</v>
      </c>
      <c r="BR22" t="s">
        <v>42</v>
      </c>
      <c r="BS22" t="s">
        <v>941</v>
      </c>
      <c r="BT22" t="s">
        <v>168</v>
      </c>
      <c r="BU22" t="str">
        <f>IFERROR(IF(('Gen Info'!$AM$2)&amp;"_DocsQ"=$BS$4,IF(VLOOKUP(Master_Agent_HQsMalaysia_DocsQ[[#This Row],[iWatch Number]],'Gen Info'!$J$17:$M$50,4,FALSE)=0,"",VLOOKUP(Master_Agent_HQsMalaysia_DocsQ[[#This Row],[iWatch Number]],'Gen Info'!$J$17:$M$50,4,FALSE)),""),"")</f>
        <v/>
      </c>
      <c r="BV22" t="str">
        <f ca="1">IFERROR("_"&amp;VLOOKUP(Master_Agent_HQsMalaysia_DocsQ[[#This Row],[iWatch Number]],INDIRECT('Gen Info'!$D$4),3,FALSE),"_"&amp;VLOOKUP(Master_Agent_HQsMalaysia_DocsQ[[#This Row],[iWatch Number]],INDIRECT('Gen Info'!$D$4&amp;"_"&amp;'Gen Info'!$E$4),3,FALSE))</f>
        <v>_3</v>
      </c>
      <c r="BW22" t="str">
        <f ca="1">IFERROR(VLOOKUP(Master_Agent_HQsMalaysia_DocsQ[[#This Row],[iWatch Number]],INDIRECT('Gen Info'!$D$4),2,FALSE),VLOOKUP(Master_Agent_HQsMalaysia_DocsQ[[#This Row],[iWatch Number]],INDIRECT('Gen Info'!$D$4&amp;"_"&amp;'Gen Info'!$E$4),2,FALSE))</f>
        <v>Does the Agent securely dispose of all paper records after the retention period is reached (i.e., shredding)?</v>
      </c>
      <c r="BY22" t="s">
        <v>941</v>
      </c>
      <c r="BZ22" t="s">
        <v>168</v>
      </c>
      <c r="CA22" t="str">
        <f>IFERROR(IF(('Gen Info'!$AM$2)&amp;"_DocsQ"=$BY$4,IF(VLOOKUP(Master_Agent_HQsCanada_DocsQ[[#This Row],[iWatch Number]],'Gen Info'!$J$17:$M$50,4,FALSE)=0,"",VLOOKUP(Master_Agent_HQsCanada_DocsQ[[#This Row],[iWatch Number]],'Gen Info'!$J$17:$M$50,4,FALSE)),""),"")</f>
        <v/>
      </c>
      <c r="CB22" t="str">
        <f ca="1">IFERROR("_"&amp;VLOOKUP(Master_Agent_HQsCanada_DocsQ[[#This Row],[iWatch Number]],INDIRECT('Gen Info'!$D$4),3,FALSE),"_"&amp;VLOOKUP(Master_Agent_HQsCanada_DocsQ[[#This Row],[iWatch Number]],INDIRECT('Gen Info'!$D$4&amp;"_"&amp;'Gen Info'!$E$4),3,FALSE))</f>
        <v>_3</v>
      </c>
      <c r="CC22" t="str">
        <f ca="1">IFERROR(VLOOKUP(Master_Agent_HQsCanada_DocsQ[[#This Row],[iWatch Number]],INDIRECT('Gen Info'!$D$4),2,FALSE),VLOOKUP(Master_Agent_HQsCanada_DocsQ[[#This Row],[iWatch Number]],INDIRECT('Gen Info'!$D$4&amp;"_"&amp;'Gen Info'!$E$4),2,FALSE))</f>
        <v>Does the Agent securely dispose of all paper records after the retention period is reached (i.e., shredding)?</v>
      </c>
      <c r="CJ22" s="103"/>
      <c r="CK22" s="103"/>
    </row>
    <row r="23" spans="5:89" ht="16.5" thickTop="1">
      <c r="E23" s="229"/>
      <c r="F23" s="176"/>
      <c r="G23" s="176"/>
      <c r="H23" s="176"/>
      <c r="I23" s="247"/>
      <c r="J23" s="237"/>
      <c r="K23" s="176"/>
      <c r="P23" t="s">
        <v>4173</v>
      </c>
      <c r="T23" s="231" t="s">
        <v>3572</v>
      </c>
      <c r="U23" s="232" t="s">
        <v>4231</v>
      </c>
      <c r="AA23" s="238"/>
      <c r="AC23" s="70" t="s">
        <v>4281</v>
      </c>
      <c r="AD23" s="70" t="s">
        <v>4279</v>
      </c>
      <c r="AE23" s="70" t="s">
        <v>3481</v>
      </c>
      <c r="AF23" s="70" t="s">
        <v>4254</v>
      </c>
      <c r="AU23" t="s">
        <v>1281</v>
      </c>
      <c r="AV23" t="s">
        <v>4243</v>
      </c>
      <c r="AW23" t="str">
        <f>IFERROR(IF(('Gen Info'!$AM$2)&amp;"_DocsQ"=$AU$4,IF(VLOOKUP(IndependentUnited_States_DocsQ[[#This Row],[iWatch Number]],'Gen Info'!$J$17:$M$50,4,FALSE)=0,"",VLOOKUP(IndependentUnited_States_DocsQ[[#This Row],[iWatch Number]],'Gen Info'!$J$17:$M$50,4,FALSE)),""),"")</f>
        <v/>
      </c>
      <c r="AX23" t="e">
        <f ca="1">IFERROR("_"&amp;VLOOKUP(IndependentUnited_States_DocsQ[[#This Row],[iWatch Number]],INDIRECT('Gen Info'!$D$4),3,FALSE),"_"&amp;VLOOKUP(IndependentUnited_States_DocsQ[[#This Row],[iWatch Number]],INDIRECT('Gen Info'!$D$4&amp;"_"&amp;'Gen Info'!$E$4),3,FALSE))</f>
        <v>#REF!</v>
      </c>
      <c r="AY23" t="e">
        <f ca="1">IFERROR(VLOOKUP(IndependentUnited_States_DocsQ[[#This Row],[iWatch Number]],INDIRECT('Gen Info'!$D$4),2,FALSE),VLOOKUP(IndependentUnited_States_DocsQ[[#This Row],[iWatch Number]],INDIRECT('Gen Info'!$D$4&amp;"_"&amp;'Gen Info'!$E$4),2,FALSE))</f>
        <v>#REF!</v>
      </c>
      <c r="AZ23" t="s">
        <v>42</v>
      </c>
      <c r="BA23" t="s">
        <v>1281</v>
      </c>
      <c r="BB23" t="s">
        <v>4243</v>
      </c>
      <c r="BC23" t="str">
        <f>IFERROR(IF(('Gen Info'!$AM$2)&amp;"_DocsQ"=$BA$4,IF(VLOOKUP(IndependentCanada_DocsQ[[#This Row],[iWatch Number]],'Gen Info'!$J$17:$M$50,4,FALSE)=0,"",VLOOKUP(IndependentCanada_DocsQ[[#This Row],[iWatch Number]],'Gen Info'!$J$22:$M$50,4,FALSE)),""),"")</f>
        <v/>
      </c>
      <c r="BD23" t="e">
        <f ca="1">IFERROR("_"&amp;VLOOKUP(IndependentCanada_DocsQ[[#This Row],[iWatch Number]],INDIRECT('Gen Info'!$D$4),3,FALSE),"_"&amp;VLOOKUP(IndependentCanada_DocsQ[[#This Row],[iWatch Number]],INDIRECT('Gen Info'!$D$4&amp;"_"&amp;'Gen Info'!$E$4),3,FALSE))</f>
        <v>#REF!</v>
      </c>
      <c r="BE23" t="e">
        <f ca="1">IFERROR(VLOOKUP(IndependentCanada_DocsQ[[#This Row],[iWatch Number]],INDIRECT('Gen Info'!$D$4),2,FALSE),VLOOKUP(IndependentCanada_DocsQ[[#This Row],[iWatch Number]],INDIRECT('Gen Info'!$D$4&amp;"_"&amp;'Gen Info'!$E$4),2,FALSE))</f>
        <v>#REF!</v>
      </c>
      <c r="BF23" t="s">
        <v>42</v>
      </c>
      <c r="BG23" t="s">
        <v>1281</v>
      </c>
      <c r="BH23" t="s">
        <v>4243</v>
      </c>
      <c r="BI23" t="str">
        <f>IFERROR(IF(('Gen Info'!$AM$2)&amp;"_DocsQ"=$BG$4,IF(VLOOKUP(IndependentAustralia_DocsQ[[#This Row],[iWatch Number]],'Gen Info'!$J$17:$M$50,4,FALSE)=0,"",VLOOKUP(IndependentAustralia_DocsQ[[#This Row],[iWatch Number]],'Gen Info'!$J$17:$M$50,4,FALSE)),""),"")</f>
        <v/>
      </c>
      <c r="BJ23" t="e">
        <f ca="1">IFERROR("_"&amp;VLOOKUP(IndependentAustralia_DocsQ[[#This Row],[iWatch Number]],INDIRECT('Gen Info'!$D$4),3,FALSE),"_"&amp;VLOOKUP(IndependentAustralia_DocsQ[[#This Row],[iWatch Number]],INDIRECT('Gen Info'!$D$4&amp;"_"&amp;'Gen Info'!$E$4),3,FALSE))</f>
        <v>#REF!</v>
      </c>
      <c r="BK23" t="e">
        <f ca="1">IFERROR(VLOOKUP(IndependentAustralia_DocsQ[[#This Row],[iWatch Number]],INDIRECT('Gen Info'!$D$4),2,FALSE),VLOOKUP(IndependentAustralia_DocsQ[[#This Row],[iWatch Number]],INDIRECT('Gen Info'!$D$4&amp;"_"&amp;'Gen Info'!$E$4),2,FALSE))</f>
        <v>#REF!</v>
      </c>
      <c r="BL23" t="s">
        <v>42</v>
      </c>
      <c r="BM23" t="s">
        <v>1583</v>
      </c>
      <c r="BN23" t="s">
        <v>4282</v>
      </c>
      <c r="BO23" t="str">
        <f>IF(('Gen Info'!$AM$2)&amp;"_DocsQ"=$BM$4,IF(VLOOKUP(Master_Agent_HQsUnited_States_DocsQ[[#This Row],[iWatch Number]],'Gen Info'!$J$17:$M$50,4,FALSE)=0,"",VLOOKUP(Master_Agent_HQsUnited_States_DocsQ[[#This Row],[iWatch Number]],'Gen Info'!$J$17:$M$50,4,FALSE)),"")</f>
        <v/>
      </c>
      <c r="BP23" t="e">
        <f ca="1">IFERROR("_"&amp;VLOOKUP(Master_Agent_HQsUnited_States_DocsQ[[#This Row],[iWatch Number]],INDIRECT('Gen Info'!$D$4),3,FALSE),"_"&amp;VLOOKUP(Master_Agent_HQsUnited_States_DocsQ[[#This Row],[iWatch Number]],INDIRECT('Gen Info'!$D$4&amp;"_"&amp;'Gen Info'!$E$4),3,FALSE))</f>
        <v>#REF!</v>
      </c>
      <c r="BQ23" t="e">
        <f ca="1">IFERROR(VLOOKUP(Master_Agent_HQsUnited_States_DocsQ[[#This Row],[iWatch Number]],INDIRECT('Gen Info'!$D$4),2,FALSE),VLOOKUP(Master_Agent_HQsUnited_States_DocsQ[[#This Row],[iWatch Number]],INDIRECT('Gen Info'!$D$4&amp;"_"&amp;'Gen Info'!$E$4),2,FALSE))</f>
        <v>#REF!</v>
      </c>
      <c r="BR23" t="s">
        <v>42</v>
      </c>
      <c r="BS23" t="s">
        <v>1583</v>
      </c>
      <c r="BT23" t="s">
        <v>4282</v>
      </c>
      <c r="BU23" t="str">
        <f>IFERROR(IF(('Gen Info'!$AM$2)&amp;"_DocsQ"=$BS$4,IF(VLOOKUP(Master_Agent_HQsMalaysia_DocsQ[[#This Row],[iWatch Number]],'Gen Info'!$J$17:$M$50,4,FALSE)=0,"",VLOOKUP(Master_Agent_HQsMalaysia_DocsQ[[#This Row],[iWatch Number]],'Gen Info'!$J$17:$M$50,4,FALSE)),""),"")</f>
        <v/>
      </c>
      <c r="BV23" t="e">
        <f ca="1">IFERROR("_"&amp;VLOOKUP(Master_Agent_HQsMalaysia_DocsQ[[#This Row],[iWatch Number]],INDIRECT('Gen Info'!$D$4),3,FALSE),"_"&amp;VLOOKUP(Master_Agent_HQsMalaysia_DocsQ[[#This Row],[iWatch Number]],INDIRECT('Gen Info'!$D$4&amp;"_"&amp;'Gen Info'!$E$4),3,FALSE))</f>
        <v>#REF!</v>
      </c>
      <c r="BW23" t="e">
        <f ca="1">IFERROR(VLOOKUP(Master_Agent_HQsMalaysia_DocsQ[[#This Row],[iWatch Number]],INDIRECT('Gen Info'!$D$4),2,FALSE),VLOOKUP(Master_Agent_HQsMalaysia_DocsQ[[#This Row],[iWatch Number]],INDIRECT('Gen Info'!$D$4&amp;"_"&amp;'Gen Info'!$E$4),2,FALSE))</f>
        <v>#REF!</v>
      </c>
      <c r="BY23" t="s">
        <v>1583</v>
      </c>
      <c r="BZ23" t="s">
        <v>4282</v>
      </c>
      <c r="CA23" t="str">
        <f>IFERROR(IF(('Gen Info'!$AM$2)&amp;"_DocsQ"=$BY$4,IF(VLOOKUP(Master_Agent_HQsCanada_DocsQ[[#This Row],[iWatch Number]],'Gen Info'!$J$17:$M$50,4,FALSE)=0,"",VLOOKUP(Master_Agent_HQsCanada_DocsQ[[#This Row],[iWatch Number]],'Gen Info'!$J$17:$M$50,4,FALSE)),""),"")</f>
        <v/>
      </c>
      <c r="CB23" t="e">
        <f ca="1">IFERROR("_"&amp;VLOOKUP(Master_Agent_HQsCanada_DocsQ[[#This Row],[iWatch Number]],INDIRECT('Gen Info'!$D$4),3,FALSE),"_"&amp;VLOOKUP(Master_Agent_HQsCanada_DocsQ[[#This Row],[iWatch Number]],INDIRECT('Gen Info'!$D$4&amp;"_"&amp;'Gen Info'!$E$4),3,FALSE))</f>
        <v>#REF!</v>
      </c>
      <c r="CC23" t="e">
        <f ca="1">IFERROR(VLOOKUP(Master_Agent_HQsCanada_DocsQ[[#This Row],[iWatch Number]],INDIRECT('Gen Info'!$D$4),2,FALSE),VLOOKUP(Master_Agent_HQsCanada_DocsQ[[#This Row],[iWatch Number]],INDIRECT('Gen Info'!$D$4&amp;"_"&amp;'Gen Info'!$E$4),2,FALSE))</f>
        <v>#REF!</v>
      </c>
      <c r="CJ23" s="103"/>
      <c r="CK23" s="103"/>
    </row>
    <row r="24" spans="5:89" ht="14.5">
      <c r="E24" s="229"/>
      <c r="F24" s="176"/>
      <c r="G24" s="176"/>
      <c r="H24" s="176"/>
      <c r="I24" s="176"/>
      <c r="J24" s="237"/>
      <c r="K24" s="176"/>
      <c r="P24" s="221" t="s">
        <v>4187</v>
      </c>
      <c r="Q24" s="9" t="s">
        <v>4283</v>
      </c>
      <c r="R24" s="9" t="s">
        <v>4283</v>
      </c>
      <c r="T24" s="231" t="s">
        <v>3595</v>
      </c>
      <c r="U24" s="232" t="s">
        <v>4231</v>
      </c>
      <c r="AA24" s="238"/>
      <c r="AC24" s="70" t="s">
        <v>4284</v>
      </c>
      <c r="AD24" s="70" t="s">
        <v>3530</v>
      </c>
      <c r="AE24" s="70" t="s">
        <v>3481</v>
      </c>
      <c r="AF24" s="70" t="s">
        <v>4275</v>
      </c>
      <c r="AU24" t="s">
        <v>1070</v>
      </c>
      <c r="AV24" t="s">
        <v>4285</v>
      </c>
      <c r="AW24" t="str">
        <f>IFERROR(IF(('Gen Info'!$AM$2)&amp;"_DocsQ"=$AU$4,IF(VLOOKUP(IndependentUnited_States_DocsQ[[#This Row],[iWatch Number]],'Gen Info'!$J$17:$M$50,4,FALSE)=0,"",VLOOKUP(IndependentUnited_States_DocsQ[[#This Row],[iWatch Number]],'Gen Info'!$J$17:$M$50,4,FALSE)),""),"")</f>
        <v/>
      </c>
      <c r="AX24" t="e">
        <f ca="1">IFERROR("_"&amp;VLOOKUP(IndependentUnited_States_DocsQ[[#This Row],[iWatch Number]],INDIRECT('Gen Info'!$D$4),3,FALSE),"_"&amp;VLOOKUP(IndependentUnited_States_DocsQ[[#This Row],[iWatch Number]],INDIRECT('Gen Info'!$D$4&amp;"_"&amp;'Gen Info'!$E$4),3,FALSE))</f>
        <v>#REF!</v>
      </c>
      <c r="AY24" t="e">
        <f ca="1">IFERROR(VLOOKUP(IndependentUnited_States_DocsQ[[#This Row],[iWatch Number]],INDIRECT('Gen Info'!$D$4),2,FALSE),VLOOKUP(IndependentUnited_States_DocsQ[[#This Row],[iWatch Number]],INDIRECT('Gen Info'!$D$4&amp;"_"&amp;'Gen Info'!$E$4),2,FALSE))</f>
        <v>#REF!</v>
      </c>
      <c r="AZ24" t="s">
        <v>42</v>
      </c>
      <c r="BA24" t="s">
        <v>1070</v>
      </c>
      <c r="BB24" t="s">
        <v>4285</v>
      </c>
      <c r="BC24" t="str">
        <f>IFERROR(IF(('Gen Info'!$AM$2)&amp;"_DocsQ"=$BA$4,IF(VLOOKUP(IndependentCanada_DocsQ[[#This Row],[iWatch Number]],'Gen Info'!$J$17:$M$50,4,FALSE)=0,"",VLOOKUP(IndependentCanada_DocsQ[[#This Row],[iWatch Number]],'Gen Info'!$J$22:$M$50,4,FALSE)),""),"")</f>
        <v/>
      </c>
      <c r="BD24" t="e">
        <f ca="1">IFERROR("_"&amp;VLOOKUP(IndependentCanada_DocsQ[[#This Row],[iWatch Number]],INDIRECT('Gen Info'!$D$4),3,FALSE),"_"&amp;VLOOKUP(IndependentCanada_DocsQ[[#This Row],[iWatch Number]],INDIRECT('Gen Info'!$D$4&amp;"_"&amp;'Gen Info'!$E$4),3,FALSE))</f>
        <v>#REF!</v>
      </c>
      <c r="BE24" t="e">
        <f ca="1">IFERROR(VLOOKUP(IndependentCanada_DocsQ[[#This Row],[iWatch Number]],INDIRECT('Gen Info'!$D$4),2,FALSE),VLOOKUP(IndependentCanada_DocsQ[[#This Row],[iWatch Number]],INDIRECT('Gen Info'!$D$4&amp;"_"&amp;'Gen Info'!$E$4),2,FALSE))</f>
        <v>#REF!</v>
      </c>
      <c r="BF24" t="s">
        <v>42</v>
      </c>
      <c r="BG24" t="s">
        <v>1070</v>
      </c>
      <c r="BH24" t="s">
        <v>4285</v>
      </c>
      <c r="BI24" t="str">
        <f>IFERROR(IF(('Gen Info'!$AM$2)&amp;"_DocsQ"=$BG$4,IF(VLOOKUP(IndependentAustralia_DocsQ[[#This Row],[iWatch Number]],'Gen Info'!$J$17:$M$50,4,FALSE)=0,"",VLOOKUP(IndependentAustralia_DocsQ[[#This Row],[iWatch Number]],'Gen Info'!$J$17:$M$50,4,FALSE)),""),"")</f>
        <v/>
      </c>
      <c r="BJ24" t="e">
        <f ca="1">IFERROR("_"&amp;VLOOKUP(IndependentAustralia_DocsQ[[#This Row],[iWatch Number]],INDIRECT('Gen Info'!$D$4),3,FALSE),"_"&amp;VLOOKUP(IndependentAustralia_DocsQ[[#This Row],[iWatch Number]],INDIRECT('Gen Info'!$D$4&amp;"_"&amp;'Gen Info'!$E$4),3,FALSE))</f>
        <v>#REF!</v>
      </c>
      <c r="BK24" t="e">
        <f ca="1">IFERROR(VLOOKUP(IndependentAustralia_DocsQ[[#This Row],[iWatch Number]],INDIRECT('Gen Info'!$D$4),2,FALSE),VLOOKUP(IndependentAustralia_DocsQ[[#This Row],[iWatch Number]],INDIRECT('Gen Info'!$D$4&amp;"_"&amp;'Gen Info'!$E$4),2,FALSE))</f>
        <v>#REF!</v>
      </c>
      <c r="BL24" t="s">
        <v>42</v>
      </c>
      <c r="BM24" t="s">
        <v>1326</v>
      </c>
      <c r="BN24" t="s">
        <v>4286</v>
      </c>
      <c r="BO24" t="str">
        <f>IF(('Gen Info'!$AM$2)&amp;"_DocsQ"=$BM$4,IF(VLOOKUP(Master_Agent_HQsUnited_States_DocsQ[[#This Row],[iWatch Number]],'Gen Info'!$J$17:$M$50,4,FALSE)=0,"",VLOOKUP(Master_Agent_HQsUnited_States_DocsQ[[#This Row],[iWatch Number]],'Gen Info'!$J$17:$M$50,4,FALSE)),"")</f>
        <v/>
      </c>
      <c r="BP24" t="e">
        <f ca="1">IFERROR("_"&amp;VLOOKUP(Master_Agent_HQsUnited_States_DocsQ[[#This Row],[iWatch Number]],INDIRECT('Gen Info'!$D$4),3,FALSE),"_"&amp;VLOOKUP(Master_Agent_HQsUnited_States_DocsQ[[#This Row],[iWatch Number]],INDIRECT('Gen Info'!$D$4&amp;"_"&amp;'Gen Info'!$E$4),3,FALSE))</f>
        <v>#REF!</v>
      </c>
      <c r="BQ24" t="e">
        <f ca="1">IFERROR(VLOOKUP(Master_Agent_HQsUnited_States_DocsQ[[#This Row],[iWatch Number]],INDIRECT('Gen Info'!$D$4),2,FALSE),VLOOKUP(Master_Agent_HQsUnited_States_DocsQ[[#This Row],[iWatch Number]],INDIRECT('Gen Info'!$D$4&amp;"_"&amp;'Gen Info'!$E$4),2,FALSE))</f>
        <v>#REF!</v>
      </c>
      <c r="BR24" t="s">
        <v>42</v>
      </c>
      <c r="BS24" t="s">
        <v>1326</v>
      </c>
      <c r="BT24" t="s">
        <v>4286</v>
      </c>
      <c r="BU24" t="str">
        <f>IFERROR(IF(('Gen Info'!$AM$2)&amp;"_DocsQ"=$BS$4,IF(VLOOKUP(Master_Agent_HQsMalaysia_DocsQ[[#This Row],[iWatch Number]],'Gen Info'!$J$17:$M$50,4,FALSE)=0,"",VLOOKUP(Master_Agent_HQsMalaysia_DocsQ[[#This Row],[iWatch Number]],'Gen Info'!$J$17:$M$50,4,FALSE)),""),"")</f>
        <v/>
      </c>
      <c r="BV24" t="e">
        <f ca="1">IFERROR("_"&amp;VLOOKUP(Master_Agent_HQsMalaysia_DocsQ[[#This Row],[iWatch Number]],INDIRECT('Gen Info'!$D$4),3,FALSE),"_"&amp;VLOOKUP(Master_Agent_HQsMalaysia_DocsQ[[#This Row],[iWatch Number]],INDIRECT('Gen Info'!$D$4&amp;"_"&amp;'Gen Info'!$E$4),3,FALSE))</f>
        <v>#REF!</v>
      </c>
      <c r="BW24" t="e">
        <f ca="1">IFERROR(VLOOKUP(Master_Agent_HQsMalaysia_DocsQ[[#This Row],[iWatch Number]],INDIRECT('Gen Info'!$D$4),2,FALSE),VLOOKUP(Master_Agent_HQsMalaysia_DocsQ[[#This Row],[iWatch Number]],INDIRECT('Gen Info'!$D$4&amp;"_"&amp;'Gen Info'!$E$4),2,FALSE))</f>
        <v>#REF!</v>
      </c>
      <c r="BY24" t="s">
        <v>1326</v>
      </c>
      <c r="BZ24" t="s">
        <v>4286</v>
      </c>
      <c r="CA24" t="str">
        <f>IFERROR(IF(('Gen Info'!$AM$2)&amp;"_DocsQ"=$BY$4,IF(VLOOKUP(Master_Agent_HQsCanada_DocsQ[[#This Row],[iWatch Number]],'Gen Info'!$J$17:$M$50,4,FALSE)=0,"",VLOOKUP(Master_Agent_HQsCanada_DocsQ[[#This Row],[iWatch Number]],'Gen Info'!$J$17:$M$50,4,FALSE)),""),"")</f>
        <v/>
      </c>
      <c r="CB24" t="e">
        <f ca="1">IFERROR("_"&amp;VLOOKUP(Master_Agent_HQsCanada_DocsQ[[#This Row],[iWatch Number]],INDIRECT('Gen Info'!$D$4),3,FALSE),"_"&amp;VLOOKUP(Master_Agent_HQsCanada_DocsQ[[#This Row],[iWatch Number]],INDIRECT('Gen Info'!$D$4&amp;"_"&amp;'Gen Info'!$E$4),3,FALSE))</f>
        <v>#REF!</v>
      </c>
      <c r="CC24" t="e">
        <f ca="1">IFERROR(VLOOKUP(Master_Agent_HQsCanada_DocsQ[[#This Row],[iWatch Number]],INDIRECT('Gen Info'!$D$4),2,FALSE),VLOOKUP(Master_Agent_HQsCanada_DocsQ[[#This Row],[iWatch Number]],INDIRECT('Gen Info'!$D$4&amp;"_"&amp;'Gen Info'!$E$4),2,FALSE))</f>
        <v>#REF!</v>
      </c>
      <c r="CJ24" s="103"/>
      <c r="CK24" s="103"/>
    </row>
    <row r="25" spans="5:89" ht="14.5">
      <c r="E25" s="229"/>
      <c r="F25" s="176"/>
      <c r="G25" s="176"/>
      <c r="H25" s="176"/>
      <c r="I25" s="184"/>
      <c r="J25" s="237"/>
      <c r="K25" s="176"/>
      <c r="P25" s="221" t="s">
        <v>4200</v>
      </c>
      <c r="Q25" s="9" t="str">
        <f>"Compliance Review Agent Action List - "&amp;"Replace_AgentName_Here "&amp;"Replace_AgentAccountIDs_Here"</f>
        <v>Compliance Review Agent Action List - Replace_AgentName_Here Replace_AgentAccountIDs_Here</v>
      </c>
      <c r="R25" s="9" t="str">
        <f>"Compliance Review Agent Action List - "&amp;"Replace_AgentName_Here "&amp;"Replace_AgentAccountIDs_Here"</f>
        <v>Compliance Review Agent Action List - Replace_AgentName_Here Replace_AgentAccountIDs_Here</v>
      </c>
      <c r="T25" s="231" t="s">
        <v>3609</v>
      </c>
      <c r="U25" s="232" t="s">
        <v>4231</v>
      </c>
      <c r="AA25" s="238"/>
      <c r="AC25" s="70" t="s">
        <v>4287</v>
      </c>
      <c r="AD25" s="70" t="s">
        <v>4288</v>
      </c>
      <c r="AE25" s="70" t="s">
        <v>3481</v>
      </c>
      <c r="AF25" s="70"/>
      <c r="AU25" t="s">
        <v>1121</v>
      </c>
      <c r="AV25" t="s">
        <v>4289</v>
      </c>
      <c r="AW25" t="str">
        <f>IFERROR(IF(('Gen Info'!$AM$2)&amp;"_DocsQ"=$AU$4,IF(VLOOKUP(IndependentUnited_States_DocsQ[[#This Row],[iWatch Number]],'Gen Info'!$J$17:$M$50,4,FALSE)=0,"",VLOOKUP(IndependentUnited_States_DocsQ[[#This Row],[iWatch Number]],'Gen Info'!$J$17:$M$50,4,FALSE)),""),"")</f>
        <v/>
      </c>
      <c r="AX25" t="e">
        <f ca="1">IFERROR("_"&amp;VLOOKUP(IndependentUnited_States_DocsQ[[#This Row],[iWatch Number]],INDIRECT('Gen Info'!$D$4),3,FALSE),"_"&amp;VLOOKUP(IndependentUnited_States_DocsQ[[#This Row],[iWatch Number]],INDIRECT('Gen Info'!$D$4&amp;"_"&amp;'Gen Info'!$E$4),3,FALSE))</f>
        <v>#REF!</v>
      </c>
      <c r="AY25" t="e">
        <f ca="1">IFERROR(VLOOKUP(IndependentUnited_States_DocsQ[[#This Row],[iWatch Number]],INDIRECT('Gen Info'!$D$4),2,FALSE),VLOOKUP(IndependentUnited_States_DocsQ[[#This Row],[iWatch Number]],INDIRECT('Gen Info'!$D$4&amp;"_"&amp;'Gen Info'!$E$4),2,FALSE))</f>
        <v>#REF!</v>
      </c>
      <c r="AZ25" t="s">
        <v>42</v>
      </c>
      <c r="BA25" t="s">
        <v>1121</v>
      </c>
      <c r="BB25" t="s">
        <v>4289</v>
      </c>
      <c r="BC25" t="str">
        <f>IFERROR(IF(('Gen Info'!$AM$2)&amp;"_DocsQ"=$BA$4,IF(VLOOKUP(IndependentCanada_DocsQ[[#This Row],[iWatch Number]],'Gen Info'!$J$17:$M$50,4,FALSE)=0,"",VLOOKUP(IndependentCanada_DocsQ[[#This Row],[iWatch Number]],'Gen Info'!$J$22:$M$50,4,FALSE)),""),"")</f>
        <v/>
      </c>
      <c r="BD25" t="e">
        <f ca="1">IFERROR("_"&amp;VLOOKUP(IndependentCanada_DocsQ[[#This Row],[iWatch Number]],INDIRECT('Gen Info'!$D$4),3,FALSE),"_"&amp;VLOOKUP(IndependentCanada_DocsQ[[#This Row],[iWatch Number]],INDIRECT('Gen Info'!$D$4&amp;"_"&amp;'Gen Info'!$E$4),3,FALSE))</f>
        <v>#REF!</v>
      </c>
      <c r="BE25" t="e">
        <f ca="1">IFERROR(VLOOKUP(IndependentCanada_DocsQ[[#This Row],[iWatch Number]],INDIRECT('Gen Info'!$D$4),2,FALSE),VLOOKUP(IndependentCanada_DocsQ[[#This Row],[iWatch Number]],INDIRECT('Gen Info'!$D$4&amp;"_"&amp;'Gen Info'!$E$4),2,FALSE))</f>
        <v>#REF!</v>
      </c>
      <c r="BG25" t="s">
        <v>1121</v>
      </c>
      <c r="BH25" t="s">
        <v>4289</v>
      </c>
      <c r="BI25" t="str">
        <f>IFERROR(IF(('Gen Info'!$AM$2)&amp;"_DocsQ"=$BG$4,IF(VLOOKUP(IndependentAustralia_DocsQ[[#This Row],[iWatch Number]],'Gen Info'!$J$17:$M$50,4,FALSE)=0,"",VLOOKUP(IndependentAustralia_DocsQ[[#This Row],[iWatch Number]],'Gen Info'!$J$17:$M$50,4,FALSE)),""),"")</f>
        <v/>
      </c>
      <c r="BJ25" t="e">
        <f ca="1">IFERROR("_"&amp;VLOOKUP(IndependentAustralia_DocsQ[[#This Row],[iWatch Number]],INDIRECT('Gen Info'!$D$4),3,FALSE),"_"&amp;VLOOKUP(IndependentAustralia_DocsQ[[#This Row],[iWatch Number]],INDIRECT('Gen Info'!$D$4&amp;"_"&amp;'Gen Info'!$E$4),3,FALSE))</f>
        <v>#REF!</v>
      </c>
      <c r="BK25" t="e">
        <f ca="1">IFERROR(VLOOKUP(IndependentAustralia_DocsQ[[#This Row],[iWatch Number]],INDIRECT('Gen Info'!$D$4),2,FALSE),VLOOKUP(IndependentAustralia_DocsQ[[#This Row],[iWatch Number]],INDIRECT('Gen Info'!$D$4&amp;"_"&amp;'Gen Info'!$E$4),2,FALSE))</f>
        <v>#REF!</v>
      </c>
      <c r="BL25" t="s">
        <v>42</v>
      </c>
      <c r="BM25" t="s">
        <v>1343</v>
      </c>
      <c r="BN25" t="s">
        <v>4290</v>
      </c>
      <c r="BO25" t="str">
        <f>IF(('Gen Info'!$AM$2)&amp;"_DocsQ"=$BM$4,IF(VLOOKUP(Master_Agent_HQsUnited_States_DocsQ[[#This Row],[iWatch Number]],'Gen Info'!$J$17:$M$50,4,FALSE)=0,"",VLOOKUP(Master_Agent_HQsUnited_States_DocsQ[[#This Row],[iWatch Number]],'Gen Info'!$J$17:$M$50,4,FALSE)),"")</f>
        <v/>
      </c>
      <c r="BP25" t="e">
        <f ca="1">IFERROR("_"&amp;VLOOKUP(Master_Agent_HQsUnited_States_DocsQ[[#This Row],[iWatch Number]],INDIRECT('Gen Info'!$D$4),3,FALSE),"_"&amp;VLOOKUP(Master_Agent_HQsUnited_States_DocsQ[[#This Row],[iWatch Number]],INDIRECT('Gen Info'!$D$4&amp;"_"&amp;'Gen Info'!$E$4),3,FALSE))</f>
        <v>#REF!</v>
      </c>
      <c r="BQ25" t="e">
        <f ca="1">IFERROR(VLOOKUP(Master_Agent_HQsUnited_States_DocsQ[[#This Row],[iWatch Number]],INDIRECT('Gen Info'!$D$4),2,FALSE),VLOOKUP(Master_Agent_HQsUnited_States_DocsQ[[#This Row],[iWatch Number]],INDIRECT('Gen Info'!$D$4&amp;"_"&amp;'Gen Info'!$E$4),2,FALSE))</f>
        <v>#REF!</v>
      </c>
      <c r="BR25" t="s">
        <v>42</v>
      </c>
      <c r="BS25" t="s">
        <v>1343</v>
      </c>
      <c r="BT25" t="s">
        <v>4290</v>
      </c>
      <c r="BU25" t="str">
        <f>IFERROR(IF(('Gen Info'!$AM$2)&amp;"_DocsQ"=$BS$4,IF(VLOOKUP(Master_Agent_HQsMalaysia_DocsQ[[#This Row],[iWatch Number]],'Gen Info'!$J$17:$M$50,4,FALSE)=0,"",VLOOKUP(Master_Agent_HQsMalaysia_DocsQ[[#This Row],[iWatch Number]],'Gen Info'!$J$17:$M$50,4,FALSE)),""),"")</f>
        <v/>
      </c>
      <c r="BV25" t="e">
        <f ca="1">IFERROR("_"&amp;VLOOKUP(Master_Agent_HQsMalaysia_DocsQ[[#This Row],[iWatch Number]],INDIRECT('Gen Info'!$D$4),3,FALSE),"_"&amp;VLOOKUP(Master_Agent_HQsMalaysia_DocsQ[[#This Row],[iWatch Number]],INDIRECT('Gen Info'!$D$4&amp;"_"&amp;'Gen Info'!$E$4),3,FALSE))</f>
        <v>#REF!</v>
      </c>
      <c r="BW25" t="e">
        <f ca="1">IFERROR(VLOOKUP(Master_Agent_HQsMalaysia_DocsQ[[#This Row],[iWatch Number]],INDIRECT('Gen Info'!$D$4),2,FALSE),VLOOKUP(Master_Agent_HQsMalaysia_DocsQ[[#This Row],[iWatch Number]],INDIRECT('Gen Info'!$D$4&amp;"_"&amp;'Gen Info'!$E$4),2,FALSE))</f>
        <v>#REF!</v>
      </c>
      <c r="BY25" t="s">
        <v>1343</v>
      </c>
      <c r="BZ25" t="s">
        <v>4290</v>
      </c>
      <c r="CA25" t="str">
        <f>IFERROR(IF(('Gen Info'!$AM$2)&amp;"_DocsQ"=$BY$4,IF(VLOOKUP(Master_Agent_HQsCanada_DocsQ[[#This Row],[iWatch Number]],'Gen Info'!$J$17:$M$50,4,FALSE)=0,"",VLOOKUP(Master_Agent_HQsCanada_DocsQ[[#This Row],[iWatch Number]],'Gen Info'!$J$17:$M$50,4,FALSE)),""),"")</f>
        <v/>
      </c>
      <c r="CB25" t="e">
        <f ca="1">IFERROR("_"&amp;VLOOKUP(Master_Agent_HQsCanada_DocsQ[[#This Row],[iWatch Number]],INDIRECT('Gen Info'!$D$4),3,FALSE),"_"&amp;VLOOKUP(Master_Agent_HQsCanada_DocsQ[[#This Row],[iWatch Number]],INDIRECT('Gen Info'!$D$4&amp;"_"&amp;'Gen Info'!$E$4),3,FALSE))</f>
        <v>#REF!</v>
      </c>
      <c r="CC25" t="e">
        <f ca="1">IFERROR(VLOOKUP(Master_Agent_HQsCanada_DocsQ[[#This Row],[iWatch Number]],INDIRECT('Gen Info'!$D$4),2,FALSE),VLOOKUP(Master_Agent_HQsCanada_DocsQ[[#This Row],[iWatch Number]],INDIRECT('Gen Info'!$D$4&amp;"_"&amp;'Gen Info'!$E$4),2,FALSE))</f>
        <v>#REF!</v>
      </c>
      <c r="CJ25" s="103"/>
      <c r="CK25" s="103"/>
    </row>
    <row r="26" spans="5:89" ht="14.5">
      <c r="E26" s="229"/>
      <c r="F26" s="176"/>
      <c r="G26" s="176"/>
      <c r="H26" s="176"/>
      <c r="I26" s="176"/>
      <c r="J26" s="237"/>
      <c r="K26" s="176"/>
      <c r="T26" s="231" t="s">
        <v>3614</v>
      </c>
      <c r="U26" s="232" t="s">
        <v>4231</v>
      </c>
      <c r="AA26" s="238"/>
      <c r="AC26" s="70" t="s">
        <v>4291</v>
      </c>
      <c r="AD26" s="70" t="s">
        <v>4292</v>
      </c>
      <c r="AE26" s="70" t="s">
        <v>3481</v>
      </c>
      <c r="AF26" s="70" t="s">
        <v>4254</v>
      </c>
      <c r="AU26" t="s">
        <v>823</v>
      </c>
      <c r="AV26" t="s">
        <v>4203</v>
      </c>
      <c r="AW26" t="str">
        <f>IFERROR(IF(('Gen Info'!$AM$2)&amp;"_DocsQ"=$AU$4,IF(VLOOKUP(IndependentUnited_States_DocsQ[[#This Row],[iWatch Number]],'Gen Info'!$J$17:$M$50,4,FALSE)=0,"",VLOOKUP(IndependentUnited_States_DocsQ[[#This Row],[iWatch Number]],'Gen Info'!$J$17:$M$50,4,FALSE)),""),"")</f>
        <v/>
      </c>
      <c r="AX26" t="e">
        <f ca="1">IFERROR("_"&amp;VLOOKUP(IndependentUnited_States_DocsQ[[#This Row],[iWatch Number]],INDIRECT('Gen Info'!$D$4),3,FALSE),"_"&amp;VLOOKUP(IndependentUnited_States_DocsQ[[#This Row],[iWatch Number]],INDIRECT('Gen Info'!$D$4&amp;"_"&amp;'Gen Info'!$E$4),3,FALSE))</f>
        <v>#REF!</v>
      </c>
      <c r="AY26" t="e">
        <f ca="1">IFERROR(VLOOKUP(IndependentUnited_States_DocsQ[[#This Row],[iWatch Number]],INDIRECT('Gen Info'!$D$4),2,FALSE),VLOOKUP(IndependentUnited_States_DocsQ[[#This Row],[iWatch Number]],INDIRECT('Gen Info'!$D$4&amp;"_"&amp;'Gen Info'!$E$4),2,FALSE))</f>
        <v>#REF!</v>
      </c>
      <c r="AZ26" t="s">
        <v>42</v>
      </c>
      <c r="BA26" t="s">
        <v>1191</v>
      </c>
      <c r="BB26" t="s">
        <v>4293</v>
      </c>
      <c r="BC26" t="str">
        <f>IFERROR(IF(('Gen Info'!$AM$2)&amp;"_DocsQ"=$BA$4,IF(VLOOKUP(IndependentCanada_DocsQ[[#This Row],[iWatch Number]],'Gen Info'!$J$17:$M$50,4,FALSE)=0,"",VLOOKUP(IndependentCanada_DocsQ[[#This Row],[iWatch Number]],'Gen Info'!$J$22:$M$50,4,FALSE)),""),"")</f>
        <v/>
      </c>
      <c r="BD26" t="e">
        <f ca="1">IFERROR("_"&amp;VLOOKUP(IndependentCanada_DocsQ[[#This Row],[iWatch Number]],INDIRECT('Gen Info'!$D$4),3,FALSE),"_"&amp;VLOOKUP(IndependentCanada_DocsQ[[#This Row],[iWatch Number]],INDIRECT('Gen Info'!$D$4&amp;"_"&amp;'Gen Info'!$E$4),3,FALSE))</f>
        <v>#REF!</v>
      </c>
      <c r="BE26" t="e">
        <f ca="1">IFERROR(VLOOKUP(IndependentCanada_DocsQ[[#This Row],[iWatch Number]],INDIRECT('Gen Info'!$D$4),2,FALSE),VLOOKUP(IndependentCanada_DocsQ[[#This Row],[iWatch Number]],INDIRECT('Gen Info'!$D$4&amp;"_"&amp;'Gen Info'!$E$4),2,FALSE))</f>
        <v>#REF!</v>
      </c>
      <c r="BG26" t="s">
        <v>1444</v>
      </c>
      <c r="BH26" t="s">
        <v>168</v>
      </c>
      <c r="BI26" t="str">
        <f>IFERROR(IF(('Gen Info'!$AM$2)&amp;"_DocsQ"=$BG$4,IF(VLOOKUP(IndependentAustralia_DocsQ[[#This Row],[iWatch Number]],'Gen Info'!$J$17:$M$50,4,FALSE)=0,"",VLOOKUP(IndependentAustralia_DocsQ[[#This Row],[iWatch Number]],'Gen Info'!$J$17:$M$50,4,FALSE)),""),"")</f>
        <v/>
      </c>
      <c r="BJ26" t="e">
        <f ca="1">IFERROR("_"&amp;VLOOKUP(IndependentAustralia_DocsQ[[#This Row],[iWatch Number]],INDIRECT('Gen Info'!$D$4),3,FALSE),"_"&amp;VLOOKUP(IndependentAustralia_DocsQ[[#This Row],[iWatch Number]],INDIRECT('Gen Info'!$D$4&amp;"_"&amp;'Gen Info'!$E$4),3,FALSE))</f>
        <v>#REF!</v>
      </c>
      <c r="BK26" t="e">
        <f ca="1">IFERROR(VLOOKUP(IndependentAustralia_DocsQ[[#This Row],[iWatch Number]],INDIRECT('Gen Info'!$D$4),2,FALSE),VLOOKUP(IndependentAustralia_DocsQ[[#This Row],[iWatch Number]],INDIRECT('Gen Info'!$D$4&amp;"_"&amp;'Gen Info'!$E$4),2,FALSE))</f>
        <v>#REF!</v>
      </c>
      <c r="BL26" t="s">
        <v>42</v>
      </c>
      <c r="BM26" t="s">
        <v>1774</v>
      </c>
      <c r="BN26" t="s">
        <v>4290</v>
      </c>
      <c r="BO26" t="str">
        <f>IF(('Gen Info'!$AM$2)&amp;"_DocsQ"=$BM$4,IF(VLOOKUP(Master_Agent_HQsUnited_States_DocsQ[[#This Row],[iWatch Number]],'Gen Info'!$J$17:$M$50,4,FALSE)=0,"",VLOOKUP(Master_Agent_HQsUnited_States_DocsQ[[#This Row],[iWatch Number]],'Gen Info'!$J$17:$M$50,4,FALSE)),"")</f>
        <v/>
      </c>
      <c r="BP26" t="e">
        <f ca="1">IFERROR("_"&amp;VLOOKUP(Master_Agent_HQsUnited_States_DocsQ[[#This Row],[iWatch Number]],INDIRECT('Gen Info'!$D$4),3,FALSE),"_"&amp;VLOOKUP(Master_Agent_HQsUnited_States_DocsQ[[#This Row],[iWatch Number]],INDIRECT('Gen Info'!$D$4&amp;"_"&amp;'Gen Info'!$E$4),3,FALSE))</f>
        <v>#REF!</v>
      </c>
      <c r="BQ26" t="e">
        <f ca="1">IFERROR(VLOOKUP(Master_Agent_HQsUnited_States_DocsQ[[#This Row],[iWatch Number]],INDIRECT('Gen Info'!$D$4),2,FALSE),VLOOKUP(Master_Agent_HQsUnited_States_DocsQ[[#This Row],[iWatch Number]],INDIRECT('Gen Info'!$D$4&amp;"_"&amp;'Gen Info'!$E$4),2,FALSE))</f>
        <v>#REF!</v>
      </c>
      <c r="BR26" t="s">
        <v>42</v>
      </c>
      <c r="BS26" t="s">
        <v>1774</v>
      </c>
      <c r="BT26" t="s">
        <v>4290</v>
      </c>
      <c r="BU26" t="str">
        <f>IFERROR(IF(('Gen Info'!$AM$2)&amp;"_DocsQ"=$BS$4,IF(VLOOKUP(Master_Agent_HQsMalaysia_DocsQ[[#This Row],[iWatch Number]],'Gen Info'!$J$17:$M$50,4,FALSE)=0,"",VLOOKUP(Master_Agent_HQsMalaysia_DocsQ[[#This Row],[iWatch Number]],'Gen Info'!$J$17:$M$50,4,FALSE)),""),"")</f>
        <v/>
      </c>
      <c r="BV26" t="e">
        <f ca="1">IFERROR("_"&amp;VLOOKUP(Master_Agent_HQsMalaysia_DocsQ[[#This Row],[iWatch Number]],INDIRECT('Gen Info'!$D$4),3,FALSE),"_"&amp;VLOOKUP(Master_Agent_HQsMalaysia_DocsQ[[#This Row],[iWatch Number]],INDIRECT('Gen Info'!$D$4&amp;"_"&amp;'Gen Info'!$E$4),3,FALSE))</f>
        <v>#REF!</v>
      </c>
      <c r="BW26" t="e">
        <f ca="1">IFERROR(VLOOKUP(Master_Agent_HQsMalaysia_DocsQ[[#This Row],[iWatch Number]],INDIRECT('Gen Info'!$D$4),2,FALSE),VLOOKUP(Master_Agent_HQsMalaysia_DocsQ[[#This Row],[iWatch Number]],INDIRECT('Gen Info'!$D$4&amp;"_"&amp;'Gen Info'!$E$4),2,FALSE))</f>
        <v>#REF!</v>
      </c>
      <c r="BY26" t="s">
        <v>1774</v>
      </c>
      <c r="BZ26" t="s">
        <v>4290</v>
      </c>
      <c r="CA26" t="str">
        <f>IFERROR(IF(('Gen Info'!$AM$2)&amp;"_DocsQ"=$BY$4,IF(VLOOKUP(Master_Agent_HQsCanada_DocsQ[[#This Row],[iWatch Number]],'Gen Info'!$J$17:$M$50,4,FALSE)=0,"",VLOOKUP(Master_Agent_HQsCanada_DocsQ[[#This Row],[iWatch Number]],'Gen Info'!$J$17:$M$50,4,FALSE)),""),"")</f>
        <v/>
      </c>
      <c r="CB26" t="e">
        <f ca="1">IFERROR("_"&amp;VLOOKUP(Master_Agent_HQsCanada_DocsQ[[#This Row],[iWatch Number]],INDIRECT('Gen Info'!$D$4),3,FALSE),"_"&amp;VLOOKUP(Master_Agent_HQsCanada_DocsQ[[#This Row],[iWatch Number]],INDIRECT('Gen Info'!$D$4&amp;"_"&amp;'Gen Info'!$E$4),3,FALSE))</f>
        <v>#REF!</v>
      </c>
      <c r="CC26" t="e">
        <f ca="1">IFERROR(VLOOKUP(Master_Agent_HQsCanada_DocsQ[[#This Row],[iWatch Number]],INDIRECT('Gen Info'!$D$4),2,FALSE),VLOOKUP(Master_Agent_HQsCanada_DocsQ[[#This Row],[iWatch Number]],INDIRECT('Gen Info'!$D$4&amp;"_"&amp;'Gen Info'!$E$4),2,FALSE))</f>
        <v>#REF!</v>
      </c>
      <c r="CJ26" s="103"/>
      <c r="CK26" s="103"/>
    </row>
    <row r="27" spans="5:89" ht="14.5">
      <c r="E27" s="229"/>
      <c r="F27" s="176"/>
      <c r="G27" s="176"/>
      <c r="H27" s="176"/>
      <c r="I27" s="176"/>
      <c r="J27" s="237"/>
      <c r="K27" s="176"/>
      <c r="P27" t="s">
        <v>4223</v>
      </c>
      <c r="T27" s="231" t="s">
        <v>3617</v>
      </c>
      <c r="U27" s="232" t="s">
        <v>4231</v>
      </c>
      <c r="AA27" s="238"/>
      <c r="AC27" s="70" t="s">
        <v>4294</v>
      </c>
      <c r="AD27" s="70" t="s">
        <v>3535</v>
      </c>
      <c r="AE27" s="70" t="s">
        <v>3481</v>
      </c>
      <c r="AF27" s="70" t="s">
        <v>4254</v>
      </c>
      <c r="AU27" t="s">
        <v>579</v>
      </c>
      <c r="AV27" t="s">
        <v>4295</v>
      </c>
      <c r="AW27" t="str">
        <f>IFERROR(IF(('Gen Info'!$AM$2)&amp;"_DocsQ"=$AU$4,IF(VLOOKUP(IndependentUnited_States_DocsQ[[#This Row],[iWatch Number]],'Gen Info'!$J$17:$M$50,4,FALSE)=0,"",VLOOKUP(IndependentUnited_States_DocsQ[[#This Row],[iWatch Number]],'Gen Info'!$J$17:$M$50,4,FALSE)),""),"")</f>
        <v/>
      </c>
      <c r="AX27" t="e">
        <f ca="1">IFERROR("_"&amp;VLOOKUP(IndependentUnited_States_DocsQ[[#This Row],[iWatch Number]],INDIRECT('Gen Info'!$D$4),3,FALSE),"_"&amp;VLOOKUP(IndependentUnited_States_DocsQ[[#This Row],[iWatch Number]],INDIRECT('Gen Info'!$D$4&amp;"_"&amp;'Gen Info'!$E$4),3,FALSE))</f>
        <v>#REF!</v>
      </c>
      <c r="AY27" t="e">
        <f ca="1">IFERROR(VLOOKUP(IndependentUnited_States_DocsQ[[#This Row],[iWatch Number]],INDIRECT('Gen Info'!$D$4),2,FALSE),VLOOKUP(IndependentUnited_States_DocsQ[[#This Row],[iWatch Number]],INDIRECT('Gen Info'!$D$4&amp;"_"&amp;'Gen Info'!$E$4),2,FALSE))</f>
        <v>#REF!</v>
      </c>
      <c r="AZ27" t="s">
        <v>42</v>
      </c>
      <c r="BA27" t="s">
        <v>1207</v>
      </c>
      <c r="BB27" t="s">
        <v>4293</v>
      </c>
      <c r="BC27" t="str">
        <f>IFERROR(IF(('Gen Info'!$AM$2)&amp;"_DocsQ"=$BA$4,IF(VLOOKUP(IndependentCanada_DocsQ[[#This Row],[iWatch Number]],'Gen Info'!$J$17:$M$50,4,FALSE)=0,"",VLOOKUP(IndependentCanada_DocsQ[[#This Row],[iWatch Number]],'Gen Info'!$J$22:$M$50,4,FALSE)),""),"")</f>
        <v/>
      </c>
      <c r="BD27" t="e">
        <f ca="1">IFERROR("_"&amp;VLOOKUP(IndependentCanada_DocsQ[[#This Row],[iWatch Number]],INDIRECT('Gen Info'!$D$4),3,FALSE),"_"&amp;VLOOKUP(IndependentCanada_DocsQ[[#This Row],[iWatch Number]],INDIRECT('Gen Info'!$D$4&amp;"_"&amp;'Gen Info'!$E$4),3,FALSE))</f>
        <v>#REF!</v>
      </c>
      <c r="BE27" t="e">
        <f ca="1">IFERROR(VLOOKUP(IndependentCanada_DocsQ[[#This Row],[iWatch Number]],INDIRECT('Gen Info'!$D$4),2,FALSE),VLOOKUP(IndependentCanada_DocsQ[[#This Row],[iWatch Number]],INDIRECT('Gen Info'!$D$4&amp;"_"&amp;'Gen Info'!$E$4),2,FALSE))</f>
        <v>#REF!</v>
      </c>
      <c r="BG27" t="s">
        <v>1454</v>
      </c>
      <c r="BH27" t="s">
        <v>168</v>
      </c>
      <c r="BI27" t="str">
        <f>IFERROR(IF(('Gen Info'!$AM$2)&amp;"_DocsQ"=$BG$4,IF(VLOOKUP(IndependentAustralia_DocsQ[[#This Row],[iWatch Number]],'Gen Info'!$J$17:$M$50,4,FALSE)=0,"",VLOOKUP(IndependentAustralia_DocsQ[[#This Row],[iWatch Number]],'Gen Info'!$J$17:$M$50,4,FALSE)),""),"")</f>
        <v/>
      </c>
      <c r="BJ27" t="e">
        <f ca="1">IFERROR("_"&amp;VLOOKUP(IndependentAustralia_DocsQ[[#This Row],[iWatch Number]],INDIRECT('Gen Info'!$D$4),3,FALSE),"_"&amp;VLOOKUP(IndependentAustralia_DocsQ[[#This Row],[iWatch Number]],INDIRECT('Gen Info'!$D$4&amp;"_"&amp;'Gen Info'!$E$4),3,FALSE))</f>
        <v>#REF!</v>
      </c>
      <c r="BK27" t="e">
        <f ca="1">IFERROR(VLOOKUP(IndependentAustralia_DocsQ[[#This Row],[iWatch Number]],INDIRECT('Gen Info'!$D$4),2,FALSE),VLOOKUP(IndependentAustralia_DocsQ[[#This Row],[iWatch Number]],INDIRECT('Gen Info'!$D$4&amp;"_"&amp;'Gen Info'!$E$4),2,FALSE))</f>
        <v>#REF!</v>
      </c>
      <c r="BL27" t="s">
        <v>42</v>
      </c>
      <c r="BM27" t="s">
        <v>1783</v>
      </c>
      <c r="BN27" t="s">
        <v>4290</v>
      </c>
      <c r="BO27" t="str">
        <f>IF(('Gen Info'!$AM$2)&amp;"_DocsQ"=$BM$4,IF(VLOOKUP(Master_Agent_HQsUnited_States_DocsQ[[#This Row],[iWatch Number]],'Gen Info'!$J$17:$M$50,4,FALSE)=0,"",VLOOKUP(Master_Agent_HQsUnited_States_DocsQ[[#This Row],[iWatch Number]],'Gen Info'!$J$17:$M$50,4,FALSE)),"")</f>
        <v/>
      </c>
      <c r="BP27" t="e">
        <f ca="1">IFERROR("_"&amp;VLOOKUP(Master_Agent_HQsUnited_States_DocsQ[[#This Row],[iWatch Number]],INDIRECT('Gen Info'!$D$4),3,FALSE),"_"&amp;VLOOKUP(Master_Agent_HQsUnited_States_DocsQ[[#This Row],[iWatch Number]],INDIRECT('Gen Info'!$D$4&amp;"_"&amp;'Gen Info'!$E$4),3,FALSE))</f>
        <v>#REF!</v>
      </c>
      <c r="BQ27" t="e">
        <f ca="1">IFERROR(VLOOKUP(Master_Agent_HQsUnited_States_DocsQ[[#This Row],[iWatch Number]],INDIRECT('Gen Info'!$D$4),2,FALSE),VLOOKUP(Master_Agent_HQsUnited_States_DocsQ[[#This Row],[iWatch Number]],INDIRECT('Gen Info'!$D$4&amp;"_"&amp;'Gen Info'!$E$4),2,FALSE))</f>
        <v>#REF!</v>
      </c>
      <c r="BR27" t="s">
        <v>42</v>
      </c>
      <c r="BS27" t="s">
        <v>1783</v>
      </c>
      <c r="BT27" t="s">
        <v>4290</v>
      </c>
      <c r="BU27" t="str">
        <f>IFERROR(IF(('Gen Info'!$AM$2)&amp;"_DocsQ"=$BS$4,IF(VLOOKUP(Master_Agent_HQsMalaysia_DocsQ[[#This Row],[iWatch Number]],'Gen Info'!$J$17:$M$50,4,FALSE)=0,"",VLOOKUP(Master_Agent_HQsMalaysia_DocsQ[[#This Row],[iWatch Number]],'Gen Info'!$J$17:$M$50,4,FALSE)),""),"")</f>
        <v/>
      </c>
      <c r="BV27" t="e">
        <f ca="1">IFERROR("_"&amp;VLOOKUP(Master_Agent_HQsMalaysia_DocsQ[[#This Row],[iWatch Number]],INDIRECT('Gen Info'!$D$4),3,FALSE),"_"&amp;VLOOKUP(Master_Agent_HQsMalaysia_DocsQ[[#This Row],[iWatch Number]],INDIRECT('Gen Info'!$D$4&amp;"_"&amp;'Gen Info'!$E$4),3,FALSE))</f>
        <v>#REF!</v>
      </c>
      <c r="BW27" t="e">
        <f ca="1">IFERROR(VLOOKUP(Master_Agent_HQsMalaysia_DocsQ[[#This Row],[iWatch Number]],INDIRECT('Gen Info'!$D$4),2,FALSE),VLOOKUP(Master_Agent_HQsMalaysia_DocsQ[[#This Row],[iWatch Number]],INDIRECT('Gen Info'!$D$4&amp;"_"&amp;'Gen Info'!$E$4),2,FALSE))</f>
        <v>#REF!</v>
      </c>
      <c r="BY27" t="s">
        <v>1783</v>
      </c>
      <c r="BZ27" t="s">
        <v>4290</v>
      </c>
      <c r="CA27" t="str">
        <f>IFERROR(IF(('Gen Info'!$AM$2)&amp;"_DocsQ"=$BY$4,IF(VLOOKUP(Master_Agent_HQsCanada_DocsQ[[#This Row],[iWatch Number]],'Gen Info'!$J$17:$M$50,4,FALSE)=0,"",VLOOKUP(Master_Agent_HQsCanada_DocsQ[[#This Row],[iWatch Number]],'Gen Info'!$J$17:$M$50,4,FALSE)),""),"")</f>
        <v/>
      </c>
      <c r="CB27" t="e">
        <f ca="1">IFERROR("_"&amp;VLOOKUP(Master_Agent_HQsCanada_DocsQ[[#This Row],[iWatch Number]],INDIRECT('Gen Info'!$D$4),3,FALSE),"_"&amp;VLOOKUP(Master_Agent_HQsCanada_DocsQ[[#This Row],[iWatch Number]],INDIRECT('Gen Info'!$D$4&amp;"_"&amp;'Gen Info'!$E$4),3,FALSE))</f>
        <v>#REF!</v>
      </c>
      <c r="CC27" t="e">
        <f ca="1">IFERROR(VLOOKUP(Master_Agent_HQsCanada_DocsQ[[#This Row],[iWatch Number]],INDIRECT('Gen Info'!$D$4),2,FALSE),VLOOKUP(Master_Agent_HQsCanada_DocsQ[[#This Row],[iWatch Number]],INDIRECT('Gen Info'!$D$4&amp;"_"&amp;'Gen Info'!$E$4),2,FALSE))</f>
        <v>#REF!</v>
      </c>
      <c r="CJ27" s="103"/>
      <c r="CK27" s="103"/>
    </row>
    <row r="28" spans="5:89" ht="14.5">
      <c r="E28" s="229"/>
      <c r="F28" s="176"/>
      <c r="G28" s="176"/>
      <c r="H28" s="176"/>
      <c r="I28" s="176"/>
      <c r="J28" s="237"/>
      <c r="K28" s="176"/>
      <c r="P28" s="221" t="s">
        <v>4187</v>
      </c>
      <c r="Q28" s="9" t="s">
        <v>4296</v>
      </c>
      <c r="R28" s="9" t="s">
        <v>4297</v>
      </c>
      <c r="T28" s="231" t="s">
        <v>3644</v>
      </c>
      <c r="U28" s="232" t="s">
        <v>4231</v>
      </c>
      <c r="AA28" s="238"/>
      <c r="AC28" s="70" t="s">
        <v>4298</v>
      </c>
      <c r="AD28" s="70" t="s">
        <v>3540</v>
      </c>
      <c r="AE28" s="70" t="s">
        <v>3481</v>
      </c>
      <c r="AF28" s="70" t="s">
        <v>4275</v>
      </c>
      <c r="AU28" t="s">
        <v>1869</v>
      </c>
      <c r="AV28" t="s">
        <v>4263</v>
      </c>
      <c r="AW28" t="str">
        <f>IFERROR(IF(('Gen Info'!$AM$2)&amp;"_DocsQ"=$AU$4,IF(VLOOKUP(IndependentUnited_States_DocsQ[[#This Row],[iWatch Number]],'Gen Info'!$J$17:$M$50,4,FALSE)=0,"",VLOOKUP(IndependentUnited_States_DocsQ[[#This Row],[iWatch Number]],'Gen Info'!$J$17:$M$50,4,FALSE)),""),"")</f>
        <v/>
      </c>
      <c r="AX28" t="e">
        <f ca="1">IFERROR("_"&amp;VLOOKUP(IndependentUnited_States_DocsQ[[#This Row],[iWatch Number]],INDIRECT('Gen Info'!$D$4),3,FALSE),"_"&amp;VLOOKUP(IndependentUnited_States_DocsQ[[#This Row],[iWatch Number]],INDIRECT('Gen Info'!$D$4&amp;"_"&amp;'Gen Info'!$E$4),3,FALSE))</f>
        <v>#REF!</v>
      </c>
      <c r="AY28" t="e">
        <f ca="1">IFERROR(VLOOKUP(IndependentUnited_States_DocsQ[[#This Row],[iWatch Number]],INDIRECT('Gen Info'!$D$4),2,FALSE),VLOOKUP(IndependentUnited_States_DocsQ[[#This Row],[iWatch Number]],INDIRECT('Gen Info'!$D$4&amp;"_"&amp;'Gen Info'!$E$4),2,FALSE))</f>
        <v>#REF!</v>
      </c>
      <c r="AZ28" t="s">
        <v>42</v>
      </c>
      <c r="BA28" s="186"/>
      <c r="BB28" s="186"/>
      <c r="BC28" s="186"/>
      <c r="BG28" s="186" t="s">
        <v>1191</v>
      </c>
      <c r="BH28" s="186" t="s">
        <v>4299</v>
      </c>
      <c r="BI28" t="str">
        <f>IFERROR(IF(('Gen Info'!$AM$2)&amp;"_DocsQ"=$BG$4,IF(VLOOKUP(IndependentAustralia_DocsQ[[#This Row],[iWatch Number]],'Gen Info'!$J$17:$M$50,4,FALSE)=0,"",VLOOKUP(IndependentAustralia_DocsQ[[#This Row],[iWatch Number]],'Gen Info'!$J$17:$M$50,4,FALSE)),""),"")</f>
        <v/>
      </c>
      <c r="BJ28" t="e">
        <f ca="1">IFERROR("_"&amp;VLOOKUP(IndependentAustralia_DocsQ[[#This Row],[iWatch Number]],INDIRECT('Gen Info'!$D$4),3,FALSE),"_"&amp;VLOOKUP(IndependentAustralia_DocsQ[[#This Row],[iWatch Number]],INDIRECT('Gen Info'!$D$4&amp;"_"&amp;'Gen Info'!$E$4),3,FALSE))</f>
        <v>#REF!</v>
      </c>
      <c r="BK28" t="e">
        <f ca="1">IFERROR(VLOOKUP(IndependentAustralia_DocsQ[[#This Row],[iWatch Number]],INDIRECT('Gen Info'!$D$4),2,FALSE),VLOOKUP(IndependentAustralia_DocsQ[[#This Row],[iWatch Number]],INDIRECT('Gen Info'!$D$4&amp;"_"&amp;'Gen Info'!$E$4),2,FALSE))</f>
        <v>#REF!</v>
      </c>
      <c r="BL28" t="s">
        <v>42</v>
      </c>
      <c r="BM28" t="s">
        <v>1789</v>
      </c>
      <c r="BN28" t="s">
        <v>4300</v>
      </c>
      <c r="BO28" t="str">
        <f>IF(('Gen Info'!$AM$2)&amp;"_DocsQ"=$BM$4,IF(VLOOKUP(Master_Agent_HQsUnited_States_DocsQ[[#This Row],[iWatch Number]],'Gen Info'!$J$17:$M$50,4,FALSE)=0,"",VLOOKUP(Master_Agent_HQsUnited_States_DocsQ[[#This Row],[iWatch Number]],'Gen Info'!$J$17:$M$50,4,FALSE)),"")</f>
        <v/>
      </c>
      <c r="BP28" t="e">
        <f ca="1">IFERROR("_"&amp;VLOOKUP(Master_Agent_HQsUnited_States_DocsQ[[#This Row],[iWatch Number]],INDIRECT('Gen Info'!$D$4),3,FALSE),"_"&amp;VLOOKUP(Master_Agent_HQsUnited_States_DocsQ[[#This Row],[iWatch Number]],INDIRECT('Gen Info'!$D$4&amp;"_"&amp;'Gen Info'!$E$4),3,FALSE))</f>
        <v>#REF!</v>
      </c>
      <c r="BQ28" t="e">
        <f ca="1">IFERROR(VLOOKUP(Master_Agent_HQsUnited_States_DocsQ[[#This Row],[iWatch Number]],INDIRECT('Gen Info'!$D$4),2,FALSE),VLOOKUP(Master_Agent_HQsUnited_States_DocsQ[[#This Row],[iWatch Number]],INDIRECT('Gen Info'!$D$4&amp;"_"&amp;'Gen Info'!$E$4),2,FALSE))</f>
        <v>#REF!</v>
      </c>
      <c r="BR28" t="s">
        <v>42</v>
      </c>
      <c r="BS28" t="s">
        <v>1789</v>
      </c>
      <c r="BT28" t="s">
        <v>4300</v>
      </c>
      <c r="BU28" t="str">
        <f>IFERROR(IF(('Gen Info'!$AM$2)&amp;"_DocsQ"=$BS$4,IF(VLOOKUP(Master_Agent_HQsMalaysia_DocsQ[[#This Row],[iWatch Number]],'Gen Info'!$J$17:$M$50,4,FALSE)=0,"",VLOOKUP(Master_Agent_HQsMalaysia_DocsQ[[#This Row],[iWatch Number]],'Gen Info'!$J$17:$M$50,4,FALSE)),""),"")</f>
        <v/>
      </c>
      <c r="BV28" t="e">
        <f ca="1">IFERROR("_"&amp;VLOOKUP(Master_Agent_HQsMalaysia_DocsQ[[#This Row],[iWatch Number]],INDIRECT('Gen Info'!$D$4),3,FALSE),"_"&amp;VLOOKUP(Master_Agent_HQsMalaysia_DocsQ[[#This Row],[iWatch Number]],INDIRECT('Gen Info'!$D$4&amp;"_"&amp;'Gen Info'!$E$4),3,FALSE))</f>
        <v>#REF!</v>
      </c>
      <c r="BW28" t="e">
        <f ca="1">IFERROR(VLOOKUP(Master_Agent_HQsMalaysia_DocsQ[[#This Row],[iWatch Number]],INDIRECT('Gen Info'!$D$4),2,FALSE),VLOOKUP(Master_Agent_HQsMalaysia_DocsQ[[#This Row],[iWatch Number]],INDIRECT('Gen Info'!$D$4&amp;"_"&amp;'Gen Info'!$E$4),2,FALSE))</f>
        <v>#REF!</v>
      </c>
      <c r="BY28" t="s">
        <v>1789</v>
      </c>
      <c r="BZ28" t="s">
        <v>4300</v>
      </c>
      <c r="CA28" t="str">
        <f>IFERROR(IF(('Gen Info'!$AM$2)&amp;"_DocsQ"=$BY$4,IF(VLOOKUP(Master_Agent_HQsCanada_DocsQ[[#This Row],[iWatch Number]],'Gen Info'!$J$17:$M$50,4,FALSE)=0,"",VLOOKUP(Master_Agent_HQsCanada_DocsQ[[#This Row],[iWatch Number]],'Gen Info'!$J$17:$M$50,4,FALSE)),""),"")</f>
        <v/>
      </c>
      <c r="CB28" t="e">
        <f ca="1">IFERROR("_"&amp;VLOOKUP(Master_Agent_HQsCanada_DocsQ[[#This Row],[iWatch Number]],INDIRECT('Gen Info'!$D$4),3,FALSE),"_"&amp;VLOOKUP(Master_Agent_HQsCanada_DocsQ[[#This Row],[iWatch Number]],INDIRECT('Gen Info'!$D$4&amp;"_"&amp;'Gen Info'!$E$4),3,FALSE))</f>
        <v>#REF!</v>
      </c>
      <c r="CC28" t="e">
        <f ca="1">IFERROR(VLOOKUP(Master_Agent_HQsCanada_DocsQ[[#This Row],[iWatch Number]],INDIRECT('Gen Info'!$D$4),2,FALSE),VLOOKUP(Master_Agent_HQsCanada_DocsQ[[#This Row],[iWatch Number]],INDIRECT('Gen Info'!$D$4&amp;"_"&amp;'Gen Info'!$E$4),2,FALSE))</f>
        <v>#REF!</v>
      </c>
      <c r="CJ28" s="103"/>
      <c r="CK28" s="103"/>
    </row>
    <row r="29" spans="5:89" ht="14.5">
      <c r="E29" s="229"/>
      <c r="F29" s="176"/>
      <c r="G29" s="176"/>
      <c r="H29" s="176"/>
      <c r="I29" s="176"/>
      <c r="J29" s="237"/>
      <c r="K29" s="176"/>
      <c r="P29" s="221" t="s">
        <v>4200</v>
      </c>
      <c r="Q29" s="9" t="str">
        <f>"Lista de Acciones del Agente - "&amp;"Replace_AgentName_Here "&amp;"Replace_AgentAccountIDs_Here"</f>
        <v>Lista de Acciones del Agente - Replace_AgentName_Here Replace_AgentAccountIDs_Here</v>
      </c>
      <c r="R29" s="9" t="str">
        <f>"Lista de Acciones del Agente - "&amp;"Replace_AgentName_Here "&amp;"Replace_AgentAccountIDs_Here"</f>
        <v>Lista de Acciones del Agente - Replace_AgentName_Here Replace_AgentAccountIDs_Here</v>
      </c>
      <c r="T29" s="231" t="s">
        <v>3510</v>
      </c>
      <c r="U29" s="232" t="s">
        <v>4231</v>
      </c>
      <c r="AA29" s="238"/>
      <c r="AC29" s="70" t="s">
        <v>4163</v>
      </c>
      <c r="AD29" s="70" t="s">
        <v>3544</v>
      </c>
      <c r="AE29" s="70" t="s">
        <v>3481</v>
      </c>
      <c r="AF29" s="70" t="s">
        <v>4301</v>
      </c>
      <c r="AU29" t="s">
        <v>3739</v>
      </c>
      <c r="AV29" t="s">
        <v>4255</v>
      </c>
      <c r="AW29" t="str">
        <f>IFERROR(IF(('Gen Info'!$AM$2)&amp;"_DocsQ"=$AU$4,IF(VLOOKUP(IndependentUnited_States_DocsQ[[#This Row],[iWatch Number]],'Gen Info'!$J$17:$M$50,4,FALSE)=0,"",VLOOKUP(IndependentUnited_States_DocsQ[[#This Row],[iWatch Number]],'Gen Info'!$J$17:$M$50,4,FALSE)),""),"")</f>
        <v/>
      </c>
      <c r="AX29" t="e">
        <f ca="1">IFERROR("_"&amp;VLOOKUP(IndependentUnited_States_DocsQ[[#This Row],[iWatch Number]],INDIRECT('Gen Info'!$D$4),3,FALSE),"_"&amp;VLOOKUP(IndependentUnited_States_DocsQ[[#This Row],[iWatch Number]],INDIRECT('Gen Info'!$D$4&amp;"_"&amp;'Gen Info'!$E$4),3,FALSE))</f>
        <v>#REF!</v>
      </c>
      <c r="AY29" t="e">
        <f ca="1">IFERROR(VLOOKUP(IndependentUnited_States_DocsQ[[#This Row],[iWatch Number]],INDIRECT('Gen Info'!$D$4),2,FALSE),VLOOKUP(IndependentUnited_States_DocsQ[[#This Row],[iWatch Number]],INDIRECT('Gen Info'!$D$4&amp;"_"&amp;'Gen Info'!$E$4),2,FALSE))</f>
        <v>#REF!</v>
      </c>
      <c r="AZ29" t="s">
        <v>42</v>
      </c>
      <c r="BL29" t="s">
        <v>42</v>
      </c>
      <c r="BM29" t="s">
        <v>1802</v>
      </c>
      <c r="BN29" t="s">
        <v>4290</v>
      </c>
      <c r="BO29" t="str">
        <f>IF(('Gen Info'!$AM$2)&amp;"_DocsQ"=$BM$4,IF(VLOOKUP(Master_Agent_HQsUnited_States_DocsQ[[#This Row],[iWatch Number]],'Gen Info'!$J$17:$M$50,4,FALSE)=0,"",VLOOKUP(Master_Agent_HQsUnited_States_DocsQ[[#This Row],[iWatch Number]],'Gen Info'!$J$17:$M$50,4,FALSE)),"")</f>
        <v/>
      </c>
      <c r="BP29" t="e">
        <f ca="1">IFERROR("_"&amp;VLOOKUP(Master_Agent_HQsUnited_States_DocsQ[[#This Row],[iWatch Number]],INDIRECT('Gen Info'!$D$4),3,FALSE),"_"&amp;VLOOKUP(Master_Agent_HQsUnited_States_DocsQ[[#This Row],[iWatch Number]],INDIRECT('Gen Info'!$D$4&amp;"_"&amp;'Gen Info'!$E$4),3,FALSE))</f>
        <v>#REF!</v>
      </c>
      <c r="BQ29" t="e">
        <f ca="1">IFERROR(VLOOKUP(Master_Agent_HQsUnited_States_DocsQ[[#This Row],[iWatch Number]],INDIRECT('Gen Info'!$D$4),2,FALSE),VLOOKUP(Master_Agent_HQsUnited_States_DocsQ[[#This Row],[iWatch Number]],INDIRECT('Gen Info'!$D$4&amp;"_"&amp;'Gen Info'!$E$4),2,FALSE))</f>
        <v>#REF!</v>
      </c>
      <c r="BR29" t="s">
        <v>42</v>
      </c>
      <c r="BS29" t="s">
        <v>1802</v>
      </c>
      <c r="BT29" t="s">
        <v>4290</v>
      </c>
      <c r="BU29" t="str">
        <f>IFERROR(IF(('Gen Info'!$AM$2)&amp;"_DocsQ"=$BS$4,IF(VLOOKUP(Master_Agent_HQsMalaysia_DocsQ[[#This Row],[iWatch Number]],'Gen Info'!$J$17:$M$50,4,FALSE)=0,"",VLOOKUP(Master_Agent_HQsMalaysia_DocsQ[[#This Row],[iWatch Number]],'Gen Info'!$J$17:$M$50,4,FALSE)),""),"")</f>
        <v/>
      </c>
      <c r="BV29" t="e">
        <f ca="1">IFERROR("_"&amp;VLOOKUP(Master_Agent_HQsMalaysia_DocsQ[[#This Row],[iWatch Number]],INDIRECT('Gen Info'!$D$4),3,FALSE),"_"&amp;VLOOKUP(Master_Agent_HQsMalaysia_DocsQ[[#This Row],[iWatch Number]],INDIRECT('Gen Info'!$D$4&amp;"_"&amp;'Gen Info'!$E$4),3,FALSE))</f>
        <v>#REF!</v>
      </c>
      <c r="BW29" t="e">
        <f ca="1">IFERROR(VLOOKUP(Master_Agent_HQsMalaysia_DocsQ[[#This Row],[iWatch Number]],INDIRECT('Gen Info'!$D$4),2,FALSE),VLOOKUP(Master_Agent_HQsMalaysia_DocsQ[[#This Row],[iWatch Number]],INDIRECT('Gen Info'!$D$4&amp;"_"&amp;'Gen Info'!$E$4),2,FALSE))</f>
        <v>#REF!</v>
      </c>
      <c r="BY29" t="s">
        <v>1802</v>
      </c>
      <c r="BZ29" t="s">
        <v>4290</v>
      </c>
      <c r="CA29" t="str">
        <f>IFERROR(IF(('Gen Info'!$AM$2)&amp;"_DocsQ"=$BY$4,IF(VLOOKUP(Master_Agent_HQsCanada_DocsQ[[#This Row],[iWatch Number]],'Gen Info'!$J$17:$M$50,4,FALSE)=0,"",VLOOKUP(Master_Agent_HQsCanada_DocsQ[[#This Row],[iWatch Number]],'Gen Info'!$J$17:$M$50,4,FALSE)),""),"")</f>
        <v/>
      </c>
      <c r="CB29" t="e">
        <f ca="1">IFERROR("_"&amp;VLOOKUP(Master_Agent_HQsCanada_DocsQ[[#This Row],[iWatch Number]],INDIRECT('Gen Info'!$D$4),3,FALSE),"_"&amp;VLOOKUP(Master_Agent_HQsCanada_DocsQ[[#This Row],[iWatch Number]],INDIRECT('Gen Info'!$D$4&amp;"_"&amp;'Gen Info'!$E$4),3,FALSE))</f>
        <v>#REF!</v>
      </c>
      <c r="CC29" t="e">
        <f ca="1">IFERROR(VLOOKUP(Master_Agent_HQsCanada_DocsQ[[#This Row],[iWatch Number]],INDIRECT('Gen Info'!$D$4),2,FALSE),VLOOKUP(Master_Agent_HQsCanada_DocsQ[[#This Row],[iWatch Number]],INDIRECT('Gen Info'!$D$4&amp;"_"&amp;'Gen Info'!$E$4),2,FALSE))</f>
        <v>#REF!</v>
      </c>
      <c r="CJ29" s="103"/>
      <c r="CK29" s="103"/>
    </row>
    <row r="30" spans="5:89" ht="14.5">
      <c r="E30" s="229"/>
      <c r="F30" s="176"/>
      <c r="G30" s="176"/>
      <c r="H30" s="176"/>
      <c r="I30" s="176"/>
      <c r="J30" s="237"/>
      <c r="K30" s="176"/>
      <c r="T30" s="231" t="s">
        <v>3549</v>
      </c>
      <c r="U30" s="232" t="s">
        <v>4231</v>
      </c>
      <c r="AA30" s="238"/>
      <c r="AC30" s="70" t="s">
        <v>4302</v>
      </c>
      <c r="AD30" s="70" t="s">
        <v>3549</v>
      </c>
      <c r="AE30" s="70" t="s">
        <v>3481</v>
      </c>
      <c r="AF30" s="70" t="s">
        <v>4226</v>
      </c>
      <c r="AU30" t="s">
        <v>1178</v>
      </c>
      <c r="AV30" t="s">
        <v>4271</v>
      </c>
      <c r="AW30" t="str">
        <f>IFERROR(IF(('Gen Info'!$AM$2)&amp;"_DocsQ"=$AU$4,IF(VLOOKUP(IndependentUnited_States_DocsQ[[#This Row],[iWatch Number]],'Gen Info'!$J$17:$M$50,4,FALSE)=0,"",VLOOKUP(IndependentUnited_States_DocsQ[[#This Row],[iWatch Number]],'Gen Info'!$J$17:$M$50,4,FALSE)),""),"")</f>
        <v/>
      </c>
      <c r="AX30" t="e">
        <f ca="1">IFERROR("_"&amp;VLOOKUP(IndependentUnited_States_DocsQ[[#This Row],[iWatch Number]],INDIRECT('Gen Info'!$D$4),3,FALSE),"_"&amp;VLOOKUP(IndependentUnited_States_DocsQ[[#This Row],[iWatch Number]],INDIRECT('Gen Info'!$D$4&amp;"_"&amp;'Gen Info'!$E$4),3,FALSE))</f>
        <v>#REF!</v>
      </c>
      <c r="AY30" t="e">
        <f ca="1">IFERROR(VLOOKUP(IndependentUnited_States_DocsQ[[#This Row],[iWatch Number]],INDIRECT('Gen Info'!$D$4),2,FALSE),VLOOKUP(IndependentUnited_States_DocsQ[[#This Row],[iWatch Number]],INDIRECT('Gen Info'!$D$4&amp;"_"&amp;'Gen Info'!$E$4),2,FALSE))</f>
        <v>#REF!</v>
      </c>
      <c r="BM30" t="s">
        <v>1808</v>
      </c>
      <c r="BN30" t="s">
        <v>4290</v>
      </c>
      <c r="BO30" t="str">
        <f>IF(('Gen Info'!$AM$2)&amp;"_DocsQ"=$BM$4,IF(VLOOKUP(Master_Agent_HQsUnited_States_DocsQ[[#This Row],[iWatch Number]],'Gen Info'!$J$17:$M$50,4,FALSE)=0,"",VLOOKUP(Master_Agent_HQsUnited_States_DocsQ[[#This Row],[iWatch Number]],'Gen Info'!$J$17:$M$50,4,FALSE)),"")</f>
        <v/>
      </c>
      <c r="BP30" t="e">
        <f ca="1">IFERROR("_"&amp;VLOOKUP(Master_Agent_HQsUnited_States_DocsQ[[#This Row],[iWatch Number]],INDIRECT('Gen Info'!$D$4),3,FALSE),"_"&amp;VLOOKUP(Master_Agent_HQsUnited_States_DocsQ[[#This Row],[iWatch Number]],INDIRECT('Gen Info'!$D$4&amp;"_"&amp;'Gen Info'!$E$4),3,FALSE))</f>
        <v>#REF!</v>
      </c>
      <c r="BQ30" t="e">
        <f ca="1">IFERROR(VLOOKUP(Master_Agent_HQsUnited_States_DocsQ[[#This Row],[iWatch Number]],INDIRECT('Gen Info'!$D$4),2,FALSE),VLOOKUP(Master_Agent_HQsUnited_States_DocsQ[[#This Row],[iWatch Number]],INDIRECT('Gen Info'!$D$4&amp;"_"&amp;'Gen Info'!$E$4),2,FALSE))</f>
        <v>#REF!</v>
      </c>
      <c r="BR30" t="s">
        <v>42</v>
      </c>
      <c r="BS30" t="s">
        <v>1808</v>
      </c>
      <c r="BT30" t="s">
        <v>4290</v>
      </c>
      <c r="BU30" t="str">
        <f>IFERROR(IF(('Gen Info'!$AM$2)&amp;"_DocsQ"=$BS$4,IF(VLOOKUP(Master_Agent_HQsMalaysia_DocsQ[[#This Row],[iWatch Number]],'Gen Info'!$J$17:$M$50,4,FALSE)=0,"",VLOOKUP(Master_Agent_HQsMalaysia_DocsQ[[#This Row],[iWatch Number]],'Gen Info'!$J$17:$M$50,4,FALSE)),""),"")</f>
        <v/>
      </c>
      <c r="BV30" t="e">
        <f ca="1">IFERROR("_"&amp;VLOOKUP(Master_Agent_HQsMalaysia_DocsQ[[#This Row],[iWatch Number]],INDIRECT('Gen Info'!$D$4),3,FALSE),"_"&amp;VLOOKUP(Master_Agent_HQsMalaysia_DocsQ[[#This Row],[iWatch Number]],INDIRECT('Gen Info'!$D$4&amp;"_"&amp;'Gen Info'!$E$4),3,FALSE))</f>
        <v>#REF!</v>
      </c>
      <c r="BW30" t="e">
        <f ca="1">IFERROR(VLOOKUP(Master_Agent_HQsMalaysia_DocsQ[[#This Row],[iWatch Number]],INDIRECT('Gen Info'!$D$4),2,FALSE),VLOOKUP(Master_Agent_HQsMalaysia_DocsQ[[#This Row],[iWatch Number]],INDIRECT('Gen Info'!$D$4&amp;"_"&amp;'Gen Info'!$E$4),2,FALSE))</f>
        <v>#REF!</v>
      </c>
      <c r="BY30" t="s">
        <v>1808</v>
      </c>
      <c r="BZ30" t="s">
        <v>4290</v>
      </c>
      <c r="CA30" t="str">
        <f>IFERROR(IF(('Gen Info'!$AM$2)&amp;"_DocsQ"=$BY$4,IF(VLOOKUP(Master_Agent_HQsCanada_DocsQ[[#This Row],[iWatch Number]],'Gen Info'!$J$17:$M$50,4,FALSE)=0,"",VLOOKUP(Master_Agent_HQsCanada_DocsQ[[#This Row],[iWatch Number]],'Gen Info'!$J$17:$M$50,4,FALSE)),""),"")</f>
        <v/>
      </c>
      <c r="CB30" t="e">
        <f ca="1">IFERROR("_"&amp;VLOOKUP(Master_Agent_HQsCanada_DocsQ[[#This Row],[iWatch Number]],INDIRECT('Gen Info'!$D$4),3,FALSE),"_"&amp;VLOOKUP(Master_Agent_HQsCanada_DocsQ[[#This Row],[iWatch Number]],INDIRECT('Gen Info'!$D$4&amp;"_"&amp;'Gen Info'!$E$4),3,FALSE))</f>
        <v>#REF!</v>
      </c>
      <c r="CC30" t="e">
        <f ca="1">IFERROR(VLOOKUP(Master_Agent_HQsCanada_DocsQ[[#This Row],[iWatch Number]],INDIRECT('Gen Info'!$D$4),2,FALSE),VLOOKUP(Master_Agent_HQsCanada_DocsQ[[#This Row],[iWatch Number]],INDIRECT('Gen Info'!$D$4&amp;"_"&amp;'Gen Info'!$E$4),2,FALSE))</f>
        <v>#REF!</v>
      </c>
      <c r="CJ30" s="103"/>
      <c r="CK30" s="103"/>
    </row>
    <row r="31" spans="5:89" ht="14.5">
      <c r="E31" s="229"/>
      <c r="F31" s="176"/>
      <c r="G31" s="176"/>
      <c r="H31" s="176"/>
      <c r="I31" s="176"/>
      <c r="J31" s="237"/>
      <c r="K31" s="176"/>
      <c r="P31" t="s">
        <v>4251</v>
      </c>
      <c r="T31" s="231" t="s">
        <v>4303</v>
      </c>
      <c r="U31" s="232" t="s">
        <v>3480</v>
      </c>
      <c r="AA31" s="238"/>
      <c r="AC31" s="70" t="s">
        <v>4304</v>
      </c>
      <c r="AD31" s="70" t="s">
        <v>3553</v>
      </c>
      <c r="AE31" s="70" t="s">
        <v>3481</v>
      </c>
      <c r="AF31" s="70" t="s">
        <v>4301</v>
      </c>
      <c r="AU31" s="240" t="s">
        <v>4305</v>
      </c>
      <c r="AV31" s="240" t="s">
        <v>4237</v>
      </c>
      <c r="AW31" s="240" t="str">
        <f>IFERROR(IF(('Gen Info'!$AM$2)&amp;"_DocsQ"=$AU$4,IF(VLOOKUP(IndependentUnited_States_DocsQ[[#This Row],[iWatch Number]],'Gen Info'!$J$17:$M$50,4,FALSE)=0,"",VLOOKUP(IndependentUnited_States_DocsQ[[#This Row],[iWatch Number]],'Gen Info'!$J$17:$M$50,4,FALSE)),""),"")</f>
        <v/>
      </c>
      <c r="AX31" s="240" t="e">
        <f ca="1">IFERROR("_"&amp;VLOOKUP(IndependentUnited_States_DocsQ[[#This Row],[iWatch Number]],INDIRECT('Gen Info'!$D$4),3,FALSE),"_"&amp;VLOOKUP(IndependentUnited_States_DocsQ[[#This Row],[iWatch Number]],INDIRECT('Gen Info'!$D$4&amp;"_"&amp;'Gen Info'!$E$4),3,FALSE))</f>
        <v>#REF!</v>
      </c>
      <c r="AY31" s="240" t="e">
        <f ca="1">IFERROR(VLOOKUP(IndependentUnited_States_DocsQ[[#This Row],[iWatch Number]],INDIRECT('Gen Info'!$D$4),2,FALSE),VLOOKUP(IndependentUnited_States_DocsQ[[#This Row],[iWatch Number]],INDIRECT('Gen Info'!$D$4&amp;"_"&amp;'Gen Info'!$E$4),2,FALSE))</f>
        <v>#REF!</v>
      </c>
      <c r="BA31" s="186"/>
      <c r="BB31" s="186"/>
      <c r="BC31" s="186"/>
      <c r="BG31" s="186"/>
      <c r="BH31" s="186"/>
      <c r="BI31" s="186"/>
      <c r="BJ31" s="186"/>
      <c r="BK31" s="186"/>
      <c r="BM31" t="s">
        <v>1815</v>
      </c>
      <c r="BN31" t="s">
        <v>4290</v>
      </c>
      <c r="BO31" t="str">
        <f>IF(('Gen Info'!$AM$2)&amp;"_DocsQ"=$BM$4,IF(VLOOKUP(Master_Agent_HQsUnited_States_DocsQ[[#This Row],[iWatch Number]],'Gen Info'!$J$17:$M$50,4,FALSE)=0,"",VLOOKUP(Master_Agent_HQsUnited_States_DocsQ[[#This Row],[iWatch Number]],'Gen Info'!$J$17:$M$50,4,FALSE)),"")</f>
        <v/>
      </c>
      <c r="BP31" t="e">
        <f ca="1">IFERROR("_"&amp;VLOOKUP(Master_Agent_HQsUnited_States_DocsQ[[#This Row],[iWatch Number]],INDIRECT('Gen Info'!$D$4),3,FALSE),"_"&amp;VLOOKUP(Master_Agent_HQsUnited_States_DocsQ[[#This Row],[iWatch Number]],INDIRECT('Gen Info'!$D$4&amp;"_"&amp;'Gen Info'!$E$4),3,FALSE))</f>
        <v>#REF!</v>
      </c>
      <c r="BQ31" t="e">
        <f ca="1">IFERROR(VLOOKUP(Master_Agent_HQsUnited_States_DocsQ[[#This Row],[iWatch Number]],INDIRECT('Gen Info'!$D$4),2,FALSE),VLOOKUP(Master_Agent_HQsUnited_States_DocsQ[[#This Row],[iWatch Number]],INDIRECT('Gen Info'!$D$4&amp;"_"&amp;'Gen Info'!$E$4),2,FALSE))</f>
        <v>#REF!</v>
      </c>
      <c r="BR31" t="s">
        <v>42</v>
      </c>
      <c r="BS31" t="s">
        <v>1815</v>
      </c>
      <c r="BT31" t="s">
        <v>4290</v>
      </c>
      <c r="BU31" t="str">
        <f>IFERROR(IF(('Gen Info'!$AM$2)&amp;"_DocsQ"=$BS$4,IF(VLOOKUP(Master_Agent_HQsMalaysia_DocsQ[[#This Row],[iWatch Number]],'Gen Info'!$J$17:$M$50,4,FALSE)=0,"",VLOOKUP(Master_Agent_HQsMalaysia_DocsQ[[#This Row],[iWatch Number]],'Gen Info'!$J$17:$M$50,4,FALSE)),""),"")</f>
        <v/>
      </c>
      <c r="BV31" t="e">
        <f ca="1">IFERROR("_"&amp;VLOOKUP(Master_Agent_HQsMalaysia_DocsQ[[#This Row],[iWatch Number]],INDIRECT('Gen Info'!$D$4),3,FALSE),"_"&amp;VLOOKUP(Master_Agent_HQsMalaysia_DocsQ[[#This Row],[iWatch Number]],INDIRECT('Gen Info'!$D$4&amp;"_"&amp;'Gen Info'!$E$4),3,FALSE))</f>
        <v>#REF!</v>
      </c>
      <c r="BW31" t="e">
        <f ca="1">IFERROR(VLOOKUP(Master_Agent_HQsMalaysia_DocsQ[[#This Row],[iWatch Number]],INDIRECT('Gen Info'!$D$4),2,FALSE),VLOOKUP(Master_Agent_HQsMalaysia_DocsQ[[#This Row],[iWatch Number]],INDIRECT('Gen Info'!$D$4&amp;"_"&amp;'Gen Info'!$E$4),2,FALSE))</f>
        <v>#REF!</v>
      </c>
      <c r="BY31" t="s">
        <v>1815</v>
      </c>
      <c r="BZ31" t="s">
        <v>4290</v>
      </c>
      <c r="CA31" t="str">
        <f>IFERROR(IF(('Gen Info'!$AM$2)&amp;"_DocsQ"=$BY$4,IF(VLOOKUP(Master_Agent_HQsCanada_DocsQ[[#This Row],[iWatch Number]],'Gen Info'!$J$17:$M$50,4,FALSE)=0,"",VLOOKUP(Master_Agent_HQsCanada_DocsQ[[#This Row],[iWatch Number]],'Gen Info'!$J$17:$M$50,4,FALSE)),""),"")</f>
        <v/>
      </c>
      <c r="CB31" t="e">
        <f ca="1">IFERROR("_"&amp;VLOOKUP(Master_Agent_HQsCanada_DocsQ[[#This Row],[iWatch Number]],INDIRECT('Gen Info'!$D$4),3,FALSE),"_"&amp;VLOOKUP(Master_Agent_HQsCanada_DocsQ[[#This Row],[iWatch Number]],INDIRECT('Gen Info'!$D$4&amp;"_"&amp;'Gen Info'!$E$4),3,FALSE))</f>
        <v>#REF!</v>
      </c>
      <c r="CC31" t="e">
        <f ca="1">IFERROR(VLOOKUP(Master_Agent_HQsCanada_DocsQ[[#This Row],[iWatch Number]],INDIRECT('Gen Info'!$D$4),2,FALSE),VLOOKUP(Master_Agent_HQsCanada_DocsQ[[#This Row],[iWatch Number]],INDIRECT('Gen Info'!$D$4&amp;"_"&amp;'Gen Info'!$E$4),2,FALSE))</f>
        <v>#REF!</v>
      </c>
      <c r="CJ31" s="103"/>
      <c r="CK31" s="103"/>
    </row>
    <row r="32" spans="5:89" ht="14.5">
      <c r="E32" s="229"/>
      <c r="F32" s="176"/>
      <c r="G32" s="176"/>
      <c r="H32" s="176"/>
      <c r="I32" s="176"/>
      <c r="J32" s="237"/>
      <c r="K32" s="176"/>
      <c r="P32" s="221" t="s">
        <v>4187</v>
      </c>
      <c r="Q32" s="9" t="s">
        <v>4306</v>
      </c>
      <c r="R32" s="9" t="s">
        <v>4306</v>
      </c>
      <c r="T32" s="231" t="s">
        <v>4307</v>
      </c>
      <c r="U32" s="232" t="s">
        <v>3480</v>
      </c>
      <c r="AA32" s="238"/>
      <c r="AC32" s="70" t="s">
        <v>4308</v>
      </c>
      <c r="AD32" s="70" t="s">
        <v>3556</v>
      </c>
      <c r="AE32" s="70" t="s">
        <v>3481</v>
      </c>
      <c r="AF32" s="70" t="s">
        <v>4254</v>
      </c>
      <c r="AU32" t="s">
        <v>1207</v>
      </c>
      <c r="AV32" t="s">
        <v>4293</v>
      </c>
      <c r="AW32" t="str">
        <f>IFERROR(IF(('Gen Info'!$AM$2)&amp;"_DocsQ"=$AU$4,IF(VLOOKUP(IndependentUnited_States_DocsQ[[#This Row],[iWatch Number]],'Gen Info'!$J$17:$M$50,4,FALSE)=0,"",VLOOKUP(IndependentUnited_States_DocsQ[[#This Row],[iWatch Number]],'Gen Info'!$J$17:$M$50,4,FALSE)),""),"")</f>
        <v/>
      </c>
      <c r="AX32" t="e">
        <f ca="1">IFERROR("_"&amp;VLOOKUP(IndependentUnited_States_DocsQ[[#This Row],[iWatch Number]],INDIRECT('Gen Info'!$D$4),3,FALSE),"_"&amp;VLOOKUP(IndependentUnited_States_DocsQ[[#This Row],[iWatch Number]],INDIRECT('Gen Info'!$D$4&amp;"_"&amp;'Gen Info'!$E$4),3,FALSE))</f>
        <v>#REF!</v>
      </c>
      <c r="AY32" t="e">
        <f ca="1">IFERROR(VLOOKUP(IndependentUnited_States_DocsQ[[#This Row],[iWatch Number]],INDIRECT('Gen Info'!$D$4),2,FALSE),VLOOKUP(IndependentUnited_States_DocsQ[[#This Row],[iWatch Number]],INDIRECT('Gen Info'!$D$4&amp;"_"&amp;'Gen Info'!$E$4),2,FALSE))</f>
        <v>#REF!</v>
      </c>
      <c r="BA32" s="186"/>
      <c r="BB32" s="186"/>
      <c r="BC32" s="186"/>
      <c r="BM32" t="s">
        <v>4309</v>
      </c>
      <c r="BN32" t="s">
        <v>4285</v>
      </c>
      <c r="BO32" t="str">
        <f>IF(('Gen Info'!$AM$2)&amp;"_DocsQ"=$BM$4,IF(VLOOKUP(Master_Agent_HQsUnited_States_DocsQ[[#This Row],[iWatch Number]],'Gen Info'!$J$17:$M$50,4,FALSE)=0,"",VLOOKUP(Master_Agent_HQsUnited_States_DocsQ[[#This Row],[iWatch Number]],'Gen Info'!$J$17:$M$50,4,FALSE)),"")</f>
        <v/>
      </c>
      <c r="BP32" t="e">
        <f ca="1">IFERROR("_"&amp;VLOOKUP(Master_Agent_HQsUnited_States_DocsQ[[#This Row],[iWatch Number]],INDIRECT('Gen Info'!$D$4),3,FALSE),"_"&amp;VLOOKUP(Master_Agent_HQsUnited_States_DocsQ[[#This Row],[iWatch Number]],INDIRECT('Gen Info'!$D$4&amp;"_"&amp;'Gen Info'!$E$4),3,FALSE))</f>
        <v>#REF!</v>
      </c>
      <c r="BQ32" t="e">
        <f ca="1">IFERROR(VLOOKUP(Master_Agent_HQsUnited_States_DocsQ[[#This Row],[iWatch Number]],INDIRECT('Gen Info'!$D$4),2,FALSE),VLOOKUP(Master_Agent_HQsUnited_States_DocsQ[[#This Row],[iWatch Number]],INDIRECT('Gen Info'!$D$4&amp;"_"&amp;'Gen Info'!$E$4),2,FALSE))</f>
        <v>#REF!</v>
      </c>
      <c r="BR32" t="s">
        <v>42</v>
      </c>
      <c r="BS32" t="s">
        <v>4309</v>
      </c>
      <c r="BT32" t="s">
        <v>4285</v>
      </c>
      <c r="BU32" t="str">
        <f>IFERROR(IF(('Gen Info'!$AM$2)&amp;"_DocsQ"=$BS$4,IF(VLOOKUP(Master_Agent_HQsMalaysia_DocsQ[[#This Row],[iWatch Number]],'Gen Info'!$J$17:$M$50,4,FALSE)=0,"",VLOOKUP(Master_Agent_HQsMalaysia_DocsQ[[#This Row],[iWatch Number]],'Gen Info'!$J$17:$M$50,4,FALSE)),""),"")</f>
        <v/>
      </c>
      <c r="BV32" t="e">
        <f ca="1">IFERROR("_"&amp;VLOOKUP(Master_Agent_HQsMalaysia_DocsQ[[#This Row],[iWatch Number]],INDIRECT('Gen Info'!$D$4),3,FALSE),"_"&amp;VLOOKUP(Master_Agent_HQsMalaysia_DocsQ[[#This Row],[iWatch Number]],INDIRECT('Gen Info'!$D$4&amp;"_"&amp;'Gen Info'!$E$4),3,FALSE))</f>
        <v>#REF!</v>
      </c>
      <c r="BW32" t="e">
        <f ca="1">IFERROR(VLOOKUP(Master_Agent_HQsMalaysia_DocsQ[[#This Row],[iWatch Number]],INDIRECT('Gen Info'!$D$4),2,FALSE),VLOOKUP(Master_Agent_HQsMalaysia_DocsQ[[#This Row],[iWatch Number]],INDIRECT('Gen Info'!$D$4&amp;"_"&amp;'Gen Info'!$E$4),2,FALSE))</f>
        <v>#REF!</v>
      </c>
      <c r="BY32" t="s">
        <v>4309</v>
      </c>
      <c r="BZ32" t="s">
        <v>4285</v>
      </c>
      <c r="CA32" t="str">
        <f>IFERROR(IF(('Gen Info'!$AM$2)&amp;"_DocsQ"=$BY$4,IF(VLOOKUP(Master_Agent_HQsCanada_DocsQ[[#This Row],[iWatch Number]],'Gen Info'!$J$17:$M$50,4,FALSE)=0,"",VLOOKUP(Master_Agent_HQsCanada_DocsQ[[#This Row],[iWatch Number]],'Gen Info'!$J$17:$M$50,4,FALSE)),""),"")</f>
        <v/>
      </c>
      <c r="CB32" t="e">
        <f ca="1">IFERROR("_"&amp;VLOOKUP(Master_Agent_HQsCanada_DocsQ[[#This Row],[iWatch Number]],INDIRECT('Gen Info'!$D$4),3,FALSE),"_"&amp;VLOOKUP(Master_Agent_HQsCanada_DocsQ[[#This Row],[iWatch Number]],INDIRECT('Gen Info'!$D$4&amp;"_"&amp;'Gen Info'!$E$4),3,FALSE))</f>
        <v>#REF!</v>
      </c>
      <c r="CC32" t="e">
        <f ca="1">IFERROR(VLOOKUP(Master_Agent_HQsCanada_DocsQ[[#This Row],[iWatch Number]],INDIRECT('Gen Info'!$D$4),2,FALSE),VLOOKUP(Master_Agent_HQsCanada_DocsQ[[#This Row],[iWatch Number]],INDIRECT('Gen Info'!$D$4&amp;"_"&amp;'Gen Info'!$E$4),2,FALSE))</f>
        <v>#REF!</v>
      </c>
      <c r="CJ32" s="103"/>
      <c r="CK32" s="103"/>
    </row>
    <row r="33" spans="5:89" ht="17.899999999999999" customHeight="1">
      <c r="E33" s="229"/>
      <c r="F33" s="176"/>
      <c r="G33" s="176"/>
      <c r="H33" s="176"/>
      <c r="I33" s="176"/>
      <c r="J33" s="237"/>
      <c r="K33" s="176"/>
      <c r="P33" s="221" t="s">
        <v>4200</v>
      </c>
      <c r="Q33" s="9" t="str">
        <f>"Liste d'actions de l'agent - "&amp;"Replace_AgentName_Here "&amp;"Replace_AgentAccountIDs_Here"</f>
        <v>Liste d'actions de l'agent - Replace_AgentName_Here Replace_AgentAccountIDs_Here</v>
      </c>
      <c r="R33" s="9" t="str">
        <f>"Liste d'actions de l'agent - "&amp;"Replace_AgentName_Here "&amp;"Replace_AgentAccountIDs_Here"</f>
        <v>Liste d'actions de l'agent - Replace_AgentName_Here Replace_AgentAccountIDs_Here</v>
      </c>
      <c r="T33" s="231" t="s">
        <v>4310</v>
      </c>
      <c r="U33" s="232" t="s">
        <v>3480</v>
      </c>
      <c r="AA33" s="238"/>
      <c r="AC33" s="70" t="s">
        <v>4311</v>
      </c>
      <c r="AD33" s="70" t="s">
        <v>3560</v>
      </c>
      <c r="AE33" s="70" t="s">
        <v>3481</v>
      </c>
      <c r="AF33" s="70" t="s">
        <v>4254</v>
      </c>
      <c r="AW33" t="str">
        <f>IFERROR(IF(('Gen Info'!$AM$2)&amp;"_DocsQ"=$AU$4,IF(VLOOKUP(IndependentUnited_States_DocsQ[[#This Row],[iWatch Number]],'Gen Info'!$J$17:$M$50,4,FALSE)=0,"",VLOOKUP(IndependentUnited_States_DocsQ[[#This Row],[iWatch Number]],'Gen Info'!$J$17:$M$50,4,FALSE)),""),"")</f>
        <v/>
      </c>
      <c r="BM33" t="s">
        <v>1436</v>
      </c>
      <c r="BN33" t="s">
        <v>4285</v>
      </c>
      <c r="BO33" t="str">
        <f>IF(('Gen Info'!$AM$2)&amp;"_DocsQ"=$BM$4,IF(VLOOKUP(Master_Agent_HQsUnited_States_DocsQ[[#This Row],[iWatch Number]],'Gen Info'!$J$17:$M$50,4,FALSE)=0,"",VLOOKUP(Master_Agent_HQsUnited_States_DocsQ[[#This Row],[iWatch Number]],'Gen Info'!$J$17:$M$50,4,FALSE)),"")</f>
        <v/>
      </c>
      <c r="BP33" t="e">
        <f ca="1">IFERROR("_"&amp;VLOOKUP(Master_Agent_HQsUnited_States_DocsQ[[#This Row],[iWatch Number]],INDIRECT('Gen Info'!$D$4),3,FALSE),"_"&amp;VLOOKUP(Master_Agent_HQsUnited_States_DocsQ[[#This Row],[iWatch Number]],INDIRECT('Gen Info'!$D$4&amp;"_"&amp;'Gen Info'!$E$4),3,FALSE))</f>
        <v>#REF!</v>
      </c>
      <c r="BQ33" t="e">
        <f ca="1">IFERROR(VLOOKUP(Master_Agent_HQsUnited_States_DocsQ[[#This Row],[iWatch Number]],INDIRECT('Gen Info'!$D$4),2,FALSE),VLOOKUP(Master_Agent_HQsUnited_States_DocsQ[[#This Row],[iWatch Number]],INDIRECT('Gen Info'!$D$4&amp;"_"&amp;'Gen Info'!$E$4),2,FALSE))</f>
        <v>#REF!</v>
      </c>
      <c r="BR33" t="s">
        <v>42</v>
      </c>
      <c r="BS33" t="s">
        <v>1436</v>
      </c>
      <c r="BT33" t="s">
        <v>4285</v>
      </c>
      <c r="BU33" t="str">
        <f>IFERROR(IF(('Gen Info'!$AM$2)&amp;"_DocsQ"=$BS$4,IF(VLOOKUP(Master_Agent_HQsMalaysia_DocsQ[[#This Row],[iWatch Number]],'Gen Info'!$J$17:$M$50,4,FALSE)=0,"",VLOOKUP(Master_Agent_HQsMalaysia_DocsQ[[#This Row],[iWatch Number]],'Gen Info'!$J$17:$M$50,4,FALSE)),""),"")</f>
        <v/>
      </c>
      <c r="BV33" t="e">
        <f ca="1">IFERROR("_"&amp;VLOOKUP(Master_Agent_HQsMalaysia_DocsQ[[#This Row],[iWatch Number]],INDIRECT('Gen Info'!$D$4),3,FALSE),"_"&amp;VLOOKUP(Master_Agent_HQsMalaysia_DocsQ[[#This Row],[iWatch Number]],INDIRECT('Gen Info'!$D$4&amp;"_"&amp;'Gen Info'!$E$4),3,FALSE))</f>
        <v>#REF!</v>
      </c>
      <c r="BW33" t="e">
        <f ca="1">IFERROR(VLOOKUP(Master_Agent_HQsMalaysia_DocsQ[[#This Row],[iWatch Number]],INDIRECT('Gen Info'!$D$4),2,FALSE),VLOOKUP(Master_Agent_HQsMalaysia_DocsQ[[#This Row],[iWatch Number]],INDIRECT('Gen Info'!$D$4&amp;"_"&amp;'Gen Info'!$E$4),2,FALSE))</f>
        <v>#REF!</v>
      </c>
      <c r="BY33" t="s">
        <v>1436</v>
      </c>
      <c r="BZ33" t="s">
        <v>4285</v>
      </c>
      <c r="CA33" t="str">
        <f>IFERROR(IF(('Gen Info'!$AM$2)&amp;"_DocsQ"=$BY$4,IF(VLOOKUP(Master_Agent_HQsCanada_DocsQ[[#This Row],[iWatch Number]],'Gen Info'!$J$17:$M$50,4,FALSE)=0,"",VLOOKUP(Master_Agent_HQsCanada_DocsQ[[#This Row],[iWatch Number]],'Gen Info'!$J$17:$M$50,4,FALSE)),""),"")</f>
        <v/>
      </c>
      <c r="CB33" t="e">
        <f ca="1">IFERROR("_"&amp;VLOOKUP(Master_Agent_HQsCanada_DocsQ[[#This Row],[iWatch Number]],INDIRECT('Gen Info'!$D$4),3,FALSE),"_"&amp;VLOOKUP(Master_Agent_HQsCanada_DocsQ[[#This Row],[iWatch Number]],INDIRECT('Gen Info'!$D$4&amp;"_"&amp;'Gen Info'!$E$4),3,FALSE))</f>
        <v>#REF!</v>
      </c>
      <c r="CC33" t="e">
        <f ca="1">IFERROR(VLOOKUP(Master_Agent_HQsCanada_DocsQ[[#This Row],[iWatch Number]],INDIRECT('Gen Info'!$D$4),2,FALSE),VLOOKUP(Master_Agent_HQsCanada_DocsQ[[#This Row],[iWatch Number]],INDIRECT('Gen Info'!$D$4&amp;"_"&amp;'Gen Info'!$E$4),2,FALSE))</f>
        <v>#REF!</v>
      </c>
      <c r="CJ33" s="103"/>
      <c r="CK33" s="103"/>
    </row>
    <row r="34" spans="5:89" ht="17.899999999999999" customHeight="1">
      <c r="E34" s="229"/>
      <c r="F34" s="176"/>
      <c r="G34" s="176"/>
      <c r="H34" s="176"/>
      <c r="I34" s="176"/>
      <c r="J34" s="237"/>
      <c r="K34" s="176"/>
      <c r="T34" s="231" t="s">
        <v>4312</v>
      </c>
      <c r="U34" s="232" t="s">
        <v>3480</v>
      </c>
      <c r="AA34" s="238"/>
      <c r="AC34" s="70" t="s">
        <v>4313</v>
      </c>
      <c r="AD34" s="70" t="s">
        <v>3564</v>
      </c>
      <c r="AE34" s="70" t="s">
        <v>3481</v>
      </c>
      <c r="AF34" s="70" t="s">
        <v>4301</v>
      </c>
      <c r="BA34" s="186"/>
      <c r="BB34" s="186"/>
      <c r="BC34" s="186"/>
      <c r="BM34" t="s">
        <v>823</v>
      </c>
      <c r="BN34" t="s">
        <v>4314</v>
      </c>
      <c r="BO34" t="str">
        <f>IF(('Gen Info'!$AM$2)&amp;"_DocsQ"=$BM$4,IF(VLOOKUP(Master_Agent_HQsUnited_States_DocsQ[[#This Row],[iWatch Number]],'Gen Info'!$J$17:$M$50,4,FALSE)=0,"",VLOOKUP(Master_Agent_HQsUnited_States_DocsQ[[#This Row],[iWatch Number]],'Gen Info'!$J$17:$M$50,4,FALSE)),"")</f>
        <v/>
      </c>
      <c r="BP34" t="e">
        <f ca="1">IFERROR("_"&amp;VLOOKUP(Master_Agent_HQsUnited_States_DocsQ[[#This Row],[iWatch Number]],INDIRECT('Gen Info'!$D$4),3,FALSE),"_"&amp;VLOOKUP(Master_Agent_HQsUnited_States_DocsQ[[#This Row],[iWatch Number]],INDIRECT('Gen Info'!$D$4&amp;"_"&amp;'Gen Info'!$E$4),3,FALSE))</f>
        <v>#REF!</v>
      </c>
      <c r="BQ34" t="e">
        <f ca="1">IFERROR(VLOOKUP(Master_Agent_HQsUnited_States_DocsQ[[#This Row],[iWatch Number]],INDIRECT('Gen Info'!$D$4),2,FALSE),VLOOKUP(Master_Agent_HQsUnited_States_DocsQ[[#This Row],[iWatch Number]],INDIRECT('Gen Info'!$D$4&amp;"_"&amp;'Gen Info'!$E$4),2,FALSE))</f>
        <v>#REF!</v>
      </c>
      <c r="BR34" t="s">
        <v>42</v>
      </c>
      <c r="BS34" t="s">
        <v>669</v>
      </c>
      <c r="BT34" t="s">
        <v>4315</v>
      </c>
      <c r="BU34" t="str">
        <f>IFERROR(IF(('Gen Info'!$AM$2)&amp;"_DocsQ"=$BS$4,IF(VLOOKUP(Master_Agent_HQsMalaysia_DocsQ[[#This Row],[iWatch Number]],'Gen Info'!$J$17:$M$50,4,FALSE)=0,"",VLOOKUP(Master_Agent_HQsMalaysia_DocsQ[[#This Row],[iWatch Number]],'Gen Info'!$J$17:$M$50,4,FALSE)),""),"")</f>
        <v/>
      </c>
      <c r="BV34" t="e">
        <f ca="1">IFERROR("_"&amp;VLOOKUP(Master_Agent_HQsMalaysia_DocsQ[[#This Row],[iWatch Number]],INDIRECT('Gen Info'!$D$4),3,FALSE),"_"&amp;VLOOKUP(Master_Agent_HQsMalaysia_DocsQ[[#This Row],[iWatch Number]],INDIRECT('Gen Info'!$D$4&amp;"_"&amp;'Gen Info'!$E$4),3,FALSE))</f>
        <v>#REF!</v>
      </c>
      <c r="BW34" t="e">
        <f ca="1">IFERROR(VLOOKUP(Master_Agent_HQsMalaysia_DocsQ[[#This Row],[iWatch Number]],INDIRECT('Gen Info'!$D$4),2,FALSE),VLOOKUP(Master_Agent_HQsMalaysia_DocsQ[[#This Row],[iWatch Number]],INDIRECT('Gen Info'!$D$4&amp;"_"&amp;'Gen Info'!$E$4),2,FALSE))</f>
        <v>#REF!</v>
      </c>
      <c r="CJ34" s="103"/>
      <c r="CK34" s="103"/>
    </row>
    <row r="35" spans="5:89" ht="17.899999999999999" customHeight="1">
      <c r="E35" s="229"/>
      <c r="F35" s="176"/>
      <c r="G35" s="176"/>
      <c r="H35" s="176"/>
      <c r="I35" s="176"/>
      <c r="J35" s="237"/>
      <c r="K35" s="176"/>
      <c r="P35" t="s">
        <v>4265</v>
      </c>
      <c r="T35" s="231" t="s">
        <v>4316</v>
      </c>
      <c r="U35" s="232" t="s">
        <v>3480</v>
      </c>
      <c r="AA35" s="238"/>
      <c r="AC35" s="70" t="s">
        <v>4317</v>
      </c>
      <c r="AD35" s="70" t="s">
        <v>3568</v>
      </c>
      <c r="AE35" s="70" t="s">
        <v>3481</v>
      </c>
      <c r="AF35" s="70" t="s">
        <v>4275</v>
      </c>
      <c r="BG35" s="186"/>
      <c r="BH35" s="186"/>
      <c r="BI35" s="186"/>
      <c r="BM35" t="s">
        <v>1591</v>
      </c>
      <c r="BN35" t="s">
        <v>4237</v>
      </c>
      <c r="BO35" t="str">
        <f>IF(('Gen Info'!$AM$2)&amp;"_DocsQ"=$BM$4,IF(VLOOKUP(Master_Agent_HQsUnited_States_DocsQ[[#This Row],[iWatch Number]],'Gen Info'!$J$17:$M$50,4,FALSE)=0,"",VLOOKUP(Master_Agent_HQsUnited_States_DocsQ[[#This Row],[iWatch Number]],'Gen Info'!$J$17:$M$50,4,FALSE)),"")</f>
        <v/>
      </c>
      <c r="BP35" t="e">
        <f ca="1">IFERROR("_"&amp;VLOOKUP(Master_Agent_HQsUnited_States_DocsQ[[#This Row],[iWatch Number]],INDIRECT('Gen Info'!$D$4),3,FALSE),"_"&amp;VLOOKUP(Master_Agent_HQsUnited_States_DocsQ[[#This Row],[iWatch Number]],INDIRECT('Gen Info'!$D$4&amp;"_"&amp;'Gen Info'!$E$4),3,FALSE))</f>
        <v>#REF!</v>
      </c>
      <c r="BQ35" t="e">
        <f ca="1">IFERROR(VLOOKUP(Master_Agent_HQsUnited_States_DocsQ[[#This Row],[iWatch Number]],INDIRECT('Gen Info'!$D$4),2,FALSE),VLOOKUP(Master_Agent_HQsUnited_States_DocsQ[[#This Row],[iWatch Number]],INDIRECT('Gen Info'!$D$4&amp;"_"&amp;'Gen Info'!$E$4),2,FALSE))</f>
        <v>#REF!</v>
      </c>
      <c r="CJ35" s="103"/>
      <c r="CK35" s="103"/>
    </row>
    <row r="36" spans="5:89" ht="17.899999999999999" customHeight="1">
      <c r="E36" s="229"/>
      <c r="F36" s="176"/>
      <c r="G36" s="176"/>
      <c r="H36" s="176"/>
      <c r="I36" s="176"/>
      <c r="J36" s="237"/>
      <c r="K36" s="176"/>
      <c r="P36" s="221" t="s">
        <v>4187</v>
      </c>
      <c r="Q36" s="9" t="s">
        <v>4318</v>
      </c>
      <c r="R36" s="9" t="s">
        <v>4319</v>
      </c>
      <c r="T36" s="231" t="s">
        <v>4320</v>
      </c>
      <c r="U36" s="232" t="s">
        <v>3480</v>
      </c>
      <c r="AA36" s="238"/>
      <c r="AC36" s="70" t="s">
        <v>4321</v>
      </c>
      <c r="AD36" s="70" t="s">
        <v>3572</v>
      </c>
      <c r="AE36" s="70" t="s">
        <v>3481</v>
      </c>
      <c r="AF36" s="70" t="s">
        <v>4226</v>
      </c>
      <c r="BA36" s="186"/>
      <c r="BB36" s="186"/>
      <c r="BC36" s="186"/>
      <c r="BM36" t="s">
        <v>1290</v>
      </c>
      <c r="BN36" t="s">
        <v>4256</v>
      </c>
      <c r="BO36" t="str">
        <f>IF(('Gen Info'!$AM$2)&amp;"_DocsQ"=$BM$4,IF(VLOOKUP(Master_Agent_HQsUnited_States_DocsQ[[#This Row],[iWatch Number]],'Gen Info'!$J$17:$M$50,4,FALSE)=0,"",VLOOKUP(Master_Agent_HQsUnited_States_DocsQ[[#This Row],[iWatch Number]],'Gen Info'!$J$17:$M$50,4,FALSE)),"")</f>
        <v/>
      </c>
      <c r="BP36" t="e">
        <f ca="1">IFERROR("_"&amp;VLOOKUP(Master_Agent_HQsUnited_States_DocsQ[[#This Row],[iWatch Number]],INDIRECT('Gen Info'!$D$4),3,FALSE),"_"&amp;VLOOKUP(Master_Agent_HQsUnited_States_DocsQ[[#This Row],[iWatch Number]],INDIRECT('Gen Info'!$D$4&amp;"_"&amp;'Gen Info'!$E$4),3,FALSE))</f>
        <v>#REF!</v>
      </c>
      <c r="BQ36" t="e">
        <f ca="1">IFERROR(VLOOKUP(Master_Agent_HQsUnited_States_DocsQ[[#This Row],[iWatch Number]],INDIRECT('Gen Info'!$D$4),2,FALSE),VLOOKUP(Master_Agent_HQsUnited_States_DocsQ[[#This Row],[iWatch Number]],INDIRECT('Gen Info'!$D$4&amp;"_"&amp;'Gen Info'!$E$4),2,FALSE))</f>
        <v>#REF!</v>
      </c>
      <c r="CJ36" s="103"/>
      <c r="CK36" s="103"/>
    </row>
    <row r="37" spans="5:89" ht="17.899999999999999" customHeight="1">
      <c r="E37" s="229"/>
      <c r="F37" s="176"/>
      <c r="G37" s="176"/>
      <c r="H37" s="176"/>
      <c r="I37" s="176"/>
      <c r="J37" s="237"/>
      <c r="K37" s="176"/>
      <c r="P37" s="221" t="s">
        <v>4200</v>
      </c>
      <c r="Q37" s="9" t="str">
        <f>"Lista de Ações Requeridas - "&amp;"Replace_AgentName_Here "&amp;"Replace_AgentAccountIDs_Here"</f>
        <v>Lista de Ações Requeridas - Replace_AgentName_Here Replace_AgentAccountIDs_Here</v>
      </c>
      <c r="R37" s="9" t="str">
        <f>"Lista de Ações Requeridas - "&amp;"Replace_AgentName_Here "&amp;"Replace_AgentAccountIDs_Here"</f>
        <v>Lista de Ações Requeridas - Replace_AgentName_Here Replace_AgentAccountIDs_Here</v>
      </c>
      <c r="T37" s="231" t="s">
        <v>4322</v>
      </c>
      <c r="U37" s="232" t="s">
        <v>3480</v>
      </c>
      <c r="AA37" s="238"/>
      <c r="AC37" s="70" t="s">
        <v>4323</v>
      </c>
      <c r="AD37" s="70" t="s">
        <v>4324</v>
      </c>
      <c r="AE37" s="70" t="s">
        <v>3481</v>
      </c>
      <c r="AF37" s="70"/>
      <c r="BA37" s="186"/>
      <c r="BB37" s="186"/>
      <c r="BC37" s="186"/>
      <c r="BM37" t="s">
        <v>2650</v>
      </c>
      <c r="BN37" t="s">
        <v>4237</v>
      </c>
      <c r="BO37" t="str">
        <f>IF(('Gen Info'!$AM$2)&amp;"_DocsQ"=$BM$4,IF(VLOOKUP(Master_Agent_HQsUnited_States_DocsQ[[#This Row],[iWatch Number]],'Gen Info'!$J$17:$M$50,4,FALSE)=0,"",VLOOKUP(Master_Agent_HQsUnited_States_DocsQ[[#This Row],[iWatch Number]],'Gen Info'!$J$17:$M$50,4,FALSE)),"")</f>
        <v/>
      </c>
      <c r="BP37" t="e">
        <f ca="1">IFERROR("_"&amp;VLOOKUP(Master_Agent_HQsUnited_States_DocsQ[[#This Row],[iWatch Number]],INDIRECT('Gen Info'!$D$4),3,FALSE),"_"&amp;VLOOKUP(Master_Agent_HQsUnited_States_DocsQ[[#This Row],[iWatch Number]],INDIRECT('Gen Info'!$D$4&amp;"_"&amp;'Gen Info'!$E$4),3,FALSE))</f>
        <v>#REF!</v>
      </c>
      <c r="BQ37" t="e">
        <f ca="1">IFERROR(VLOOKUP(Master_Agent_HQsUnited_States_DocsQ[[#This Row],[iWatch Number]],INDIRECT('Gen Info'!$D$4),2,FALSE),VLOOKUP(Master_Agent_HQsUnited_States_DocsQ[[#This Row],[iWatch Number]],INDIRECT('Gen Info'!$D$4&amp;"_"&amp;'Gen Info'!$E$4),2,FALSE))</f>
        <v>#REF!</v>
      </c>
      <c r="CJ37" s="103"/>
      <c r="CK37" s="103"/>
    </row>
    <row r="38" spans="5:89" ht="17.899999999999999" customHeight="1">
      <c r="E38" s="229"/>
      <c r="F38" s="176"/>
      <c r="G38" s="176"/>
      <c r="H38" s="176"/>
      <c r="I38" s="176"/>
      <c r="J38" s="237"/>
      <c r="K38" s="176"/>
      <c r="T38" s="231" t="s">
        <v>4325</v>
      </c>
      <c r="U38" s="232" t="s">
        <v>3480</v>
      </c>
      <c r="AA38" s="238"/>
      <c r="AC38" s="70" t="s">
        <v>4326</v>
      </c>
      <c r="AD38" s="70" t="s">
        <v>4327</v>
      </c>
      <c r="AE38" s="70" t="s">
        <v>3481</v>
      </c>
      <c r="AF38" s="70" t="s">
        <v>4254</v>
      </c>
      <c r="BG38" s="186"/>
      <c r="BH38" s="186"/>
      <c r="BI38" s="186"/>
      <c r="CJ38" s="103"/>
      <c r="CK38" s="103"/>
    </row>
    <row r="39" spans="5:89" ht="17.899999999999999" customHeight="1">
      <c r="E39" s="229"/>
      <c r="F39" s="176"/>
      <c r="G39" s="176"/>
      <c r="H39" s="176"/>
      <c r="I39" s="176"/>
      <c r="J39" s="237"/>
      <c r="K39" s="176"/>
      <c r="T39" s="231" t="s">
        <v>4328</v>
      </c>
      <c r="U39" s="232" t="s">
        <v>3480</v>
      </c>
      <c r="AA39" s="238"/>
      <c r="AC39" s="70" t="s">
        <v>4329</v>
      </c>
      <c r="AD39" s="70" t="s">
        <v>3576</v>
      </c>
      <c r="AE39" s="70" t="s">
        <v>3481</v>
      </c>
      <c r="AF39" s="70" t="s">
        <v>4254</v>
      </c>
      <c r="BA39" s="186"/>
      <c r="BB39" s="186"/>
      <c r="BC39" s="186"/>
      <c r="BG39" s="186"/>
      <c r="BH39" s="186"/>
      <c r="BI39" s="186"/>
      <c r="CJ39" s="103"/>
      <c r="CK39" s="103"/>
    </row>
    <row r="40" spans="5:89" ht="17.899999999999999" customHeight="1">
      <c r="E40" s="229"/>
      <c r="F40" s="176"/>
      <c r="G40" s="176"/>
      <c r="H40" s="176"/>
      <c r="I40" s="176"/>
      <c r="J40" s="237"/>
      <c r="K40" s="176"/>
      <c r="P40" t="s">
        <v>4330</v>
      </c>
      <c r="Q40" t="str">
        <f ca="1">""""&amp;'Gen Info'!$Z$4&amp;"; "&amp;'Call Flow'!$D$3&amp;"; "&amp;'Gen Info'!P4&amp;", "&amp;'Gen Info'!$Q$4&amp;"; "&amp;'Gen Info'!$R$4&amp;"; "&amp;'Gen Info'!$S$4&amp;"; "&amp;'Gen Info'!$U$4&amp;"; "&amp;'Gen Info'!$AC$4&amp;"; "&amp;'Gen Info'!$H$4&amp;"; "&amp;'Gen Info'!$I$4&amp;"; "&amp;'Gen Info'!$J$4&amp;"; "&amp;'Gen Info'!$K$4&amp;""""</f>
        <v>"Viernes 24 Octubre, 2025; TIENDA MUEBLERIA EL BODEGON AY; HIDALGO EJE ORIENTE 163, CENTRO; AYOTLAN; JALISCO; MX;  Martes 2 Septiembre, 2025; enter manually; enter manually; enter manually; enter manually"</v>
      </c>
      <c r="T40" s="231" t="s">
        <v>4331</v>
      </c>
      <c r="U40" s="232" t="s">
        <v>3480</v>
      </c>
      <c r="AA40" s="238"/>
      <c r="AC40" s="70" t="s">
        <v>4332</v>
      </c>
      <c r="AD40" s="70" t="s">
        <v>4333</v>
      </c>
      <c r="AE40" s="70" t="s">
        <v>3481</v>
      </c>
      <c r="AF40" s="70" t="s">
        <v>4254</v>
      </c>
      <c r="CJ40" s="103"/>
      <c r="CK40" s="103"/>
    </row>
    <row r="41" spans="5:89" ht="17.899999999999999" customHeight="1">
      <c r="E41" s="229"/>
      <c r="F41" s="176"/>
      <c r="G41" s="176"/>
      <c r="H41" s="176"/>
      <c r="I41" s="176"/>
      <c r="J41" s="237"/>
      <c r="K41" s="176"/>
      <c r="T41" s="231" t="s">
        <v>4334</v>
      </c>
      <c r="U41" s="232" t="s">
        <v>3480</v>
      </c>
      <c r="AA41" s="238"/>
      <c r="AC41" s="70" t="s">
        <v>4335</v>
      </c>
      <c r="AD41" s="70" t="s">
        <v>3581</v>
      </c>
      <c r="AE41" s="70" t="s">
        <v>3481</v>
      </c>
      <c r="AF41" s="70" t="s">
        <v>4226</v>
      </c>
      <c r="BA41" s="186"/>
      <c r="BB41" s="186"/>
      <c r="BC41" s="186"/>
      <c r="BG41" s="186"/>
      <c r="BH41" s="186"/>
      <c r="BI41" s="186"/>
      <c r="BJ41" s="186"/>
      <c r="BK41" s="186"/>
      <c r="CJ41" s="103"/>
      <c r="CK41" s="103"/>
    </row>
    <row r="42" spans="5:89" ht="17.899999999999999" customHeight="1">
      <c r="E42" s="229"/>
      <c r="F42" s="176"/>
      <c r="G42" s="176"/>
      <c r="H42" s="176"/>
      <c r="I42" s="176"/>
      <c r="J42" s="237"/>
      <c r="K42" s="176"/>
      <c r="P42" t="s">
        <v>4336</v>
      </c>
      <c r="Q42" s="239" t="str">
        <f ca="1">'Gen Info'!$Z$4</f>
        <v>Viernes 24 Octubre, 2025</v>
      </c>
      <c r="T42" s="231" t="s">
        <v>4337</v>
      </c>
      <c r="U42" s="232" t="s">
        <v>3480</v>
      </c>
      <c r="AA42" s="238"/>
      <c r="AC42" s="70" t="s">
        <v>4338</v>
      </c>
      <c r="AD42" s="70" t="s">
        <v>3586</v>
      </c>
      <c r="AE42" s="70" t="s">
        <v>3481</v>
      </c>
      <c r="AF42" s="70" t="s">
        <v>4254</v>
      </c>
      <c r="BG42" s="186"/>
      <c r="BH42" s="186"/>
      <c r="BI42" s="186"/>
      <c r="BJ42" s="186"/>
      <c r="BK42" s="186"/>
      <c r="CJ42" s="103"/>
      <c r="CK42" s="103"/>
    </row>
    <row r="43" spans="5:89" ht="17.899999999999999" customHeight="1">
      <c r="E43" s="229"/>
      <c r="F43" s="176"/>
      <c r="G43" s="176"/>
      <c r="H43" s="176"/>
      <c r="I43" s="176"/>
      <c r="J43" s="237"/>
      <c r="K43" s="176"/>
      <c r="P43" t="s">
        <v>4339</v>
      </c>
      <c r="Q43" s="176" t="str">
        <f>'Call Flow'!$D$3</f>
        <v>TIENDA MUEBLERIA EL BODEGON AY</v>
      </c>
      <c r="T43" s="231" t="s">
        <v>4340</v>
      </c>
      <c r="U43" s="232" t="s">
        <v>3480</v>
      </c>
      <c r="AA43" s="238"/>
      <c r="AC43" s="70" t="s">
        <v>4341</v>
      </c>
      <c r="AD43" s="70" t="s">
        <v>3591</v>
      </c>
      <c r="AE43" s="70" t="s">
        <v>3481</v>
      </c>
      <c r="AF43" s="70" t="s">
        <v>4254</v>
      </c>
      <c r="AU43" s="144" t="s">
        <v>4196</v>
      </c>
      <c r="AV43" s="144" t="s">
        <v>4197</v>
      </c>
      <c r="AW43" s="248" t="s">
        <v>4198</v>
      </c>
      <c r="AX43" s="248" t="s">
        <v>4199</v>
      </c>
      <c r="AY43" s="248" t="s">
        <v>49</v>
      </c>
      <c r="BA43" s="186"/>
      <c r="BB43" s="186"/>
      <c r="BC43" s="186"/>
      <c r="BM43" t="s">
        <v>661</v>
      </c>
      <c r="BN43" t="s">
        <v>4207</v>
      </c>
      <c r="CJ43" s="103"/>
      <c r="CK43" s="103"/>
    </row>
    <row r="44" spans="5:89" ht="17.899999999999999" customHeight="1">
      <c r="E44" s="229"/>
      <c r="F44" s="176"/>
      <c r="G44" s="176"/>
      <c r="H44" s="176"/>
      <c r="I44" s="176"/>
      <c r="J44" s="237"/>
      <c r="K44" s="176"/>
      <c r="P44" t="s">
        <v>4342</v>
      </c>
      <c r="Q44" s="176" t="str">
        <f>'Gen Info'!P4&amp;", "&amp;'Gen Info'!$Q$4</f>
        <v>HIDALGO EJE ORIENTE 163, CENTRO</v>
      </c>
      <c r="T44" s="231" t="s">
        <v>4343</v>
      </c>
      <c r="U44" s="232" t="s">
        <v>3480</v>
      </c>
      <c r="AA44" s="238"/>
      <c r="AC44" s="70" t="s">
        <v>4344</v>
      </c>
      <c r="AD44" s="70" t="s">
        <v>3595</v>
      </c>
      <c r="AE44" s="70" t="s">
        <v>3481</v>
      </c>
      <c r="AF44" s="70" t="s">
        <v>4226</v>
      </c>
      <c r="AW44" t="str">
        <f>IFERROR(IF(('Gen Info'!$AM$2)&amp;"_DocsQ"=$AU$4,IF(VLOOKUP(Independent_MO_OnlyUnited_States_DocsQ[[#This Row],[iWatch Number]],'Gen Info'!$J$17:$M$50,4,FALSE)=0,"",VLOOKUP(Independent_MO_OnlyUnited_States_DocsQ[[#This Row],[iWatch Number]],'Gen Info'!$J$17:$M$50,4,FALSE)),""),"")</f>
        <v/>
      </c>
      <c r="AX44" t="e">
        <f ca="1">IFERROR(VLOOKUP(Independent_MO_OnlyUnited_States_DocsQ[[#This Row],[iWatch Number]],INDIRECT('Gen Info'!$D$4),3,FALSE),VLOOKUP(Independent_MO_OnlyUnited_States_DocsQ[[#This Row],[iWatch Number]],INDIRECT('Gen Info'!$D$4&amp;"_"&amp;'Gen Info'!$E$4),3,FALSE))</f>
        <v>#REF!</v>
      </c>
      <c r="AY44" t="e">
        <f ca="1">IFERROR(VLOOKUP(Independent_MO_OnlyUnited_States_DocsQ[[#This Row],[iWatch Number]],INDIRECT('Gen Info'!$D$4),2,FALSE),VLOOKUP(Independent_MO_OnlyUnited_States_DocsQ[[#This Row],[iWatch Number]],INDIRECT('Gen Info'!$D$4&amp;"_"&amp;'Gen Info'!$E$4),2,FALSE))</f>
        <v>#REF!</v>
      </c>
      <c r="BA44" s="186"/>
      <c r="BB44" s="186"/>
      <c r="BC44" s="186"/>
      <c r="BM44" t="s">
        <v>711</v>
      </c>
      <c r="BN44" t="s">
        <v>4216</v>
      </c>
      <c r="BP44" t="s">
        <v>823</v>
      </c>
      <c r="BQ44" t="s">
        <v>4314</v>
      </c>
      <c r="CJ44" s="103"/>
      <c r="CK44" s="103"/>
    </row>
    <row r="45" spans="5:89" ht="17.899999999999999" customHeight="1">
      <c r="E45" s="229"/>
      <c r="F45" s="176"/>
      <c r="G45" s="176"/>
      <c r="H45" s="176"/>
      <c r="I45" s="176"/>
      <c r="J45" s="237"/>
      <c r="K45" s="176"/>
      <c r="P45" t="s">
        <v>4345</v>
      </c>
      <c r="Q45" s="176" t="str">
        <f>'Gen Info'!$R$4</f>
        <v>AYOTLAN</v>
      </c>
      <c r="T45" s="231" t="s">
        <v>4346</v>
      </c>
      <c r="U45" s="232" t="s">
        <v>3480</v>
      </c>
      <c r="AA45" s="238"/>
      <c r="AC45" s="70" t="s">
        <v>4347</v>
      </c>
      <c r="AD45" s="70" t="s">
        <v>3599</v>
      </c>
      <c r="AE45" s="70" t="s">
        <v>3481</v>
      </c>
      <c r="AF45" s="70" t="s">
        <v>4254</v>
      </c>
      <c r="AW45" t="str">
        <f>IFERROR(IF(('Gen Info'!$AM$2)&amp;"_DocsQ"=$AU$4,IF(VLOOKUP(Independent_MO_OnlyUnited_States_DocsQ[[#This Row],[iWatch Number]],'Gen Info'!$J$17:$M$50,4,FALSE)=0,"",VLOOKUP(Independent_MO_OnlyUnited_States_DocsQ[[#This Row],[iWatch Number]],'Gen Info'!$J$17:$M$50,4,FALSE)),""),"")</f>
        <v/>
      </c>
      <c r="AX45" t="e">
        <f ca="1">IFERROR(VLOOKUP(Independent_MO_OnlyUnited_States_DocsQ[[#This Row],[iWatch Number]],INDIRECT('Gen Info'!$D$4),3,FALSE),VLOOKUP(Independent_MO_OnlyUnited_States_DocsQ[[#This Row],[iWatch Number]],INDIRECT('Gen Info'!$D$4&amp;"_"&amp;'Gen Info'!$E$4),3,FALSE))</f>
        <v>#REF!</v>
      </c>
      <c r="AY45" t="e">
        <f ca="1">IFERROR(VLOOKUP(Independent_MO_OnlyUnited_States_DocsQ[[#This Row],[iWatch Number]],INDIRECT('Gen Info'!$D$4),2,FALSE),VLOOKUP(Independent_MO_OnlyUnited_States_DocsQ[[#This Row],[iWatch Number]],INDIRECT('Gen Info'!$D$4&amp;"_"&amp;'Gen Info'!$E$4),2,FALSE))</f>
        <v>#REF!</v>
      </c>
      <c r="BA45" s="186"/>
      <c r="BB45" s="186"/>
      <c r="BC45" s="186"/>
      <c r="BM45" t="s">
        <v>723</v>
      </c>
      <c r="BN45" t="s">
        <v>4227</v>
      </c>
      <c r="BP45" t="s">
        <v>1591</v>
      </c>
      <c r="BQ45" t="s">
        <v>4237</v>
      </c>
      <c r="CJ45" s="103"/>
      <c r="CK45" s="103"/>
    </row>
    <row r="46" spans="5:89" ht="17.899999999999999" customHeight="1">
      <c r="E46" s="229"/>
      <c r="F46" s="176"/>
      <c r="G46" s="176"/>
      <c r="H46" s="176"/>
      <c r="I46" s="176"/>
      <c r="J46" s="237"/>
      <c r="K46" s="176"/>
      <c r="P46" t="s">
        <v>4348</v>
      </c>
      <c r="Q46" s="176" t="str">
        <f>'Gen Info'!$S$4</f>
        <v>JALISCO</v>
      </c>
      <c r="T46" s="231" t="s">
        <v>4349</v>
      </c>
      <c r="U46" s="232" t="s">
        <v>3480</v>
      </c>
      <c r="AA46" s="238"/>
      <c r="AC46" s="70" t="s">
        <v>4350</v>
      </c>
      <c r="AD46" s="70" t="s">
        <v>4351</v>
      </c>
      <c r="AE46" s="70" t="s">
        <v>3481</v>
      </c>
      <c r="AF46" s="70" t="s">
        <v>4254</v>
      </c>
      <c r="AW46" t="str">
        <f>IFERROR(IF(('Gen Info'!$AM$2)&amp;"_DocsQ"=$AU$4,IF(VLOOKUP(Independent_MO_OnlyUnited_States_DocsQ[[#This Row],[iWatch Number]],'Gen Info'!$J$17:$M$50,4,FALSE)=0,"",VLOOKUP(Independent_MO_OnlyUnited_States_DocsQ[[#This Row],[iWatch Number]],'Gen Info'!$J$17:$M$50,4,FALSE)),""),"")</f>
        <v/>
      </c>
      <c r="AX46" t="e">
        <f ca="1">IFERROR(VLOOKUP(Independent_MO_OnlyUnited_States_DocsQ[[#This Row],[iWatch Number]],INDIRECT('Gen Info'!$D$4),3,FALSE),VLOOKUP(Independent_MO_OnlyUnited_States_DocsQ[[#This Row],[iWatch Number]],INDIRECT('Gen Info'!$D$4&amp;"_"&amp;'Gen Info'!$E$4),3,FALSE))</f>
        <v>#REF!</v>
      </c>
      <c r="AY46" t="e">
        <f ca="1">IFERROR(VLOOKUP(Independent_MO_OnlyUnited_States_DocsQ[[#This Row],[iWatch Number]],INDIRECT('Gen Info'!$D$4),2,FALSE),VLOOKUP(Independent_MO_OnlyUnited_States_DocsQ[[#This Row],[iWatch Number]],INDIRECT('Gen Info'!$D$4&amp;"_"&amp;'Gen Info'!$E$4),2,FALSE))</f>
        <v>#REF!</v>
      </c>
      <c r="BM46" t="s">
        <v>738</v>
      </c>
      <c r="BN46" t="s">
        <v>4237</v>
      </c>
      <c r="BP46" t="s">
        <v>1290</v>
      </c>
      <c r="BQ46" t="s">
        <v>4256</v>
      </c>
      <c r="CJ46" s="103"/>
      <c r="CK46" s="103"/>
    </row>
    <row r="47" spans="5:89" ht="17.899999999999999" customHeight="1">
      <c r="E47" s="229"/>
      <c r="F47" s="176"/>
      <c r="G47" s="176"/>
      <c r="H47" s="176"/>
      <c r="I47" s="176"/>
      <c r="J47" s="237"/>
      <c r="K47" s="176"/>
      <c r="P47" t="s">
        <v>4352</v>
      </c>
      <c r="Q47" s="176" t="str">
        <f>'Gen Info'!$E$4</f>
        <v>Mexico</v>
      </c>
      <c r="T47" s="231" t="s">
        <v>4353</v>
      </c>
      <c r="U47" s="232" t="s">
        <v>3480</v>
      </c>
      <c r="AA47" s="238"/>
      <c r="AC47" s="70" t="s">
        <v>4354</v>
      </c>
      <c r="AD47" s="70" t="s">
        <v>3651</v>
      </c>
      <c r="AE47" s="70" t="s">
        <v>3481</v>
      </c>
      <c r="AF47" s="70" t="s">
        <v>4254</v>
      </c>
      <c r="AW47" t="str">
        <f>IFERROR(IF(('Gen Info'!$AM$2)&amp;"_DocsQ"=$AU$4,IF(VLOOKUP(Independent_MO_OnlyUnited_States_DocsQ[[#This Row],[iWatch Number]],'Gen Info'!$J$17:$M$50,4,FALSE)=0,"",VLOOKUP(Independent_MO_OnlyUnited_States_DocsQ[[#This Row],[iWatch Number]],'Gen Info'!$J$17:$M$50,4,FALSE)),""),"")</f>
        <v/>
      </c>
      <c r="AX47" t="e">
        <f ca="1">IFERROR(VLOOKUP(Independent_MO_OnlyUnited_States_DocsQ[[#This Row],[iWatch Number]],INDIRECT('Gen Info'!$D$4),3,FALSE),VLOOKUP(Independent_MO_OnlyUnited_States_DocsQ[[#This Row],[iWatch Number]],INDIRECT('Gen Info'!$D$4&amp;"_"&amp;'Gen Info'!$E$4),3,FALSE))</f>
        <v>#REF!</v>
      </c>
      <c r="AY47" t="e">
        <f ca="1">IFERROR(VLOOKUP(Independent_MO_OnlyUnited_States_DocsQ[[#This Row],[iWatch Number]],INDIRECT('Gen Info'!$D$4),2,FALSE),VLOOKUP(Independent_MO_OnlyUnited_States_DocsQ[[#This Row],[iWatch Number]],INDIRECT('Gen Info'!$D$4&amp;"_"&amp;'Gen Info'!$E$4),2,FALSE))</f>
        <v>#REF!</v>
      </c>
      <c r="BG47" s="186"/>
      <c r="BH47" s="186"/>
      <c r="BI47" s="186"/>
      <c r="BM47" t="s">
        <v>753</v>
      </c>
      <c r="BN47" t="s">
        <v>4244</v>
      </c>
      <c r="BP47" t="s">
        <v>2650</v>
      </c>
      <c r="BQ47" t="s">
        <v>4237</v>
      </c>
      <c r="CJ47" s="103"/>
      <c r="CK47" s="103"/>
    </row>
    <row r="48" spans="5:89" ht="17.899999999999999" customHeight="1">
      <c r="E48" s="229"/>
      <c r="F48" s="176"/>
      <c r="G48" s="176"/>
      <c r="H48" s="176"/>
      <c r="I48" s="176"/>
      <c r="J48" s="237"/>
      <c r="K48" s="176"/>
      <c r="P48" t="s">
        <v>4355</v>
      </c>
      <c r="Q48" s="176" t="str">
        <f>'Gen Info'!$AC$4</f>
        <v xml:space="preserve"> Martes 2 Septiembre, 2025</v>
      </c>
      <c r="T48" s="231" t="s">
        <v>4356</v>
      </c>
      <c r="U48" s="232" t="s">
        <v>3480</v>
      </c>
      <c r="AA48" s="238"/>
      <c r="AC48" s="70" t="s">
        <v>4357</v>
      </c>
      <c r="AD48" s="70" t="s">
        <v>4358</v>
      </c>
      <c r="AE48" s="70" t="s">
        <v>3481</v>
      </c>
      <c r="AF48" s="70"/>
      <c r="AV48" s="186"/>
      <c r="AW48" s="186" t="str">
        <f>IFERROR(IF(('Gen Info'!$AM$2)&amp;"_DocsQ"=$AU$4,IF(VLOOKUP(Independent_MO_OnlyUnited_States_DocsQ[[#This Row],[iWatch Number]],'Gen Info'!$J$17:$M$50,4,FALSE)=0,"",VLOOKUP(Independent_MO_OnlyUnited_States_DocsQ[[#This Row],[iWatch Number]],'Gen Info'!$J$17:$M$50,4,FALSE)),""),"")</f>
        <v/>
      </c>
      <c r="AX48" t="e">
        <f ca="1">IFERROR(VLOOKUP(Independent_MO_OnlyUnited_States_DocsQ[[#This Row],[iWatch Number]],INDIRECT('Gen Info'!$D$4),3,FALSE),VLOOKUP(Independent_MO_OnlyUnited_States_DocsQ[[#This Row],[iWatch Number]],INDIRECT('Gen Info'!$D$4&amp;"_"&amp;'Gen Info'!$E$4),3,FALSE))</f>
        <v>#REF!</v>
      </c>
      <c r="AY48" t="e">
        <f ca="1">IFERROR(VLOOKUP(Independent_MO_OnlyUnited_States_DocsQ[[#This Row],[iWatch Number]],INDIRECT('Gen Info'!$D$4),2,FALSE),VLOOKUP(Independent_MO_OnlyUnited_States_DocsQ[[#This Row],[iWatch Number]],INDIRECT('Gen Info'!$D$4&amp;"_"&amp;'Gen Info'!$E$4),2,FALSE))</f>
        <v>#REF!</v>
      </c>
      <c r="BM48" t="s">
        <v>761</v>
      </c>
      <c r="BN48" t="s">
        <v>4249</v>
      </c>
      <c r="CJ48" s="103"/>
      <c r="CK48" s="103"/>
    </row>
    <row r="49" spans="5:89" ht="17.899999999999999" customHeight="1">
      <c r="E49" s="229"/>
      <c r="F49" s="176"/>
      <c r="G49" s="176"/>
      <c r="H49" s="176"/>
      <c r="I49" s="176"/>
      <c r="J49" s="237"/>
      <c r="K49" s="176"/>
      <c r="P49" t="s">
        <v>4359</v>
      </c>
      <c r="Q49" s="176" t="str">
        <f>'Gen Info'!$H$4</f>
        <v>enter manually</v>
      </c>
      <c r="T49" s="231" t="s">
        <v>4360</v>
      </c>
      <c r="U49" s="232" t="s">
        <v>3480</v>
      </c>
      <c r="AA49" s="238"/>
      <c r="AC49" s="70" t="s">
        <v>4361</v>
      </c>
      <c r="AD49" s="70" t="s">
        <v>3604</v>
      </c>
      <c r="AE49" s="70" t="s">
        <v>3481</v>
      </c>
      <c r="AF49" s="70" t="s">
        <v>4226</v>
      </c>
      <c r="AW49" s="103" t="str">
        <f>IFERROR(IF(('Gen Info'!$AM$2)&amp;"_DocsQ"=$AU$4,IF(VLOOKUP(Independent_MO_OnlyUnited_States_DocsQ[[#This Row],[iWatch Number]],'Gen Info'!$J$17:$M$50,4,FALSE)=0,"",VLOOKUP(Independent_MO_OnlyUnited_States_DocsQ[[#This Row],[iWatch Number]],'Gen Info'!$J$17:$M$50,4,FALSE)),""),"")</f>
        <v/>
      </c>
      <c r="AX49" t="e">
        <f ca="1">IFERROR(VLOOKUP(Independent_MO_OnlyUnited_States_DocsQ[[#This Row],[iWatch Number]],INDIRECT('Gen Info'!$D$4),3,FALSE),VLOOKUP(Independent_MO_OnlyUnited_States_DocsQ[[#This Row],[iWatch Number]],INDIRECT('Gen Info'!$D$4&amp;"_"&amp;'Gen Info'!$E$4),3,FALSE))</f>
        <v>#REF!</v>
      </c>
      <c r="AY49" t="e">
        <f ca="1">IFERROR(VLOOKUP(Independent_MO_OnlyUnited_States_DocsQ[[#This Row],[iWatch Number]],INDIRECT('Gen Info'!$D$4),2,FALSE),VLOOKUP(Independent_MO_OnlyUnited_States_DocsQ[[#This Row],[iWatch Number]],INDIRECT('Gen Info'!$D$4&amp;"_"&amp;'Gen Info'!$E$4),2,FALSE))</f>
        <v>#REF!</v>
      </c>
      <c r="BM49" t="s">
        <v>777</v>
      </c>
      <c r="BN49" t="s">
        <v>4256</v>
      </c>
      <c r="CJ49" s="103"/>
      <c r="CK49" s="103"/>
    </row>
    <row r="50" spans="5:89" ht="17.899999999999999" customHeight="1">
      <c r="E50" s="229"/>
      <c r="F50" s="176"/>
      <c r="G50" s="176"/>
      <c r="H50" s="176"/>
      <c r="I50" s="176"/>
      <c r="J50" s="237"/>
      <c r="K50" s="176"/>
      <c r="P50" t="s">
        <v>4362</v>
      </c>
      <c r="Q50" s="176" t="str">
        <f>'Gen Info'!$I$4</f>
        <v>enter manually</v>
      </c>
      <c r="T50" s="231" t="s">
        <v>4363</v>
      </c>
      <c r="U50" s="232" t="s">
        <v>3480</v>
      </c>
      <c r="AA50" s="238"/>
      <c r="AC50" s="70" t="s">
        <v>4364</v>
      </c>
      <c r="AD50" s="70" t="s">
        <v>3609</v>
      </c>
      <c r="AE50" s="70" t="s">
        <v>3481</v>
      </c>
      <c r="AF50" s="70" t="s">
        <v>4301</v>
      </c>
      <c r="AU50" s="186"/>
      <c r="AV50" s="186"/>
      <c r="AW50" s="186"/>
      <c r="BM50" t="s">
        <v>797</v>
      </c>
      <c r="BN50" t="s">
        <v>4216</v>
      </c>
      <c r="CJ50" s="103"/>
      <c r="CK50" s="103"/>
    </row>
    <row r="51" spans="5:89" ht="17.899999999999999" customHeight="1">
      <c r="E51" s="229"/>
      <c r="F51" s="176"/>
      <c r="G51" s="176"/>
      <c r="H51" s="176"/>
      <c r="I51" s="176"/>
      <c r="J51" s="237"/>
      <c r="K51" s="176"/>
      <c r="P51" t="s">
        <v>4365</v>
      </c>
      <c r="Q51" s="176" t="str">
        <f>'Gen Info'!$J$4</f>
        <v>enter manually</v>
      </c>
      <c r="T51" s="231" t="s">
        <v>4366</v>
      </c>
      <c r="U51" s="232" t="s">
        <v>3480</v>
      </c>
      <c r="AA51" s="238"/>
      <c r="AC51" s="70" t="s">
        <v>4367</v>
      </c>
      <c r="AD51" s="70" t="s">
        <v>3614</v>
      </c>
      <c r="AE51" s="70" t="s">
        <v>3481</v>
      </c>
      <c r="AF51" s="70" t="s">
        <v>4275</v>
      </c>
      <c r="BG51" s="186"/>
      <c r="BH51" s="186"/>
      <c r="BI51" s="186"/>
      <c r="BJ51" s="186"/>
      <c r="BK51" s="186"/>
      <c r="BM51" t="s">
        <v>881</v>
      </c>
      <c r="BN51" t="s">
        <v>4249</v>
      </c>
      <c r="CJ51" s="103"/>
      <c r="CK51" s="103"/>
    </row>
    <row r="52" spans="5:89" ht="17.899999999999999" customHeight="1">
      <c r="E52" s="229"/>
      <c r="F52" s="176"/>
      <c r="G52" s="176"/>
      <c r="H52" s="176"/>
      <c r="I52" s="176"/>
      <c r="J52" s="237"/>
      <c r="K52" s="176"/>
      <c r="P52" t="s">
        <v>4368</v>
      </c>
      <c r="Q52" s="176" t="str">
        <f>'Gen Info'!$K$4</f>
        <v>enter manually</v>
      </c>
      <c r="T52" s="231" t="s">
        <v>4369</v>
      </c>
      <c r="U52" s="232" t="s">
        <v>3480</v>
      </c>
      <c r="AA52" s="238"/>
      <c r="AC52" s="70" t="s">
        <v>4370</v>
      </c>
      <c r="AD52" s="70" t="s">
        <v>3617</v>
      </c>
      <c r="AE52" s="70" t="s">
        <v>3481</v>
      </c>
      <c r="AF52" s="70" t="s">
        <v>4301</v>
      </c>
      <c r="BM52" t="s">
        <v>881</v>
      </c>
      <c r="BN52" t="s">
        <v>4249</v>
      </c>
      <c r="CJ52" s="103"/>
      <c r="CK52" s="103"/>
    </row>
    <row r="53" spans="5:89" ht="17.899999999999999" customHeight="1">
      <c r="E53" s="229"/>
      <c r="F53" s="176"/>
      <c r="G53" s="176"/>
      <c r="H53" s="176"/>
      <c r="I53" s="176"/>
      <c r="J53" s="237"/>
      <c r="K53" s="176"/>
      <c r="Q53" s="176"/>
      <c r="T53" s="231" t="s">
        <v>4371</v>
      </c>
      <c r="U53" s="232" t="s">
        <v>3480</v>
      </c>
      <c r="AA53" s="238"/>
      <c r="AC53" s="70" t="s">
        <v>4372</v>
      </c>
      <c r="AD53" s="70" t="s">
        <v>4373</v>
      </c>
      <c r="AE53" s="70" t="s">
        <v>3481</v>
      </c>
      <c r="AF53" s="70"/>
      <c r="BG53" s="186"/>
      <c r="BH53" s="186"/>
      <c r="BI53" s="186"/>
      <c r="BJ53" s="186"/>
      <c r="BK53" s="186"/>
      <c r="BM53" t="s">
        <v>1696</v>
      </c>
      <c r="BN53" t="s">
        <v>4249</v>
      </c>
      <c r="CJ53" s="103"/>
      <c r="CK53" s="103"/>
    </row>
    <row r="54" spans="5:89" ht="17.899999999999999" customHeight="1">
      <c r="E54" s="229"/>
      <c r="F54" s="176"/>
      <c r="G54" s="176"/>
      <c r="H54" s="176"/>
      <c r="I54" s="176"/>
      <c r="J54" s="237"/>
      <c r="K54" s="176"/>
      <c r="P54" s="159" t="s">
        <v>4374</v>
      </c>
      <c r="Q54" s="176"/>
      <c r="T54" s="231" t="s">
        <v>4375</v>
      </c>
      <c r="U54" s="232" t="s">
        <v>3480</v>
      </c>
      <c r="AA54" s="238"/>
      <c r="AC54" s="70" t="s">
        <v>4376</v>
      </c>
      <c r="AD54" s="70" t="s">
        <v>3620</v>
      </c>
      <c r="AE54" s="70" t="s">
        <v>3481</v>
      </c>
      <c r="AF54" s="70" t="s">
        <v>4254</v>
      </c>
      <c r="BM54" t="s">
        <v>1702</v>
      </c>
      <c r="BN54" t="s">
        <v>4256</v>
      </c>
      <c r="CJ54" s="103"/>
      <c r="CK54" s="103"/>
    </row>
    <row r="55" spans="5:89" ht="17.899999999999999" customHeight="1">
      <c r="E55" s="229"/>
      <c r="F55" s="176"/>
      <c r="G55" s="176"/>
      <c r="H55" s="176"/>
      <c r="I55" s="176"/>
      <c r="J55" s="237"/>
      <c r="K55" s="176"/>
      <c r="O55" t="s">
        <v>4377</v>
      </c>
      <c r="P55" t="s">
        <v>4378</v>
      </c>
      <c r="Q55" s="176" t="str">
        <f>""""&amp;Q57&amp;"; "&amp;Q58&amp;"; "&amp;Q59&amp;"; "&amp;Q60&amp;"; "&amp;Q61&amp;"; "&amp;Q62&amp;"; "&amp;Q63&amp;"; "&amp;Q64&amp;"; "&amp;Q65&amp;"; "&amp;Q66&amp;"; "&amp;Q67&amp;""""</f>
        <v>"TIENDA MUEBLERIA EL BODEGON AY; NA; AME920355 &amp; VME580355 &amp; AME900357 &amp; OME100359; carlos.cedillo@progressa.mx; Carlos Eduardo; enter manually; Tuesday, September 2, 2025.; enter manually; enter manually; enter manually; Agent unable to sign due to internal policies."</v>
      </c>
      <c r="T55" s="231" t="s">
        <v>4379</v>
      </c>
      <c r="U55" s="232" t="s">
        <v>3480</v>
      </c>
      <c r="AA55" s="238"/>
      <c r="AC55" s="70" t="s">
        <v>4380</v>
      </c>
      <c r="AD55" s="70" t="s">
        <v>3623</v>
      </c>
      <c r="AE55" s="70" t="s">
        <v>3481</v>
      </c>
      <c r="AF55" s="70" t="s">
        <v>4254</v>
      </c>
      <c r="BM55" t="s">
        <v>1709</v>
      </c>
      <c r="BN55" t="s">
        <v>4256</v>
      </c>
      <c r="CJ55" s="103"/>
      <c r="CK55" s="103"/>
    </row>
    <row r="56" spans="5:89" ht="17.899999999999999" customHeight="1">
      <c r="E56" s="229"/>
      <c r="F56" s="176"/>
      <c r="G56" s="176"/>
      <c r="H56" s="176"/>
      <c r="I56" s="176"/>
      <c r="J56" s="237"/>
      <c r="K56" s="176"/>
      <c r="Q56" s="176"/>
      <c r="T56" s="231" t="s">
        <v>4381</v>
      </c>
      <c r="U56" s="232" t="s">
        <v>3480</v>
      </c>
      <c r="AA56" s="238"/>
      <c r="AC56" s="70" t="s">
        <v>4382</v>
      </c>
      <c r="AD56" s="70" t="s">
        <v>4383</v>
      </c>
      <c r="AE56" s="70" t="s">
        <v>3481</v>
      </c>
      <c r="AF56" s="70"/>
      <c r="AU56" s="249"/>
      <c r="AV56" s="249"/>
      <c r="AW56" s="249"/>
      <c r="AX56" s="249"/>
      <c r="AY56" s="249"/>
      <c r="AZ56" s="249"/>
      <c r="BA56" s="249"/>
      <c r="BB56" s="249"/>
      <c r="BM56" t="s">
        <v>1712</v>
      </c>
      <c r="BN56" t="s">
        <v>4256</v>
      </c>
      <c r="CJ56" s="103"/>
      <c r="CK56" s="103"/>
    </row>
    <row r="57" spans="5:89" ht="17.899999999999999" customHeight="1">
      <c r="E57" s="229"/>
      <c r="F57" s="176"/>
      <c r="G57" s="176"/>
      <c r="H57" s="176"/>
      <c r="I57" s="176"/>
      <c r="J57" s="237"/>
      <c r="K57" s="176"/>
      <c r="P57" t="s">
        <v>4339</v>
      </c>
      <c r="Q57" s="176" t="str">
        <f>'Gen Info'!$M$4</f>
        <v>TIENDA MUEBLERIA EL BODEGON AY</v>
      </c>
      <c r="T57" s="231" t="s">
        <v>4384</v>
      </c>
      <c r="U57" s="232" t="s">
        <v>3480</v>
      </c>
      <c r="AA57" s="238"/>
      <c r="AC57" s="70" t="s">
        <v>4385</v>
      </c>
      <c r="AD57" s="70" t="s">
        <v>3626</v>
      </c>
      <c r="AE57" s="70" t="s">
        <v>3481</v>
      </c>
      <c r="AF57" s="70" t="s">
        <v>4254</v>
      </c>
      <c r="AU57" s="186"/>
      <c r="AV57" s="186"/>
      <c r="AW57" s="186"/>
      <c r="BM57" t="s">
        <v>926</v>
      </c>
      <c r="BN57" t="s">
        <v>4276</v>
      </c>
      <c r="CJ57" s="103"/>
      <c r="CK57" s="103"/>
    </row>
    <row r="58" spans="5:89" ht="17.899999999999999" customHeight="1">
      <c r="E58" s="229"/>
      <c r="F58" s="176"/>
      <c r="G58" s="176"/>
      <c r="H58" s="176"/>
      <c r="I58" s="176"/>
      <c r="J58" s="237"/>
      <c r="K58" s="176"/>
      <c r="P58" t="s">
        <v>4386</v>
      </c>
      <c r="Q58" s="176" t="str">
        <f>IF('Call Flow'!W2&gt;0,'Gen Info'!$F$17,"NA")</f>
        <v>NA</v>
      </c>
      <c r="T58" s="231" t="s">
        <v>4387</v>
      </c>
      <c r="U58" s="232" t="s">
        <v>3480</v>
      </c>
      <c r="AA58" s="238"/>
      <c r="AC58" s="70" t="s">
        <v>4388</v>
      </c>
      <c r="AD58" s="70" t="s">
        <v>3629</v>
      </c>
      <c r="AE58" s="70" t="s">
        <v>3481</v>
      </c>
      <c r="AF58" s="70" t="s">
        <v>4254</v>
      </c>
      <c r="AU58" s="186"/>
      <c r="AV58" s="186"/>
      <c r="AW58" s="186"/>
      <c r="BM58" t="s">
        <v>932</v>
      </c>
      <c r="BN58" t="s">
        <v>168</v>
      </c>
      <c r="CJ58" s="103"/>
      <c r="CK58" s="103"/>
    </row>
    <row r="59" spans="5:89" ht="17.899999999999999" customHeight="1">
      <c r="E59" s="250"/>
      <c r="F59" s="176"/>
      <c r="G59" s="176"/>
      <c r="H59" s="176"/>
      <c r="I59" s="176"/>
      <c r="J59" s="237"/>
      <c r="K59" s="176"/>
      <c r="P59" t="s">
        <v>4389</v>
      </c>
      <c r="Q59" s="176" t="str">
        <f>'Gen Info'!$O$4</f>
        <v>AME920355 &amp; VME580355 &amp; AME900357 &amp; OME100359</v>
      </c>
      <c r="T59" s="231" t="s">
        <v>4390</v>
      </c>
      <c r="U59" s="232" t="s">
        <v>3480</v>
      </c>
      <c r="AA59" s="238"/>
      <c r="AC59" s="70" t="s">
        <v>4382</v>
      </c>
      <c r="AD59" s="70" t="s">
        <v>4391</v>
      </c>
      <c r="AE59" s="70" t="s">
        <v>3481</v>
      </c>
      <c r="AF59" s="70"/>
      <c r="BM59" t="s">
        <v>941</v>
      </c>
      <c r="BN59" t="s">
        <v>168</v>
      </c>
      <c r="CJ59" s="103"/>
      <c r="CK59" s="103"/>
    </row>
    <row r="60" spans="5:89" ht="17.899999999999999" customHeight="1">
      <c r="E60" s="250"/>
      <c r="F60" s="176"/>
      <c r="G60" s="176"/>
      <c r="H60" s="176"/>
      <c r="I60" s="176"/>
      <c r="J60" s="237"/>
      <c r="K60" s="176"/>
      <c r="P60" t="s">
        <v>4392</v>
      </c>
      <c r="Q60" s="176" t="str">
        <f>'Gen Info'!$C$17</f>
        <v>carlos.cedillo@progressa.mx</v>
      </c>
      <c r="T60" s="231" t="s">
        <v>4393</v>
      </c>
      <c r="U60" s="232" t="s">
        <v>3480</v>
      </c>
      <c r="AA60" s="238"/>
      <c r="AC60" s="70" t="s">
        <v>4394</v>
      </c>
      <c r="AD60" s="70" t="s">
        <v>4395</v>
      </c>
      <c r="AE60" s="70" t="s">
        <v>3481</v>
      </c>
      <c r="AF60" s="70" t="s">
        <v>4254</v>
      </c>
      <c r="AU60" s="186"/>
      <c r="AV60" s="186"/>
      <c r="AW60" s="186"/>
      <c r="BM60" t="s">
        <v>1583</v>
      </c>
      <c r="BN60" t="s">
        <v>4282</v>
      </c>
      <c r="CJ60" s="103"/>
      <c r="CK60" s="103"/>
    </row>
    <row r="61" spans="5:89" ht="17.899999999999999" customHeight="1">
      <c r="E61" s="250"/>
      <c r="F61" s="176"/>
      <c r="G61" s="176"/>
      <c r="H61" s="176"/>
      <c r="I61" s="176"/>
      <c r="J61" s="237"/>
      <c r="K61" s="176"/>
      <c r="P61" t="s">
        <v>4396</v>
      </c>
      <c r="Q61" s="176" t="str">
        <f>'Gen Info'!$B$17</f>
        <v>Carlos Eduardo</v>
      </c>
      <c r="T61" s="231" t="s">
        <v>4397</v>
      </c>
      <c r="U61" s="232" t="s">
        <v>3480</v>
      </c>
      <c r="AA61" s="238"/>
      <c r="AC61" s="70" t="s">
        <v>4398</v>
      </c>
      <c r="AD61" s="70" t="s">
        <v>3633</v>
      </c>
      <c r="AE61" s="70" t="s">
        <v>3481</v>
      </c>
      <c r="AF61" s="70" t="s">
        <v>4254</v>
      </c>
      <c r="AU61" s="186"/>
      <c r="AV61" s="186"/>
      <c r="AW61" s="186"/>
      <c r="BM61" t="s">
        <v>1326</v>
      </c>
      <c r="BN61" t="s">
        <v>4286</v>
      </c>
      <c r="CJ61" s="103"/>
      <c r="CK61" s="103"/>
    </row>
    <row r="62" spans="5:89" ht="17.899999999999999" customHeight="1">
      <c r="E62" s="229"/>
      <c r="F62" s="176"/>
      <c r="G62" s="176"/>
      <c r="H62" s="176"/>
      <c r="I62" s="176"/>
      <c r="J62" s="237"/>
      <c r="K62" s="176"/>
      <c r="P62" t="s">
        <v>4359</v>
      </c>
      <c r="Q62" s="176" t="str">
        <f>'Gen Info'!$H$4</f>
        <v>enter manually</v>
      </c>
      <c r="T62" s="231" t="s">
        <v>4399</v>
      </c>
      <c r="U62" s="232" t="s">
        <v>3480</v>
      </c>
      <c r="AA62" s="238"/>
      <c r="AC62" s="70" t="s">
        <v>4400</v>
      </c>
      <c r="AD62" s="70" t="s">
        <v>3637</v>
      </c>
      <c r="AE62" s="70" t="s">
        <v>3481</v>
      </c>
      <c r="AF62" s="70" t="s">
        <v>4254</v>
      </c>
      <c r="BM62" t="s">
        <v>1343</v>
      </c>
      <c r="BN62" t="s">
        <v>4290</v>
      </c>
      <c r="CJ62" s="103"/>
      <c r="CK62" s="103"/>
    </row>
    <row r="63" spans="5:89" ht="17.899999999999999" customHeight="1">
      <c r="E63" s="229"/>
      <c r="F63" s="176"/>
      <c r="G63" s="176"/>
      <c r="H63" s="176"/>
      <c r="I63" s="176"/>
      <c r="J63" s="237"/>
      <c r="K63" s="176"/>
      <c r="P63" t="s">
        <v>4401</v>
      </c>
      <c r="Q63" s="251" t="str">
        <f>TEXT('Gen Info'!B7,"DDDD, MMMM D, YYYY.")</f>
        <v>Tuesday, September 2, 2025.</v>
      </c>
      <c r="T63" s="231" t="s">
        <v>4402</v>
      </c>
      <c r="U63" s="232" t="s">
        <v>3480</v>
      </c>
      <c r="AA63" s="238"/>
      <c r="AC63" s="70" t="s">
        <v>4403</v>
      </c>
      <c r="AD63" s="70" t="s">
        <v>3641</v>
      </c>
      <c r="AE63" s="70" t="s">
        <v>3481</v>
      </c>
      <c r="AF63" s="70" t="s">
        <v>4254</v>
      </c>
      <c r="BM63" t="s">
        <v>1774</v>
      </c>
      <c r="BN63" t="s">
        <v>4290</v>
      </c>
      <c r="CJ63" s="103"/>
      <c r="CK63" s="103"/>
    </row>
    <row r="64" spans="5:89" ht="17.899999999999999" customHeight="1">
      <c r="E64" s="229"/>
      <c r="F64" s="176"/>
      <c r="G64" s="176"/>
      <c r="H64" s="176"/>
      <c r="I64" s="176"/>
      <c r="J64" s="237"/>
      <c r="K64" s="176"/>
      <c r="P64" t="s">
        <v>4404</v>
      </c>
      <c r="Q64" s="176" t="str">
        <f>'Gen Info'!J12</f>
        <v>enter manually</v>
      </c>
      <c r="T64" s="231" t="s">
        <v>4405</v>
      </c>
      <c r="U64" s="232" t="s">
        <v>3480</v>
      </c>
      <c r="AA64" s="238"/>
      <c r="AC64" s="70" t="s">
        <v>4406</v>
      </c>
      <c r="AD64" s="70" t="s">
        <v>3644</v>
      </c>
      <c r="AE64" s="70" t="s">
        <v>3481</v>
      </c>
      <c r="AF64" s="70" t="s">
        <v>4262</v>
      </c>
      <c r="AU64" s="186"/>
      <c r="AV64" s="186"/>
      <c r="AW64" s="186"/>
      <c r="BM64" t="s">
        <v>1783</v>
      </c>
      <c r="BN64" t="s">
        <v>4290</v>
      </c>
      <c r="CJ64" s="103"/>
      <c r="CK64" s="103"/>
    </row>
    <row r="65" spans="5:89" ht="17.899999999999999" customHeight="1">
      <c r="E65" s="229"/>
      <c r="F65" s="176"/>
      <c r="G65" s="176"/>
      <c r="H65" s="176"/>
      <c r="I65" s="176"/>
      <c r="J65" s="237"/>
      <c r="K65" s="176"/>
      <c r="P65" t="s">
        <v>4407</v>
      </c>
      <c r="Q65" s="176" t="str">
        <f>'Gen Info'!$K$4</f>
        <v>enter manually</v>
      </c>
      <c r="T65" s="231" t="s">
        <v>4408</v>
      </c>
      <c r="U65" s="232" t="s">
        <v>3480</v>
      </c>
      <c r="AA65" s="238"/>
      <c r="AC65" s="70" t="s">
        <v>4409</v>
      </c>
      <c r="AD65" s="70" t="s">
        <v>3647</v>
      </c>
      <c r="AE65" s="70" t="s">
        <v>3481</v>
      </c>
      <c r="AF65" s="70" t="s">
        <v>4301</v>
      </c>
      <c r="BM65" t="s">
        <v>1789</v>
      </c>
      <c r="BN65" t="s">
        <v>4300</v>
      </c>
      <c r="CJ65" s="103"/>
      <c r="CK65" s="103"/>
    </row>
    <row r="66" spans="5:89" ht="17.899999999999999" customHeight="1">
      <c r="E66" s="229"/>
      <c r="F66" s="176"/>
      <c r="G66" s="176"/>
      <c r="H66" s="176"/>
      <c r="I66" s="176"/>
      <c r="J66" s="237"/>
      <c r="K66" s="176"/>
      <c r="P66" t="s">
        <v>4410</v>
      </c>
      <c r="Q66" s="176" t="str">
        <f>'Gen Info'!J12</f>
        <v>enter manually</v>
      </c>
      <c r="T66" s="231" t="s">
        <v>4411</v>
      </c>
      <c r="U66" s="232" t="s">
        <v>3480</v>
      </c>
      <c r="AA66" s="238"/>
      <c r="AC66" s="70" t="s">
        <v>4291</v>
      </c>
      <c r="AD66" s="70" t="s">
        <v>4412</v>
      </c>
      <c r="AE66" s="70" t="s">
        <v>3481</v>
      </c>
      <c r="AF66" s="70" t="s">
        <v>4254</v>
      </c>
      <c r="AU66" s="186"/>
      <c r="AV66" s="186"/>
      <c r="AW66" s="186"/>
      <c r="BM66" t="s">
        <v>1802</v>
      </c>
      <c r="BN66" t="s">
        <v>4290</v>
      </c>
      <c r="CJ66" s="103"/>
      <c r="CK66" s="103"/>
    </row>
    <row r="67" spans="5:89" ht="17.899999999999999" customHeight="1">
      <c r="E67" s="229"/>
      <c r="H67" s="176"/>
      <c r="J67" s="252"/>
      <c r="K67" s="176"/>
      <c r="P67" t="s">
        <v>4413</v>
      </c>
      <c r="Q67" t="s">
        <v>4414</v>
      </c>
      <c r="T67" s="231" t="s">
        <v>4415</v>
      </c>
      <c r="U67" s="232" t="s">
        <v>3480</v>
      </c>
      <c r="AA67" s="238"/>
      <c r="AC67" s="70" t="s">
        <v>4075</v>
      </c>
      <c r="AD67" s="70" t="s">
        <v>4416</v>
      </c>
      <c r="AE67" s="70" t="s">
        <v>4201</v>
      </c>
      <c r="AF67" s="70" t="s">
        <v>4202</v>
      </c>
      <c r="BM67" t="s">
        <v>1808</v>
      </c>
      <c r="BN67" t="s">
        <v>4290</v>
      </c>
      <c r="CJ67" s="103"/>
      <c r="CK67" s="103"/>
    </row>
    <row r="68" spans="5:89" ht="17.899999999999999" customHeight="1">
      <c r="E68" s="229"/>
      <c r="F68" s="176"/>
      <c r="G68" s="176"/>
      <c r="H68" s="176"/>
      <c r="I68" s="176"/>
      <c r="J68" s="237"/>
      <c r="K68" s="176"/>
      <c r="T68" s="231" t="s">
        <v>4417</v>
      </c>
      <c r="U68" s="232" t="s">
        <v>3480</v>
      </c>
      <c r="AA68" s="238"/>
      <c r="AC68" s="70"/>
      <c r="AD68" s="70" t="s">
        <v>4303</v>
      </c>
      <c r="AE68" s="70" t="s">
        <v>3480</v>
      </c>
      <c r="AF68" s="70"/>
      <c r="AU68" s="186"/>
      <c r="AV68" s="186"/>
      <c r="AW68" s="186"/>
      <c r="BM68" t="s">
        <v>1815</v>
      </c>
      <c r="BN68" t="s">
        <v>4290</v>
      </c>
      <c r="CJ68" s="103"/>
      <c r="CK68" s="103"/>
    </row>
    <row r="69" spans="5:89" ht="17.899999999999999" customHeight="1">
      <c r="E69" s="229"/>
      <c r="F69" s="176"/>
      <c r="G69" s="176"/>
      <c r="H69" s="176"/>
      <c r="I69" s="176"/>
      <c r="J69" s="237"/>
      <c r="K69" s="176"/>
      <c r="P69" t="s">
        <v>4418</v>
      </c>
      <c r="Q69" t="str">
        <f>Access!$Q$21</f>
        <v/>
      </c>
      <c r="T69" s="231" t="s">
        <v>4419</v>
      </c>
      <c r="U69" s="232" t="s">
        <v>3480</v>
      </c>
      <c r="AA69" s="238"/>
      <c r="AC69" s="70"/>
      <c r="AD69" s="70" t="s">
        <v>4307</v>
      </c>
      <c r="AE69" s="70" t="s">
        <v>3480</v>
      </c>
      <c r="AF69" s="70"/>
      <c r="AU69" s="186"/>
      <c r="AV69" s="186"/>
      <c r="AW69" s="186"/>
      <c r="BM69" t="s">
        <v>4309</v>
      </c>
      <c r="BN69" t="s">
        <v>4285</v>
      </c>
      <c r="CJ69" s="103"/>
      <c r="CK69" s="103"/>
    </row>
    <row r="70" spans="5:89" ht="17.899999999999999" customHeight="1">
      <c r="T70" s="231" t="s">
        <v>4420</v>
      </c>
      <c r="U70" s="232" t="s">
        <v>3480</v>
      </c>
      <c r="AA70" s="238"/>
      <c r="AC70" s="70"/>
      <c r="AD70" s="70" t="s">
        <v>4310</v>
      </c>
      <c r="AE70" s="70" t="s">
        <v>3480</v>
      </c>
      <c r="AF70" s="70"/>
      <c r="BM70" t="s">
        <v>1436</v>
      </c>
      <c r="BN70" t="s">
        <v>4285</v>
      </c>
      <c r="CJ70" s="103"/>
      <c r="CK70" s="103"/>
    </row>
    <row r="71" spans="5:89" ht="17.899999999999999" customHeight="1">
      <c r="T71" s="231" t="s">
        <v>4421</v>
      </c>
      <c r="U71" s="232" t="s">
        <v>3480</v>
      </c>
      <c r="AA71" s="238"/>
      <c r="AC71" s="70"/>
      <c r="AD71" s="70" t="s">
        <v>4312</v>
      </c>
      <c r="AE71" s="70" t="s">
        <v>3480</v>
      </c>
      <c r="AF71" s="70"/>
      <c r="CJ71" s="103"/>
      <c r="CK71" s="103"/>
    </row>
    <row r="72" spans="5:89" ht="17.899999999999999" customHeight="1">
      <c r="T72" s="231" t="s">
        <v>3519</v>
      </c>
      <c r="U72" s="232" t="s">
        <v>4231</v>
      </c>
      <c r="AA72" s="238"/>
      <c r="AC72" s="70"/>
      <c r="AD72" s="70" t="s">
        <v>4316</v>
      </c>
      <c r="AE72" s="70" t="s">
        <v>3480</v>
      </c>
      <c r="AF72" s="70"/>
      <c r="CJ72" s="103"/>
      <c r="CK72" s="103"/>
    </row>
    <row r="73" spans="5:89" ht="17.899999999999999" customHeight="1">
      <c r="E73" s="221" t="s">
        <v>26</v>
      </c>
      <c r="F73" s="221" t="s">
        <v>4030</v>
      </c>
      <c r="T73" s="103" t="s">
        <v>4422</v>
      </c>
      <c r="U73" s="232" t="s">
        <v>3478</v>
      </c>
      <c r="V73" s="7"/>
      <c r="AA73" s="238"/>
      <c r="AC73" s="70"/>
      <c r="AD73" s="70" t="s">
        <v>4320</v>
      </c>
      <c r="AE73" s="70" t="s">
        <v>3480</v>
      </c>
      <c r="AF73" s="70"/>
      <c r="CJ73" s="103"/>
      <c r="CK73" s="103"/>
    </row>
    <row r="74" spans="5:89" ht="17.899999999999999" customHeight="1">
      <c r="E74" s="253" t="s">
        <v>2581</v>
      </c>
      <c r="F74" s="253" t="s">
        <v>3477</v>
      </c>
      <c r="I74" t="s">
        <v>3477</v>
      </c>
      <c r="J74" t="s">
        <v>3478</v>
      </c>
      <c r="K74" t="s">
        <v>3479</v>
      </c>
      <c r="L74" t="s">
        <v>3480</v>
      </c>
      <c r="N74" t="s">
        <v>3481</v>
      </c>
      <c r="T74" s="231" t="s">
        <v>4423</v>
      </c>
      <c r="U74" s="232" t="s">
        <v>3478</v>
      </c>
      <c r="V74" s="7"/>
      <c r="AA74" s="238"/>
      <c r="AC74" s="70"/>
      <c r="AD74" s="70" t="s">
        <v>4322</v>
      </c>
      <c r="AE74" s="70" t="s">
        <v>3480</v>
      </c>
      <c r="AF74" s="70"/>
      <c r="CJ74" s="103"/>
      <c r="CK74" s="103"/>
    </row>
    <row r="75" spans="5:89" ht="17.899999999999999" customHeight="1">
      <c r="E75" s="254" t="s">
        <v>2281</v>
      </c>
      <c r="F75" s="254" t="s">
        <v>3477</v>
      </c>
      <c r="I75" s="185" t="s">
        <v>2581</v>
      </c>
      <c r="J75" s="9" t="s">
        <v>3485</v>
      </c>
      <c r="K75" s="9" t="s">
        <v>3486</v>
      </c>
      <c r="L75" s="9" t="s">
        <v>3487</v>
      </c>
      <c r="N75" s="9" t="s">
        <v>4253</v>
      </c>
      <c r="T75" s="231" t="s">
        <v>4424</v>
      </c>
      <c r="U75" s="232" t="s">
        <v>3478</v>
      </c>
      <c r="V75" s="7"/>
      <c r="AA75" s="238"/>
      <c r="AC75" s="70"/>
      <c r="AD75" s="70" t="s">
        <v>4325</v>
      </c>
      <c r="AE75" s="70" t="s">
        <v>3480</v>
      </c>
      <c r="AF75" s="70"/>
      <c r="CJ75" s="103"/>
      <c r="CK75" s="103"/>
    </row>
    <row r="76" spans="5:89" ht="17.899999999999999" customHeight="1">
      <c r="E76" s="253" t="s">
        <v>3500</v>
      </c>
      <c r="F76" s="253" t="s">
        <v>3477</v>
      </c>
      <c r="I76" s="185" t="s">
        <v>2281</v>
      </c>
      <c r="J76" s="9" t="s">
        <v>3437</v>
      </c>
      <c r="K76" s="9" t="s">
        <v>3493</v>
      </c>
      <c r="L76" s="9" t="s">
        <v>3494</v>
      </c>
      <c r="N76" s="9" t="s">
        <v>3488</v>
      </c>
      <c r="T76" s="231" t="s">
        <v>4425</v>
      </c>
      <c r="U76" s="232" t="s">
        <v>3478</v>
      </c>
      <c r="V76" s="7"/>
      <c r="AA76" s="238"/>
      <c r="AC76" s="70"/>
      <c r="AD76" s="70" t="s">
        <v>4328</v>
      </c>
      <c r="AE76" s="70" t="s">
        <v>3480</v>
      </c>
      <c r="AF76" s="70"/>
      <c r="CJ76" s="103"/>
      <c r="CK76" s="103"/>
    </row>
    <row r="77" spans="5:89" ht="17.899999999999999" customHeight="1">
      <c r="E77" s="254" t="s">
        <v>4422</v>
      </c>
      <c r="F77" s="254" t="str">
        <f>VLOOKUP(E77,tblAmericasCountries72[[Country]:[Regions]],2,FALSE)</f>
        <v>APAC</v>
      </c>
      <c r="I77" s="185" t="s">
        <v>3500</v>
      </c>
      <c r="J77" s="9" t="s">
        <v>3501</v>
      </c>
      <c r="K77" s="9" t="s">
        <v>3502</v>
      </c>
      <c r="L77" s="9" t="s">
        <v>3503</v>
      </c>
      <c r="N77" s="9" t="s">
        <v>3495</v>
      </c>
      <c r="T77" s="255" t="s">
        <v>4426</v>
      </c>
      <c r="U77" s="232" t="s">
        <v>3478</v>
      </c>
      <c r="V77" s="7"/>
      <c r="AA77" s="238"/>
      <c r="AC77" s="70"/>
      <c r="AD77" s="70" t="s">
        <v>4331</v>
      </c>
      <c r="AE77" s="70" t="s">
        <v>3480</v>
      </c>
      <c r="AF77" s="70"/>
      <c r="CJ77" s="103"/>
      <c r="CK77" s="103"/>
    </row>
    <row r="78" spans="5:89" ht="17.899999999999999" customHeight="1">
      <c r="E78" s="253" t="s">
        <v>4427</v>
      </c>
      <c r="F78" s="253" t="str">
        <f>VLOOKUP(E78,tblAmericasCountries72[[Country]:[Regions]],2,FALSE)</f>
        <v>APAC</v>
      </c>
      <c r="J78" s="9" t="s">
        <v>3507</v>
      </c>
      <c r="K78" s="9" t="s">
        <v>3508</v>
      </c>
      <c r="L78" s="9" t="s">
        <v>3509</v>
      </c>
      <c r="N78" s="9" t="s">
        <v>3504</v>
      </c>
      <c r="T78" s="255" t="s">
        <v>4428</v>
      </c>
      <c r="U78" s="232" t="s">
        <v>3478</v>
      </c>
      <c r="V78" s="7"/>
      <c r="AA78" s="238"/>
      <c r="AC78" s="70"/>
      <c r="AD78" s="70" t="s">
        <v>4334</v>
      </c>
      <c r="AE78" s="70" t="s">
        <v>3480</v>
      </c>
      <c r="AF78" s="70"/>
      <c r="CJ78" s="103"/>
      <c r="CK78" s="103"/>
    </row>
    <row r="79" spans="5:89" ht="17.899999999999999" customHeight="1">
      <c r="E79" s="254" t="s">
        <v>3487</v>
      </c>
      <c r="F79" s="254" t="str">
        <f>VLOOKUP(E79,tblAmericasCountries72[[Country]:[Regions]],2,FALSE)</f>
        <v>MEA</v>
      </c>
      <c r="J79" s="9" t="s">
        <v>3512</v>
      </c>
      <c r="K79" s="9" t="s">
        <v>3513</v>
      </c>
      <c r="L79" s="9" t="s">
        <v>3514</v>
      </c>
      <c r="N79" s="9" t="s">
        <v>3510</v>
      </c>
      <c r="T79" s="255" t="s">
        <v>4427</v>
      </c>
      <c r="U79" s="232" t="s">
        <v>3478</v>
      </c>
      <c r="V79" s="7"/>
      <c r="AA79" s="238"/>
      <c r="AC79" s="70"/>
      <c r="AD79" s="70" t="s">
        <v>4337</v>
      </c>
      <c r="AE79" s="70" t="s">
        <v>3480</v>
      </c>
      <c r="AF79" s="70"/>
      <c r="CJ79" s="103"/>
      <c r="CK79" s="103"/>
    </row>
    <row r="80" spans="5:89" ht="17.899999999999999" customHeight="1">
      <c r="E80" s="253" t="s">
        <v>3494</v>
      </c>
      <c r="F80" s="253" t="str">
        <f>VLOOKUP(E80,tblAmericasCountries72[[Country]:[Regions]],2,FALSE)</f>
        <v>MEA</v>
      </c>
      <c r="J80" s="9" t="s">
        <v>3516</v>
      </c>
      <c r="K80" s="9" t="s">
        <v>3517</v>
      </c>
      <c r="L80" s="9" t="s">
        <v>3518</v>
      </c>
      <c r="N80" s="9" t="s">
        <v>3515</v>
      </c>
      <c r="T80" s="255" t="s">
        <v>3642</v>
      </c>
      <c r="U80" s="232" t="s">
        <v>3478</v>
      </c>
      <c r="AA80" s="238"/>
      <c r="AC80" s="70"/>
      <c r="AD80" s="70" t="s">
        <v>4340</v>
      </c>
      <c r="AE80" s="70" t="s">
        <v>3480</v>
      </c>
      <c r="AF80" s="70"/>
      <c r="CJ80" s="103"/>
      <c r="CK80" s="103"/>
    </row>
    <row r="81" spans="5:89" ht="17.899999999999999" customHeight="1">
      <c r="E81" s="254" t="s">
        <v>3503</v>
      </c>
      <c r="F81" s="254" t="str">
        <f>VLOOKUP(E81,tblAmericasCountries72[[Country]:[Regions]],2,FALSE)</f>
        <v>MEA</v>
      </c>
      <c r="J81" s="9" t="s">
        <v>3520</v>
      </c>
      <c r="K81" s="9" t="s">
        <v>3521</v>
      </c>
      <c r="L81" s="9" t="s">
        <v>3522</v>
      </c>
      <c r="N81" s="9" t="s">
        <v>3519</v>
      </c>
      <c r="T81" s="231" t="s">
        <v>3501</v>
      </c>
      <c r="U81" s="232" t="s">
        <v>4429</v>
      </c>
      <c r="AA81" s="238"/>
      <c r="AC81" s="70"/>
      <c r="AD81" s="70" t="s">
        <v>4343</v>
      </c>
      <c r="AE81" s="70" t="s">
        <v>3480</v>
      </c>
      <c r="AF81" s="70"/>
      <c r="CJ81" s="103"/>
      <c r="CK81" s="103"/>
    </row>
    <row r="82" spans="5:89" ht="17.899999999999999" customHeight="1">
      <c r="E82" s="253" t="s">
        <v>3488</v>
      </c>
      <c r="F82" s="253" t="str">
        <f>VLOOKUP(E82,tblAmericasCountries72[[Country]:[Regions]],2,FALSE)</f>
        <v>LACA</v>
      </c>
      <c r="J82" s="9" t="s">
        <v>3523</v>
      </c>
      <c r="K82" s="9" t="s">
        <v>3524</v>
      </c>
      <c r="L82" s="9" t="s">
        <v>3525</v>
      </c>
      <c r="N82" s="9" t="s">
        <v>3519</v>
      </c>
      <c r="T82" s="231" t="s">
        <v>3512</v>
      </c>
      <c r="U82" s="232" t="s">
        <v>4429</v>
      </c>
      <c r="AA82" s="143"/>
      <c r="AC82" s="70"/>
      <c r="AD82" s="70" t="s">
        <v>4346</v>
      </c>
      <c r="AE82" s="70" t="s">
        <v>3480</v>
      </c>
      <c r="AF82" s="70"/>
      <c r="CJ82" s="103"/>
      <c r="CK82" s="103"/>
    </row>
    <row r="83" spans="5:89" ht="17.899999999999999" customHeight="1">
      <c r="E83" s="254" t="s">
        <v>3495</v>
      </c>
      <c r="F83" s="254" t="str">
        <f>VLOOKUP(E83,tblAmericasCountries72[[Country]:[Regions]],2,FALSE)</f>
        <v>LACA</v>
      </c>
      <c r="J83" s="9" t="s">
        <v>3527</v>
      </c>
      <c r="K83" s="9" t="s">
        <v>3528</v>
      </c>
      <c r="L83" s="9" t="s">
        <v>3529</v>
      </c>
      <c r="N83" s="9" t="s">
        <v>3526</v>
      </c>
      <c r="T83" s="231" t="s">
        <v>3507</v>
      </c>
      <c r="U83" s="232" t="s">
        <v>4429</v>
      </c>
      <c r="AA83" s="143"/>
      <c r="AC83" s="70"/>
      <c r="AD83" s="70" t="s">
        <v>4349</v>
      </c>
      <c r="AE83" s="70" t="s">
        <v>3480</v>
      </c>
      <c r="AF83" s="70"/>
      <c r="CJ83" s="103"/>
      <c r="CK83" s="103"/>
    </row>
    <row r="84" spans="5:89" ht="17.899999999999999" customHeight="1">
      <c r="E84" s="253" t="s">
        <v>3504</v>
      </c>
      <c r="F84" s="253" t="str">
        <f>VLOOKUP(E84,tblAmericasCountries72[[Country]:[Regions]],2,FALSE)</f>
        <v>LACA</v>
      </c>
      <c r="J84" s="9" t="s">
        <v>3532</v>
      </c>
      <c r="K84" s="9" t="s">
        <v>3533</v>
      </c>
      <c r="L84" s="9" t="s">
        <v>3534</v>
      </c>
      <c r="N84" s="9" t="s">
        <v>3530</v>
      </c>
      <c r="T84" s="231" t="s">
        <v>3520</v>
      </c>
      <c r="U84" s="232" t="s">
        <v>4429</v>
      </c>
      <c r="AA84" s="143"/>
      <c r="AC84" s="70"/>
      <c r="AD84" s="70" t="s">
        <v>4353</v>
      </c>
      <c r="AE84" s="70" t="s">
        <v>3480</v>
      </c>
      <c r="AF84" s="70"/>
      <c r="CJ84" s="103"/>
      <c r="CK84" s="103"/>
    </row>
    <row r="85" spans="5:89" ht="17.899999999999999" customHeight="1">
      <c r="E85" s="254" t="s">
        <v>3510</v>
      </c>
      <c r="F85" s="254" t="str">
        <f>VLOOKUP(E85,tblAmericasCountries72[[Country]:[Regions]],2,FALSE)</f>
        <v>LACA</v>
      </c>
      <c r="J85" s="9" t="s">
        <v>3537</v>
      </c>
      <c r="K85" s="9" t="s">
        <v>3538</v>
      </c>
      <c r="L85" s="9" t="s">
        <v>3539</v>
      </c>
      <c r="N85" s="9" t="s">
        <v>4292</v>
      </c>
      <c r="T85" s="231" t="s">
        <v>3532</v>
      </c>
      <c r="U85" s="232" t="s">
        <v>4429</v>
      </c>
      <c r="AA85" s="143"/>
      <c r="AC85" s="70"/>
      <c r="AD85" s="70" t="s">
        <v>4356</v>
      </c>
      <c r="AE85" s="70" t="s">
        <v>3480</v>
      </c>
      <c r="AF85" s="70"/>
      <c r="CJ85" s="103"/>
      <c r="CK85" s="103"/>
    </row>
    <row r="86" spans="5:89" ht="17.899999999999999" customHeight="1">
      <c r="E86" s="253" t="s">
        <v>3509</v>
      </c>
      <c r="F86" s="253" t="str">
        <f>VLOOKUP(E86,tblAmericasCountries72[[Country]:[Regions]],2,FALSE)</f>
        <v>MEA</v>
      </c>
      <c r="J86" s="9" t="s">
        <v>3162</v>
      </c>
      <c r="K86" s="9" t="s">
        <v>3542</v>
      </c>
      <c r="L86" s="9" t="s">
        <v>3543</v>
      </c>
      <c r="N86" s="9" t="s">
        <v>3535</v>
      </c>
      <c r="T86" s="231" t="s">
        <v>3537</v>
      </c>
      <c r="U86" s="232" t="s">
        <v>4429</v>
      </c>
      <c r="AA86" s="143"/>
      <c r="AC86" s="70"/>
      <c r="AD86" s="70" t="s">
        <v>4360</v>
      </c>
      <c r="AE86" s="70" t="s">
        <v>3480</v>
      </c>
      <c r="AF86" s="70"/>
      <c r="CJ86" s="103"/>
      <c r="CK86" s="103"/>
    </row>
    <row r="87" spans="5:89" ht="17.899999999999999" customHeight="1">
      <c r="E87" s="254" t="s">
        <v>3501</v>
      </c>
      <c r="F87" s="254" t="str">
        <f>VLOOKUP(E87,tblAmericasCountries72[[Country]:[Regions]],2,FALSE)</f>
        <v>APAC</v>
      </c>
      <c r="J87" s="9" t="s">
        <v>2196</v>
      </c>
      <c r="K87" s="9" t="s">
        <v>3547</v>
      </c>
      <c r="L87" s="9" t="s">
        <v>3548</v>
      </c>
      <c r="N87" s="9" t="s">
        <v>3540</v>
      </c>
      <c r="T87" s="231" t="s">
        <v>3550</v>
      </c>
      <c r="U87" s="232" t="s">
        <v>4429</v>
      </c>
      <c r="AA87" s="143"/>
      <c r="AC87" s="70"/>
      <c r="AD87" s="70" t="s">
        <v>4363</v>
      </c>
      <c r="AE87" s="70" t="s">
        <v>3480</v>
      </c>
      <c r="AF87" s="70"/>
      <c r="CJ87" s="103"/>
      <c r="CK87" s="103"/>
    </row>
    <row r="88" spans="5:89" ht="17.899999999999999" customHeight="1">
      <c r="E88" s="253" t="s">
        <v>3515</v>
      </c>
      <c r="F88" s="253" t="str">
        <f>VLOOKUP(E88,tblAmericasCountries72[[Country]:[Regions]],2,FALSE)</f>
        <v>LACA</v>
      </c>
      <c r="J88" s="9" t="s">
        <v>3550</v>
      </c>
      <c r="K88" s="9" t="s">
        <v>3551</v>
      </c>
      <c r="L88" s="9" t="s">
        <v>3552</v>
      </c>
      <c r="N88" s="9" t="s">
        <v>3544</v>
      </c>
      <c r="T88" s="231" t="s">
        <v>3162</v>
      </c>
      <c r="U88" s="232" t="s">
        <v>4430</v>
      </c>
      <c r="AA88" s="143"/>
      <c r="AC88" s="70"/>
      <c r="AD88" s="70" t="s">
        <v>4366</v>
      </c>
      <c r="AE88" s="70" t="s">
        <v>3480</v>
      </c>
      <c r="AF88" s="70"/>
      <c r="CJ88" s="103"/>
      <c r="CK88" s="103"/>
    </row>
    <row r="89" spans="5:89" ht="17.899999999999999" customHeight="1">
      <c r="E89" s="254" t="s">
        <v>3519</v>
      </c>
      <c r="F89" s="254" t="str">
        <f>VLOOKUP(E89,tblAmericasCountries72[[Country]:[Regions]],2,FALSE)</f>
        <v>LACA</v>
      </c>
      <c r="J89" s="9" t="s">
        <v>3554</v>
      </c>
      <c r="K89" s="9" t="s">
        <v>3551</v>
      </c>
      <c r="L89" s="9" t="s">
        <v>3555</v>
      </c>
      <c r="N89" s="9" t="s">
        <v>3549</v>
      </c>
      <c r="T89" s="231" t="s">
        <v>2196</v>
      </c>
      <c r="U89" s="232" t="s">
        <v>4430</v>
      </c>
      <c r="AA89" s="143"/>
      <c r="AC89" s="70"/>
      <c r="AD89" s="70" t="s">
        <v>4369</v>
      </c>
      <c r="AE89" s="70" t="s">
        <v>3480</v>
      </c>
      <c r="AF89" s="70"/>
      <c r="CJ89" s="103"/>
      <c r="CK89" s="103"/>
    </row>
    <row r="90" spans="5:89" ht="17.899999999999999" customHeight="1">
      <c r="E90" s="253" t="s">
        <v>3519</v>
      </c>
      <c r="F90" s="253" t="str">
        <f>VLOOKUP(E90,tblAmericasCountries72[[Country]:[Regions]],2,FALSE)</f>
        <v>LACA</v>
      </c>
      <c r="J90" s="9" t="s">
        <v>3557</v>
      </c>
      <c r="K90" s="9" t="s">
        <v>3558</v>
      </c>
      <c r="L90" s="9" t="s">
        <v>3559</v>
      </c>
      <c r="N90" s="9" t="s">
        <v>3553</v>
      </c>
      <c r="T90" s="231" t="s">
        <v>3554</v>
      </c>
      <c r="U90" s="232" t="s">
        <v>4431</v>
      </c>
      <c r="AA90" s="143"/>
      <c r="AC90" s="70"/>
      <c r="AD90" s="70" t="s">
        <v>4371</v>
      </c>
      <c r="AE90" s="70" t="s">
        <v>3480</v>
      </c>
      <c r="AF90" s="70"/>
      <c r="CJ90" s="103"/>
      <c r="CK90" s="103"/>
    </row>
    <row r="91" spans="5:89" ht="17.899999999999999" customHeight="1">
      <c r="E91" s="254" t="s">
        <v>3514</v>
      </c>
      <c r="F91" s="254" t="str">
        <f>VLOOKUP(E91,tblAmericasCountries72[[Country]:[Regions]],2,FALSE)</f>
        <v>MEA</v>
      </c>
      <c r="J91" s="9" t="s">
        <v>3561</v>
      </c>
      <c r="K91" s="9" t="s">
        <v>3562</v>
      </c>
      <c r="L91" s="9" t="s">
        <v>3563</v>
      </c>
      <c r="N91" s="9" t="s">
        <v>3556</v>
      </c>
      <c r="T91" s="231" t="s">
        <v>3516</v>
      </c>
      <c r="U91" s="232" t="s">
        <v>4431</v>
      </c>
      <c r="AA91" s="143"/>
      <c r="AC91" s="70"/>
      <c r="AD91" s="70" t="s">
        <v>4375</v>
      </c>
      <c r="AE91" s="70" t="s">
        <v>3480</v>
      </c>
      <c r="AF91" s="70"/>
      <c r="CJ91" s="103"/>
      <c r="CK91" s="103"/>
    </row>
    <row r="92" spans="5:89" ht="17.899999999999999" customHeight="1">
      <c r="E92" s="253" t="s">
        <v>3507</v>
      </c>
      <c r="F92" s="253" t="str">
        <f>VLOOKUP(E92,tblAmericasCountries72[[Country]:[Regions]],2,FALSE)</f>
        <v>APAC</v>
      </c>
      <c r="J92" s="9" t="s">
        <v>3565</v>
      </c>
      <c r="K92" s="9" t="s">
        <v>3566</v>
      </c>
      <c r="L92" s="9" t="s">
        <v>3567</v>
      </c>
      <c r="N92" s="9" t="s">
        <v>3560</v>
      </c>
      <c r="T92" s="231" t="s">
        <v>3557</v>
      </c>
      <c r="U92" s="232" t="s">
        <v>4431</v>
      </c>
      <c r="AA92" s="143"/>
      <c r="AC92" s="70"/>
      <c r="AD92" s="70" t="s">
        <v>4379</v>
      </c>
      <c r="AE92" s="70" t="s">
        <v>3480</v>
      </c>
      <c r="AF92" s="70"/>
      <c r="CJ92" s="103"/>
      <c r="CK92" s="103"/>
    </row>
    <row r="93" spans="5:89" ht="17.899999999999999" customHeight="1">
      <c r="E93" s="254" t="s">
        <v>3526</v>
      </c>
      <c r="F93" s="254" t="str">
        <f>VLOOKUP(E93,tblAmericasCountries72[[Country]:[Regions]],2,FALSE)</f>
        <v>LACA</v>
      </c>
      <c r="J93" s="9" t="s">
        <v>3569</v>
      </c>
      <c r="K93" s="9" t="s">
        <v>3570</v>
      </c>
      <c r="L93" s="9" t="s">
        <v>3571</v>
      </c>
      <c r="N93" s="9" t="s">
        <v>3564</v>
      </c>
      <c r="T93" s="231" t="s">
        <v>3561</v>
      </c>
      <c r="U93" s="232" t="s">
        <v>4431</v>
      </c>
      <c r="AA93" s="143"/>
      <c r="AC93" s="70"/>
      <c r="AD93" s="70" t="s">
        <v>4381</v>
      </c>
      <c r="AE93" s="70" t="s">
        <v>3480</v>
      </c>
      <c r="AF93" s="70"/>
      <c r="CJ93" s="103"/>
      <c r="CK93" s="103"/>
    </row>
    <row r="94" spans="5:89" ht="17.899999999999999" customHeight="1">
      <c r="E94" s="253" t="s">
        <v>3518</v>
      </c>
      <c r="F94" s="253" t="str">
        <f>VLOOKUP(E94,tblAmericasCountries72[[Country]:[Regions]],2,FALSE)</f>
        <v>MEA</v>
      </c>
      <c r="J94" s="9" t="s">
        <v>3573</v>
      </c>
      <c r="K94" s="9" t="s">
        <v>3574</v>
      </c>
      <c r="L94" s="9" t="s">
        <v>3575</v>
      </c>
      <c r="N94" s="9" t="s">
        <v>3568</v>
      </c>
      <c r="T94" s="231" t="s">
        <v>3624</v>
      </c>
      <c r="U94" s="232" t="s">
        <v>4431</v>
      </c>
      <c r="AA94" s="143"/>
      <c r="AC94" s="70"/>
      <c r="AD94" s="70" t="s">
        <v>4384</v>
      </c>
      <c r="AE94" s="70" t="s">
        <v>3480</v>
      </c>
      <c r="AF94" s="70"/>
      <c r="CJ94" s="103"/>
      <c r="CK94" s="103"/>
    </row>
    <row r="95" spans="5:89" ht="17.899999999999999" customHeight="1">
      <c r="E95" s="254" t="s">
        <v>3530</v>
      </c>
      <c r="F95" s="254" t="str">
        <f>VLOOKUP(E95,tblAmericasCountries72[[Country]:[Regions]],2,FALSE)</f>
        <v>LACA</v>
      </c>
      <c r="J95" s="9" t="s">
        <v>3578</v>
      </c>
      <c r="K95" s="9" t="s">
        <v>3579</v>
      </c>
      <c r="L95" s="9" t="s">
        <v>3580</v>
      </c>
      <c r="N95" s="9" t="s">
        <v>3572</v>
      </c>
      <c r="T95" s="231" t="s">
        <v>3583</v>
      </c>
      <c r="U95" s="232" t="s">
        <v>4431</v>
      </c>
      <c r="AA95" s="143"/>
      <c r="AC95" s="70"/>
      <c r="AD95" s="70" t="s">
        <v>4387</v>
      </c>
      <c r="AE95" s="70" t="s">
        <v>3480</v>
      </c>
      <c r="AF95" s="70"/>
      <c r="CJ95" s="103"/>
      <c r="CK95" s="103"/>
    </row>
    <row r="96" spans="5:89" ht="17.899999999999999" customHeight="1">
      <c r="E96" s="253" t="s">
        <v>3512</v>
      </c>
      <c r="F96" s="253" t="str">
        <f>VLOOKUP(E96,tblAmericasCountries72[[Country]:[Regions]],2,FALSE)</f>
        <v>APAC</v>
      </c>
      <c r="J96" s="9" t="s">
        <v>3583</v>
      </c>
      <c r="K96" s="9" t="s">
        <v>3584</v>
      </c>
      <c r="L96" s="9" t="s">
        <v>3585</v>
      </c>
      <c r="N96" s="9" t="s">
        <v>3576</v>
      </c>
      <c r="T96" s="231" t="s">
        <v>3578</v>
      </c>
      <c r="U96" s="232" t="s">
        <v>4431</v>
      </c>
      <c r="AA96" s="143"/>
      <c r="AC96" s="70"/>
      <c r="AD96" s="70" t="s">
        <v>4390</v>
      </c>
      <c r="AE96" s="70" t="s">
        <v>3480</v>
      </c>
      <c r="AF96" s="70"/>
      <c r="CJ96" s="103"/>
      <c r="CK96" s="103"/>
    </row>
    <row r="97" spans="5:89" ht="17.899999999999999" customHeight="1">
      <c r="E97" s="254" t="s">
        <v>3522</v>
      </c>
      <c r="F97" s="254" t="str">
        <f>VLOOKUP(E97,tblAmericasCountries72[[Country]:[Regions]],2,FALSE)</f>
        <v>MEA</v>
      </c>
      <c r="J97" s="9" t="s">
        <v>3588</v>
      </c>
      <c r="K97" s="9" t="s">
        <v>3589</v>
      </c>
      <c r="L97" s="9" t="s">
        <v>3590</v>
      </c>
      <c r="N97" s="9" t="s">
        <v>3581</v>
      </c>
      <c r="T97" s="231" t="s">
        <v>3565</v>
      </c>
      <c r="U97" s="232" t="s">
        <v>4431</v>
      </c>
      <c r="AA97" s="143"/>
      <c r="AC97" s="70"/>
      <c r="AD97" s="70" t="s">
        <v>4393</v>
      </c>
      <c r="AE97" s="70" t="s">
        <v>3480</v>
      </c>
      <c r="AF97" s="70"/>
      <c r="CJ97" s="103"/>
      <c r="CK97" s="103"/>
    </row>
    <row r="98" spans="5:89" ht="17.899999999999999" customHeight="1">
      <c r="E98" s="253" t="s">
        <v>3525</v>
      </c>
      <c r="F98" s="253" t="str">
        <f>VLOOKUP(E98,tblAmericasCountries72[[Country]:[Regions]],2,FALSE)</f>
        <v>MEA</v>
      </c>
      <c r="J98" s="9" t="s">
        <v>3473</v>
      </c>
      <c r="K98" s="9" t="s">
        <v>3593</v>
      </c>
      <c r="L98" s="9" t="s">
        <v>3594</v>
      </c>
      <c r="N98" s="9" t="s">
        <v>3586</v>
      </c>
      <c r="T98" s="231" t="s">
        <v>3596</v>
      </c>
      <c r="U98" s="232" t="s">
        <v>4431</v>
      </c>
      <c r="AA98" s="143"/>
      <c r="AC98" s="70"/>
      <c r="AD98" s="70" t="s">
        <v>4397</v>
      </c>
      <c r="AE98" s="70" t="s">
        <v>3480</v>
      </c>
      <c r="AF98" s="70"/>
      <c r="CJ98" s="103"/>
      <c r="CK98" s="103"/>
    </row>
    <row r="99" spans="5:89" ht="17.899999999999999" customHeight="1">
      <c r="E99" s="254" t="s">
        <v>3529</v>
      </c>
      <c r="F99" s="254" t="str">
        <f>VLOOKUP(E99,tblAmericasCountries72[[Country]:[Regions]],2,FALSE)</f>
        <v>MEA</v>
      </c>
      <c r="J99" s="9" t="s">
        <v>3596</v>
      </c>
      <c r="K99" s="9" t="s">
        <v>3597</v>
      </c>
      <c r="L99" s="9" t="s">
        <v>3598</v>
      </c>
      <c r="N99" s="9" t="s">
        <v>3591</v>
      </c>
      <c r="T99" s="231" t="s">
        <v>3573</v>
      </c>
      <c r="U99" s="232" t="s">
        <v>4431</v>
      </c>
      <c r="AA99" s="143"/>
      <c r="AC99" s="70"/>
      <c r="AD99" s="70" t="s">
        <v>4399</v>
      </c>
      <c r="AE99" s="70" t="s">
        <v>3480</v>
      </c>
      <c r="AF99" s="70"/>
      <c r="CJ99" s="103"/>
      <c r="CK99" s="103"/>
    </row>
    <row r="100" spans="5:89" ht="17.899999999999999" customHeight="1">
      <c r="E100" s="253" t="s">
        <v>3516</v>
      </c>
      <c r="F100" s="253" t="str">
        <f>VLOOKUP(E100,tblAmericasCountries72[[Country]:[Regions]],2,FALSE)</f>
        <v>APAC</v>
      </c>
      <c r="J100" s="9" t="s">
        <v>3601</v>
      </c>
      <c r="K100" s="9" t="s">
        <v>3602</v>
      </c>
      <c r="L100" s="9" t="s">
        <v>3603</v>
      </c>
      <c r="N100" s="9" t="s">
        <v>3595</v>
      </c>
      <c r="T100" s="231" t="s">
        <v>3569</v>
      </c>
      <c r="U100" s="232" t="s">
        <v>4431</v>
      </c>
      <c r="AA100" s="143"/>
      <c r="AC100" s="70"/>
      <c r="AD100" s="70" t="s">
        <v>4402</v>
      </c>
      <c r="AE100" s="70" t="s">
        <v>3480</v>
      </c>
      <c r="AF100" s="70"/>
      <c r="CJ100" s="103"/>
      <c r="CK100" s="103"/>
    </row>
    <row r="101" spans="5:89" ht="17.899999999999999" customHeight="1">
      <c r="E101" s="254" t="s">
        <v>3534</v>
      </c>
      <c r="F101" s="254" t="str">
        <f>VLOOKUP(E101,tblAmericasCountries72[[Country]:[Regions]],2,FALSE)</f>
        <v>MEA</v>
      </c>
      <c r="J101" s="9" t="s">
        <v>3606</v>
      </c>
      <c r="K101" s="9" t="s">
        <v>3607</v>
      </c>
      <c r="L101" s="9" t="s">
        <v>3608</v>
      </c>
      <c r="N101" s="9" t="s">
        <v>3599</v>
      </c>
      <c r="T101" s="231" t="s">
        <v>3588</v>
      </c>
      <c r="U101" s="232" t="s">
        <v>4431</v>
      </c>
      <c r="AA101" s="143"/>
      <c r="AC101" s="70"/>
      <c r="AD101" s="70" t="s">
        <v>4405</v>
      </c>
      <c r="AE101" s="70" t="s">
        <v>3480</v>
      </c>
      <c r="AF101" s="70"/>
      <c r="CJ101" s="103"/>
      <c r="CK101" s="103"/>
    </row>
    <row r="102" spans="5:89" ht="17.899999999999999" customHeight="1">
      <c r="E102" s="253" t="s">
        <v>3535</v>
      </c>
      <c r="F102" s="253" t="str">
        <f>VLOOKUP(E102,tblAmericasCountries72[[Country]:[Regions]],2,FALSE)</f>
        <v>LACA</v>
      </c>
      <c r="J102" s="9" t="s">
        <v>3611</v>
      </c>
      <c r="K102" s="9" t="s">
        <v>3612</v>
      </c>
      <c r="L102" s="9" t="s">
        <v>3613</v>
      </c>
      <c r="N102" s="9" t="s">
        <v>3651</v>
      </c>
      <c r="T102" s="231" t="s">
        <v>3601</v>
      </c>
      <c r="U102" s="232" t="s">
        <v>4431</v>
      </c>
      <c r="AA102" s="143"/>
      <c r="AC102" s="70"/>
      <c r="AD102" s="70" t="s">
        <v>4408</v>
      </c>
      <c r="AE102" s="70" t="s">
        <v>3480</v>
      </c>
      <c r="AF102" s="70"/>
      <c r="CJ102" s="103"/>
      <c r="CK102" s="103"/>
    </row>
    <row r="103" spans="5:89" ht="17.899999999999999" customHeight="1">
      <c r="E103" s="254" t="s">
        <v>3539</v>
      </c>
      <c r="F103" s="254" t="str">
        <f>VLOOKUP(E103,tblAmericasCountries72[[Country]:[Regions]],2,FALSE)</f>
        <v>MEA</v>
      </c>
      <c r="J103" s="9" t="s">
        <v>3615</v>
      </c>
      <c r="L103" s="9" t="s">
        <v>3616</v>
      </c>
      <c r="N103" s="9" t="s">
        <v>3604</v>
      </c>
      <c r="T103" s="231" t="s">
        <v>3606</v>
      </c>
      <c r="U103" s="232" t="s">
        <v>4431</v>
      </c>
      <c r="AA103" s="143"/>
      <c r="AC103" s="70"/>
      <c r="AD103" s="70" t="s">
        <v>4411</v>
      </c>
      <c r="AE103" s="70" t="s">
        <v>3480</v>
      </c>
      <c r="AF103" s="70"/>
      <c r="CJ103" s="103"/>
      <c r="CK103" s="103"/>
    </row>
    <row r="104" spans="5:89" ht="17.899999999999999" customHeight="1">
      <c r="E104" s="253" t="s">
        <v>3543</v>
      </c>
      <c r="F104" s="253" t="str">
        <f>VLOOKUP(E104,tblAmericasCountries72[[Country]:[Regions]],2,FALSE)</f>
        <v>MEA</v>
      </c>
      <c r="J104" s="9" t="s">
        <v>3618</v>
      </c>
      <c r="L104" s="9" t="s">
        <v>3619</v>
      </c>
      <c r="N104" s="9" t="s">
        <v>3609</v>
      </c>
      <c r="T104" s="231" t="s">
        <v>3621</v>
      </c>
      <c r="U104" s="232" t="s">
        <v>4432</v>
      </c>
      <c r="AA104" s="143"/>
      <c r="AC104" s="70"/>
      <c r="AD104" s="70" t="s">
        <v>4415</v>
      </c>
      <c r="AE104" s="70" t="s">
        <v>3480</v>
      </c>
      <c r="AF104" s="70"/>
      <c r="CJ104" s="103"/>
      <c r="CK104" s="103"/>
    </row>
    <row r="105" spans="5:89" ht="17.899999999999999" customHeight="1">
      <c r="E105" s="254" t="s">
        <v>3540</v>
      </c>
      <c r="F105" s="254" t="str">
        <f>VLOOKUP(E105,tblAmericasCountries72[[Country]:[Regions]],2,FALSE)</f>
        <v>LACA</v>
      </c>
      <c r="J105" s="9" t="s">
        <v>3621</v>
      </c>
      <c r="L105" s="9" t="s">
        <v>3622</v>
      </c>
      <c r="N105" s="9" t="s">
        <v>3614</v>
      </c>
      <c r="T105" s="231" t="s">
        <v>3618</v>
      </c>
      <c r="U105" s="232" t="s">
        <v>4432</v>
      </c>
      <c r="AA105"/>
      <c r="AC105" s="70"/>
      <c r="AD105" s="70" t="s">
        <v>4417</v>
      </c>
      <c r="AE105" s="70" t="s">
        <v>3480</v>
      </c>
      <c r="AF105" s="70"/>
      <c r="CJ105" s="103"/>
      <c r="CK105" s="103"/>
    </row>
    <row r="106" spans="5:89" ht="17.899999999999999" customHeight="1">
      <c r="E106" s="253" t="s">
        <v>3520</v>
      </c>
      <c r="F106" s="253" t="str">
        <f>VLOOKUP(E106,tblAmericasCountries72[[Country]:[Regions]],2,FALSE)</f>
        <v>APAC</v>
      </c>
      <c r="J106" s="9" t="s">
        <v>3624</v>
      </c>
      <c r="L106" s="9" t="s">
        <v>3625</v>
      </c>
      <c r="N106" s="9" t="s">
        <v>3617</v>
      </c>
      <c r="T106" s="231" t="s">
        <v>3631</v>
      </c>
      <c r="U106" s="232" t="s">
        <v>4432</v>
      </c>
      <c r="AA106"/>
      <c r="AC106" s="70"/>
      <c r="AD106" s="70" t="s">
        <v>4419</v>
      </c>
      <c r="AE106" s="70" t="s">
        <v>3480</v>
      </c>
      <c r="AF106" s="70"/>
      <c r="CJ106" s="103"/>
      <c r="CK106" s="103"/>
    </row>
    <row r="107" spans="5:89" ht="17.899999999999999" customHeight="1">
      <c r="E107" s="254" t="s">
        <v>3544</v>
      </c>
      <c r="F107" s="254" t="str">
        <f>VLOOKUP(E107,tblAmericasCountries72[[Country]:[Regions]],2,FALSE)</f>
        <v>LACA</v>
      </c>
      <c r="J107" s="9" t="s">
        <v>3627</v>
      </c>
      <c r="L107" s="9" t="s">
        <v>3628</v>
      </c>
      <c r="N107" s="9" t="s">
        <v>3620</v>
      </c>
      <c r="T107" s="231" t="s">
        <v>3627</v>
      </c>
      <c r="U107" s="232" t="s">
        <v>4432</v>
      </c>
      <c r="AA107"/>
      <c r="AC107" s="70"/>
      <c r="AD107" s="70" t="s">
        <v>4420</v>
      </c>
      <c r="AE107" s="70" t="s">
        <v>3480</v>
      </c>
      <c r="AF107" s="70"/>
      <c r="CJ107" s="103"/>
      <c r="CK107" s="103"/>
    </row>
    <row r="108" spans="5:89" ht="17.899999999999999" customHeight="1">
      <c r="E108" s="253" t="s">
        <v>3548</v>
      </c>
      <c r="F108" s="253" t="str">
        <f>VLOOKUP(E108,tblAmericasCountries72[[Country]:[Regions]],2,FALSE)</f>
        <v>MEA</v>
      </c>
      <c r="J108" s="9" t="s">
        <v>3631</v>
      </c>
      <c r="L108" s="9" t="s">
        <v>3632</v>
      </c>
      <c r="N108" s="9" t="s">
        <v>3623</v>
      </c>
      <c r="T108" s="231" t="s">
        <v>3649</v>
      </c>
      <c r="U108" s="232" t="s">
        <v>4432</v>
      </c>
      <c r="AA108"/>
      <c r="AC108" s="70"/>
      <c r="AD108" s="70" t="s">
        <v>4421</v>
      </c>
      <c r="AE108" s="70" t="s">
        <v>3480</v>
      </c>
      <c r="AF108" s="70"/>
      <c r="CJ108" s="103"/>
      <c r="CK108" s="103"/>
    </row>
    <row r="109" spans="5:89" ht="17.899999999999999" customHeight="1">
      <c r="E109" s="254" t="s">
        <v>3552</v>
      </c>
      <c r="F109" s="254" t="str">
        <f>VLOOKUP(E109,tblAmericasCountries72[[Country]:[Regions]],2,FALSE)</f>
        <v>MEA</v>
      </c>
      <c r="J109" s="9" t="s">
        <v>3635</v>
      </c>
      <c r="L109" s="9" t="s">
        <v>3636</v>
      </c>
      <c r="N109" s="9" t="s">
        <v>3626</v>
      </c>
      <c r="T109" s="231" t="s">
        <v>3645</v>
      </c>
      <c r="U109" s="232" t="s">
        <v>4432</v>
      </c>
      <c r="AA109"/>
      <c r="AC109" s="70"/>
      <c r="AD109" s="70" t="s">
        <v>3519</v>
      </c>
      <c r="AE109" s="70" t="s">
        <v>4231</v>
      </c>
      <c r="AF109" s="70"/>
      <c r="CJ109" s="103"/>
      <c r="CK109" s="103"/>
    </row>
    <row r="110" spans="5:89" ht="17.899999999999999" customHeight="1">
      <c r="E110" s="253" t="s">
        <v>3678</v>
      </c>
      <c r="F110" s="253" t="str">
        <f>VLOOKUP(E110,tblAmericasCountries72[[Country]:[Regions]],2,FALSE)</f>
        <v>MEA</v>
      </c>
      <c r="J110" s="9" t="s">
        <v>3639</v>
      </c>
      <c r="L110" s="9" t="s">
        <v>3640</v>
      </c>
      <c r="N110" s="9" t="s">
        <v>3629</v>
      </c>
      <c r="T110" s="231" t="s">
        <v>3615</v>
      </c>
      <c r="U110" s="232" t="s">
        <v>4432</v>
      </c>
      <c r="AA110"/>
      <c r="AC110" s="70"/>
      <c r="AD110" s="70" t="s">
        <v>4422</v>
      </c>
      <c r="AE110" s="70" t="s">
        <v>3478</v>
      </c>
      <c r="AF110" s="70"/>
      <c r="CJ110" s="103"/>
      <c r="CK110" s="103"/>
    </row>
    <row r="111" spans="5:89" ht="17.899999999999999" customHeight="1">
      <c r="E111" s="254" t="s">
        <v>3549</v>
      </c>
      <c r="F111" s="254" t="str">
        <f>VLOOKUP(E111,tblAmericasCountries72[[Country]:[Regions]],2,FALSE)</f>
        <v>LACA</v>
      </c>
      <c r="J111" s="9" t="s">
        <v>3642</v>
      </c>
      <c r="L111" s="9" t="s">
        <v>3643</v>
      </c>
      <c r="N111" s="9" t="s">
        <v>3633</v>
      </c>
      <c r="T111" s="231" t="s">
        <v>3487</v>
      </c>
      <c r="U111" s="232" t="s">
        <v>3480</v>
      </c>
      <c r="AA111"/>
      <c r="AC111" s="70"/>
      <c r="AD111" s="70" t="s">
        <v>4423</v>
      </c>
      <c r="AE111" s="70" t="s">
        <v>3478</v>
      </c>
      <c r="AF111" s="70"/>
      <c r="CJ111" s="103"/>
      <c r="CK111" s="103"/>
    </row>
    <row r="112" spans="5:89" ht="17.899999999999999" customHeight="1">
      <c r="E112" s="253" t="s">
        <v>4433</v>
      </c>
      <c r="F112" s="253" t="str">
        <f>VLOOKUP(E112,tblAmericasCountries72[[Country]:[Regions]],2,FALSE)</f>
        <v>MEA</v>
      </c>
      <c r="J112" s="9" t="s">
        <v>3645</v>
      </c>
      <c r="L112" s="9" t="s">
        <v>3646</v>
      </c>
      <c r="N112" s="9" t="s">
        <v>3637</v>
      </c>
      <c r="T112" s="255" t="s">
        <v>3494</v>
      </c>
      <c r="U112" s="256" t="s">
        <v>3480</v>
      </c>
      <c r="AA112"/>
      <c r="AC112" s="70"/>
      <c r="AD112" s="70" t="s">
        <v>4424</v>
      </c>
      <c r="AE112" s="70" t="s">
        <v>3478</v>
      </c>
      <c r="AF112" s="70"/>
      <c r="CJ112" s="103"/>
      <c r="CK112" s="103"/>
    </row>
    <row r="113" spans="5:89" ht="17.899999999999999" customHeight="1">
      <c r="E113" s="254" t="s">
        <v>3553</v>
      </c>
      <c r="F113" s="254" t="str">
        <f>VLOOKUP(E113,tblAmericasCountries72[[Country]:[Regions]],2,FALSE)</f>
        <v>LACA</v>
      </c>
      <c r="J113" s="9" t="s">
        <v>3649</v>
      </c>
      <c r="L113" s="9" t="s">
        <v>3650</v>
      </c>
      <c r="N113" s="9" t="s">
        <v>3641</v>
      </c>
      <c r="T113" s="255" t="s">
        <v>3503</v>
      </c>
      <c r="U113" s="256" t="s">
        <v>3480</v>
      </c>
      <c r="AA113"/>
      <c r="AC113" s="70"/>
      <c r="AD113" s="70" t="s">
        <v>4425</v>
      </c>
      <c r="AE113" s="70" t="s">
        <v>3478</v>
      </c>
      <c r="AF113" s="70"/>
      <c r="CJ113" s="103"/>
      <c r="CK113" s="103"/>
    </row>
    <row r="114" spans="5:89" ht="17.899999999999999" customHeight="1">
      <c r="E114" s="253" t="s">
        <v>3556</v>
      </c>
      <c r="F114" s="253" t="str">
        <f>VLOOKUP(E114,tblAmericasCountries72[[Country]:[Regions]],2,FALSE)</f>
        <v>LACA</v>
      </c>
      <c r="L114" s="9" t="s">
        <v>3653</v>
      </c>
      <c r="N114" s="9" t="s">
        <v>3644</v>
      </c>
      <c r="T114" s="255" t="s">
        <v>3518</v>
      </c>
      <c r="U114" s="256" t="s">
        <v>3480</v>
      </c>
      <c r="AA114"/>
      <c r="AC114" s="70"/>
      <c r="AD114" s="70" t="s">
        <v>4426</v>
      </c>
      <c r="AE114" s="70" t="s">
        <v>3478</v>
      </c>
      <c r="AF114" s="70"/>
      <c r="CJ114" s="103"/>
      <c r="CK114" s="103"/>
    </row>
    <row r="115" spans="5:89" ht="17.899999999999999" customHeight="1">
      <c r="E115" s="254" t="s">
        <v>3559</v>
      </c>
      <c r="F115" s="254" t="str">
        <f>VLOOKUP(E115,tblAmericasCountries72[[Country]:[Regions]],2,FALSE)</f>
        <v>MEA</v>
      </c>
      <c r="L115" s="9" t="s">
        <v>3654</v>
      </c>
      <c r="N115" s="9" t="s">
        <v>3647</v>
      </c>
      <c r="T115" s="255" t="s">
        <v>3525</v>
      </c>
      <c r="U115" s="256" t="s">
        <v>3480</v>
      </c>
      <c r="AA115"/>
      <c r="AC115" s="70"/>
      <c r="AD115" s="70" t="s">
        <v>4428</v>
      </c>
      <c r="AE115" s="70" t="s">
        <v>3478</v>
      </c>
      <c r="AF115" s="70"/>
      <c r="CJ115" s="103"/>
      <c r="CK115" s="103"/>
    </row>
    <row r="116" spans="5:89" ht="17.899999999999999" customHeight="1">
      <c r="E116" s="253" t="s">
        <v>3560</v>
      </c>
      <c r="F116" s="253" t="str">
        <f>VLOOKUP(E116,tblAmericasCountries72[[Country]:[Regions]],2,FALSE)</f>
        <v>LACA</v>
      </c>
      <c r="L116" s="9" t="s">
        <v>3655</v>
      </c>
      <c r="T116" s="255" t="s">
        <v>3529</v>
      </c>
      <c r="U116" s="256" t="s">
        <v>3480</v>
      </c>
      <c r="AA116"/>
      <c r="AC116" s="70"/>
      <c r="AD116" s="70" t="s">
        <v>4427</v>
      </c>
      <c r="AE116" s="70" t="s">
        <v>3478</v>
      </c>
      <c r="AF116" s="70"/>
      <c r="CJ116" s="103"/>
      <c r="CK116" s="103"/>
    </row>
    <row r="117" spans="5:89" ht="17.899999999999999" customHeight="1">
      <c r="E117" s="254" t="s">
        <v>3564</v>
      </c>
      <c r="F117" s="254" t="str">
        <f>VLOOKUP(E117,tblAmericasCountries72[[Country]:[Regions]],2,FALSE)</f>
        <v>LACA</v>
      </c>
      <c r="L117" s="9" t="s">
        <v>3656</v>
      </c>
      <c r="T117" s="255" t="s">
        <v>3539</v>
      </c>
      <c r="U117" s="256" t="s">
        <v>3480</v>
      </c>
      <c r="AA117"/>
      <c r="AC117" s="70"/>
      <c r="AD117" s="70" t="s">
        <v>3501</v>
      </c>
      <c r="AE117" s="70" t="s">
        <v>3478</v>
      </c>
      <c r="AF117" s="70"/>
      <c r="CJ117" s="103"/>
      <c r="CK117" s="103"/>
    </row>
    <row r="118" spans="5:89" ht="17.899999999999999" customHeight="1">
      <c r="E118" s="253" t="s">
        <v>3568</v>
      </c>
      <c r="F118" s="253" t="str">
        <f>VLOOKUP(E118,tblAmericasCountries72[[Country]:[Regions]],2,FALSE)</f>
        <v>LACA</v>
      </c>
      <c r="L118" s="9" t="s">
        <v>3658</v>
      </c>
      <c r="T118" s="255" t="s">
        <v>3543</v>
      </c>
      <c r="U118" s="256" t="s">
        <v>3480</v>
      </c>
      <c r="AA118"/>
      <c r="AC118" s="70"/>
      <c r="AD118" s="70" t="s">
        <v>3512</v>
      </c>
      <c r="AE118" s="70" t="s">
        <v>3478</v>
      </c>
      <c r="AF118" s="70"/>
      <c r="CJ118" s="103"/>
      <c r="CK118" s="103"/>
    </row>
    <row r="119" spans="5:89" ht="17.899999999999999" customHeight="1">
      <c r="E119" s="254" t="s">
        <v>3563</v>
      </c>
      <c r="F119" s="254" t="str">
        <f>VLOOKUP(E119,tblAmericasCountries72[[Country]:[Regions]],2,FALSE)</f>
        <v>MEA</v>
      </c>
      <c r="L119" s="9" t="s">
        <v>3659</v>
      </c>
      <c r="T119" s="255" t="s">
        <v>3548</v>
      </c>
      <c r="U119" s="256" t="s">
        <v>3480</v>
      </c>
      <c r="AA119"/>
      <c r="AC119" s="70"/>
      <c r="AD119" s="70" t="s">
        <v>3507</v>
      </c>
      <c r="AE119" s="70" t="s">
        <v>3478</v>
      </c>
      <c r="AF119" s="70"/>
      <c r="CJ119" s="103"/>
      <c r="CK119" s="103"/>
    </row>
    <row r="120" spans="5:89" ht="17.899999999999999" customHeight="1">
      <c r="E120" s="253" t="s">
        <v>3572</v>
      </c>
      <c r="F120" s="253" t="str">
        <f>VLOOKUP(E120,tblAmericasCountries72[[Country]:[Regions]],2,FALSE)</f>
        <v>LACA</v>
      </c>
      <c r="L120" s="9" t="s">
        <v>3660</v>
      </c>
      <c r="T120" s="255" t="s">
        <v>3678</v>
      </c>
      <c r="U120" s="256" t="s">
        <v>3480</v>
      </c>
      <c r="AA120"/>
      <c r="AC120" s="70"/>
      <c r="AD120" s="70" t="s">
        <v>3520</v>
      </c>
      <c r="AE120" s="70" t="s">
        <v>3478</v>
      </c>
      <c r="AF120" s="70"/>
      <c r="CJ120" s="103"/>
      <c r="CK120" s="103"/>
    </row>
    <row r="121" spans="5:89" ht="17.899999999999999" customHeight="1">
      <c r="E121" s="254" t="s">
        <v>3567</v>
      </c>
      <c r="F121" s="254" t="str">
        <f>VLOOKUP(E121,tblAmericasCountries72[[Country]:[Regions]],2,FALSE)</f>
        <v>MEA</v>
      </c>
      <c r="L121" s="9" t="s">
        <v>3661</v>
      </c>
      <c r="T121" s="255" t="s">
        <v>4433</v>
      </c>
      <c r="U121" s="256" t="s">
        <v>3480</v>
      </c>
      <c r="AA121"/>
      <c r="AC121" s="70"/>
      <c r="AD121" s="70" t="s">
        <v>3532</v>
      </c>
      <c r="AE121" s="70" t="s">
        <v>3478</v>
      </c>
      <c r="AF121" s="70"/>
      <c r="CJ121" s="103"/>
      <c r="CK121" s="103"/>
    </row>
    <row r="122" spans="5:89" ht="17.899999999999999" customHeight="1">
      <c r="E122" s="253" t="s">
        <v>3571</v>
      </c>
      <c r="F122" s="253" t="str">
        <f>VLOOKUP(E122,tblAmericasCountries72[[Country]:[Regions]],2,FALSE)</f>
        <v>MEA</v>
      </c>
      <c r="L122" s="9" t="s">
        <v>3662</v>
      </c>
      <c r="T122" s="255" t="s">
        <v>3559</v>
      </c>
      <c r="U122" s="256" t="s">
        <v>3480</v>
      </c>
      <c r="AA122"/>
      <c r="AC122" s="70"/>
      <c r="AD122" s="70" t="s">
        <v>3537</v>
      </c>
      <c r="AE122" s="70" t="s">
        <v>3478</v>
      </c>
      <c r="AF122" s="70"/>
      <c r="CJ122" s="103"/>
      <c r="CK122" s="103"/>
    </row>
    <row r="123" spans="5:89" ht="17.899999999999999" customHeight="1">
      <c r="E123" s="254" t="s">
        <v>4425</v>
      </c>
      <c r="F123" s="254" t="str">
        <f>VLOOKUP(E123,tblAmericasCountries72[[Country]:[Regions]],2,FALSE)</f>
        <v>APAC</v>
      </c>
      <c r="L123" s="9" t="s">
        <v>3663</v>
      </c>
      <c r="T123" s="255" t="s">
        <v>3567</v>
      </c>
      <c r="U123" s="256" t="s">
        <v>3480</v>
      </c>
      <c r="AA123"/>
      <c r="AC123" s="70"/>
      <c r="AD123" s="70" t="s">
        <v>3550</v>
      </c>
      <c r="AE123" s="70" t="s">
        <v>3478</v>
      </c>
      <c r="AF123" s="70"/>
      <c r="CJ123" s="103"/>
      <c r="CK123" s="103"/>
    </row>
    <row r="124" spans="5:89" ht="17.899999999999999" customHeight="1">
      <c r="E124" s="253" t="s">
        <v>3575</v>
      </c>
      <c r="F124" s="253" t="str">
        <f>VLOOKUP(E124,tblAmericasCountries72[[Country]:[Regions]],2,FALSE)</f>
        <v>MEA</v>
      </c>
      <c r="L124" s="9" t="s">
        <v>3664</v>
      </c>
      <c r="T124" s="255" t="s">
        <v>3575</v>
      </c>
      <c r="U124" s="256" t="s">
        <v>3480</v>
      </c>
      <c r="AA124"/>
      <c r="AC124" s="70"/>
      <c r="AD124" s="70" t="s">
        <v>3162</v>
      </c>
      <c r="AE124" s="70" t="s">
        <v>3478</v>
      </c>
      <c r="AF124" s="70"/>
      <c r="CJ124" s="103"/>
      <c r="CK124" s="103"/>
    </row>
    <row r="125" spans="5:89" ht="17.899999999999999" customHeight="1">
      <c r="E125" s="254" t="s">
        <v>3580</v>
      </c>
      <c r="F125" s="254" t="str">
        <f>VLOOKUP(E125,tblAmericasCountries72[[Country]:[Regions]],2,FALSE)</f>
        <v>MEA</v>
      </c>
      <c r="L125" s="9" t="s">
        <v>3665</v>
      </c>
      <c r="T125" s="255" t="s">
        <v>4434</v>
      </c>
      <c r="U125" s="256" t="s">
        <v>3480</v>
      </c>
      <c r="AA125"/>
      <c r="AC125" s="70"/>
      <c r="AD125" s="70" t="s">
        <v>2196</v>
      </c>
      <c r="AE125" s="70" t="s">
        <v>3478</v>
      </c>
      <c r="AF125" s="70"/>
      <c r="CJ125" s="103"/>
      <c r="CK125" s="103"/>
    </row>
    <row r="126" spans="5:89" ht="17.899999999999999" customHeight="1">
      <c r="E126" s="253" t="s">
        <v>3585</v>
      </c>
      <c r="F126" s="253" t="str">
        <f>VLOOKUP(E126,tblAmericasCountries72[[Country]:[Regions]],2,FALSE)</f>
        <v>MEA</v>
      </c>
      <c r="L126" s="9" t="s">
        <v>3666</v>
      </c>
      <c r="T126" s="255" t="s">
        <v>3622</v>
      </c>
      <c r="U126" s="256" t="s">
        <v>3480</v>
      </c>
      <c r="AA126"/>
      <c r="AC126" s="70"/>
      <c r="AD126" s="70" t="s">
        <v>3554</v>
      </c>
      <c r="AE126" s="70" t="s">
        <v>3478</v>
      </c>
      <c r="AF126" s="70"/>
      <c r="CJ126" s="103"/>
      <c r="CK126" s="103"/>
    </row>
    <row r="127" spans="5:89" ht="17.899999999999999" customHeight="1">
      <c r="E127" s="254" t="s">
        <v>3576</v>
      </c>
      <c r="F127" s="254" t="str">
        <f>VLOOKUP(E127,tblAmericasCountries72[[Country]:[Regions]],2,FALSE)</f>
        <v>LACA</v>
      </c>
      <c r="L127" s="9" t="s">
        <v>3667</v>
      </c>
      <c r="T127" s="255" t="s">
        <v>3643</v>
      </c>
      <c r="U127" s="256" t="s">
        <v>3480</v>
      </c>
      <c r="AA127"/>
      <c r="AC127" s="70"/>
      <c r="AD127" s="70" t="s">
        <v>3516</v>
      </c>
      <c r="AE127" s="70" t="s">
        <v>3478</v>
      </c>
      <c r="AF127" s="70"/>
      <c r="CJ127" s="103"/>
      <c r="CK127" s="103"/>
    </row>
    <row r="128" spans="5:89" ht="17.899999999999999" customHeight="1">
      <c r="E128" s="253" t="s">
        <v>3532</v>
      </c>
      <c r="F128" s="253" t="str">
        <f>VLOOKUP(E128,tblAmericasCountries72[[Country]:[Regions]],2,FALSE)</f>
        <v>APAC</v>
      </c>
      <c r="L128" s="9" t="s">
        <v>3668</v>
      </c>
      <c r="T128" s="255" t="s">
        <v>3646</v>
      </c>
      <c r="U128" s="256" t="s">
        <v>3480</v>
      </c>
      <c r="AA128"/>
      <c r="AC128" s="70"/>
      <c r="AD128" s="70" t="s">
        <v>3557</v>
      </c>
      <c r="AE128" s="70" t="s">
        <v>3478</v>
      </c>
      <c r="AF128" s="70"/>
      <c r="CJ128" s="103"/>
      <c r="CK128" s="103"/>
    </row>
    <row r="129" spans="5:89" ht="17.899999999999999" customHeight="1">
      <c r="E129" s="254" t="s">
        <v>3581</v>
      </c>
      <c r="F129" s="254" t="str">
        <f>VLOOKUP(E129,tblAmericasCountries72[[Country]:[Regions]],2,FALSE)</f>
        <v>LACA</v>
      </c>
      <c r="L129" s="9" t="s">
        <v>3672</v>
      </c>
      <c r="T129" s="255" t="s">
        <v>3665</v>
      </c>
      <c r="U129" s="256" t="s">
        <v>3480</v>
      </c>
      <c r="AA129" s="257"/>
      <c r="AC129" s="70"/>
      <c r="AD129" s="70" t="s">
        <v>3561</v>
      </c>
      <c r="AE129" s="70" t="s">
        <v>3478</v>
      </c>
      <c r="AF129" s="70"/>
      <c r="CJ129" s="103"/>
      <c r="CK129" s="103"/>
    </row>
    <row r="130" spans="5:89" ht="17.899999999999999" customHeight="1">
      <c r="E130" s="253" t="s">
        <v>3590</v>
      </c>
      <c r="F130" s="253" t="str">
        <f>VLOOKUP(E130,tblAmericasCountries72[[Country]:[Regions]],2,FALSE)</f>
        <v>MEA</v>
      </c>
      <c r="L130" s="9" t="s">
        <v>3674</v>
      </c>
      <c r="T130" s="255" t="s">
        <v>3667</v>
      </c>
      <c r="U130" s="256" t="s">
        <v>3480</v>
      </c>
      <c r="AA130"/>
      <c r="AC130" s="70"/>
      <c r="AD130" s="70" t="s">
        <v>3624</v>
      </c>
      <c r="AE130" s="70" t="s">
        <v>3478</v>
      </c>
      <c r="AF130" s="70"/>
      <c r="CJ130" s="103"/>
      <c r="CK130" s="103"/>
    </row>
    <row r="131" spans="5:89" ht="17.899999999999999" customHeight="1">
      <c r="E131" s="254" t="s">
        <v>4434</v>
      </c>
      <c r="F131" s="254" t="str">
        <f>VLOOKUP(E131,tblAmericasCountries72[[Country]:[Regions]],2,FALSE)</f>
        <v>MEA</v>
      </c>
      <c r="L131" s="9" t="s">
        <v>3675</v>
      </c>
      <c r="T131" s="255" t="s">
        <v>3674</v>
      </c>
      <c r="U131" s="256" t="s">
        <v>3480</v>
      </c>
      <c r="AA131"/>
      <c r="AC131" s="70"/>
      <c r="AD131" s="70" t="s">
        <v>3583</v>
      </c>
      <c r="AE131" s="70" t="s">
        <v>3478</v>
      </c>
      <c r="AF131" s="70"/>
      <c r="CJ131" s="103"/>
      <c r="CK131" s="103"/>
    </row>
    <row r="132" spans="5:89" ht="17.899999999999999" customHeight="1">
      <c r="E132" s="253" t="s">
        <v>3586</v>
      </c>
      <c r="F132" s="253" t="str">
        <f>VLOOKUP(E132,tblAmericasCountries72[[Country]:[Regions]],2,FALSE)</f>
        <v>LACA</v>
      </c>
      <c r="L132" s="9" t="s">
        <v>3675</v>
      </c>
      <c r="T132" s="255" t="s">
        <v>3675</v>
      </c>
      <c r="U132" s="256" t="s">
        <v>3480</v>
      </c>
      <c r="AA132"/>
      <c r="AC132" s="70"/>
      <c r="AD132" s="70" t="s">
        <v>3578</v>
      </c>
      <c r="AE132" s="70" t="s">
        <v>3478</v>
      </c>
      <c r="AF132" s="70"/>
      <c r="CJ132" s="103"/>
      <c r="CK132" s="103"/>
    </row>
    <row r="133" spans="5:89" ht="17.899999999999999" customHeight="1">
      <c r="E133" s="254" t="s">
        <v>3591</v>
      </c>
      <c r="F133" s="254" t="str">
        <f>VLOOKUP(E133,tblAmericasCountries72[[Country]:[Regions]],2,FALSE)</f>
        <v>LACA</v>
      </c>
      <c r="L133" s="9" t="s">
        <v>3676</v>
      </c>
      <c r="T133" s="255" t="s">
        <v>3685</v>
      </c>
      <c r="U133" s="256" t="s">
        <v>3480</v>
      </c>
      <c r="AA133"/>
      <c r="AC133" s="70"/>
      <c r="AD133" s="70" t="s">
        <v>3565</v>
      </c>
      <c r="AE133" s="70" t="s">
        <v>3478</v>
      </c>
      <c r="AF133" s="70"/>
      <c r="CJ133" s="103"/>
      <c r="CK133" s="103"/>
    </row>
    <row r="134" spans="5:89" ht="17.899999999999999" customHeight="1">
      <c r="E134" s="253" t="s">
        <v>3595</v>
      </c>
      <c r="F134" s="253" t="str">
        <f>VLOOKUP(E134,tblAmericasCountries72[[Country]:[Regions]],2,FALSE)</f>
        <v>LACA</v>
      </c>
      <c r="L134" s="9" t="s">
        <v>3678</v>
      </c>
      <c r="T134" s="255" t="s">
        <v>3686</v>
      </c>
      <c r="U134" s="256" t="s">
        <v>3480</v>
      </c>
      <c r="AA134"/>
      <c r="AC134" s="70"/>
      <c r="AD134" s="70" t="s">
        <v>3596</v>
      </c>
      <c r="AE134" s="70" t="s">
        <v>3478</v>
      </c>
      <c r="AF134" s="70"/>
      <c r="CJ134" s="103"/>
      <c r="CK134" s="103"/>
    </row>
    <row r="135" spans="5:89" ht="17.899999999999999" customHeight="1">
      <c r="E135" s="254" t="s">
        <v>3537</v>
      </c>
      <c r="F135" s="254" t="str">
        <f>VLOOKUP(E135,tblAmericasCountries72[[Country]:[Regions]],2,FALSE)</f>
        <v>APAC</v>
      </c>
      <c r="L135" s="9" t="s">
        <v>3680</v>
      </c>
      <c r="T135" s="231" t="s">
        <v>3488</v>
      </c>
      <c r="U135" s="232" t="s">
        <v>4231</v>
      </c>
      <c r="AA135"/>
      <c r="AC135" s="70"/>
      <c r="AD135" s="70" t="s">
        <v>3573</v>
      </c>
      <c r="AE135" s="70" t="s">
        <v>3478</v>
      </c>
      <c r="AF135" s="70"/>
      <c r="CJ135" s="103"/>
      <c r="CK135" s="103"/>
    </row>
    <row r="136" spans="5:89" ht="17.899999999999999" customHeight="1">
      <c r="E136" s="253" t="s">
        <v>3162</v>
      </c>
      <c r="F136" s="253" t="str">
        <f>VLOOKUP(E136,tblAmericasCountries72[[Country]:[Regions]],2,FALSE)</f>
        <v>APAC</v>
      </c>
      <c r="L136" s="9" t="s">
        <v>3681</v>
      </c>
      <c r="T136" s="231" t="s">
        <v>3504</v>
      </c>
      <c r="U136" s="232" t="s">
        <v>4231</v>
      </c>
      <c r="AA136"/>
      <c r="AC136" s="70"/>
      <c r="AD136" s="70" t="s">
        <v>3569</v>
      </c>
      <c r="AE136" s="70" t="s">
        <v>3478</v>
      </c>
      <c r="AF136" s="70"/>
      <c r="CJ136" s="103"/>
      <c r="CK136" s="103"/>
    </row>
    <row r="137" spans="5:89" ht="17.899999999999999" customHeight="1">
      <c r="E137" s="258" t="s">
        <v>2196</v>
      </c>
      <c r="F137" s="258" t="str">
        <f>VLOOKUP(E137,tblAmericasCountries72[[Country]:[Regions]],2,FALSE)</f>
        <v>APAC</v>
      </c>
      <c r="L137" s="9" t="s">
        <v>3682</v>
      </c>
      <c r="T137" s="231" t="s">
        <v>3515</v>
      </c>
      <c r="U137" s="232" t="s">
        <v>4231</v>
      </c>
      <c r="AA137"/>
      <c r="AC137" s="70"/>
      <c r="AD137" s="70" t="s">
        <v>3588</v>
      </c>
      <c r="AE137" s="70" t="s">
        <v>3478</v>
      </c>
      <c r="AF137" s="70"/>
      <c r="CJ137" s="103"/>
      <c r="CK137" s="103"/>
    </row>
    <row r="138" spans="5:89" ht="17.899999999999999" customHeight="1">
      <c r="E138" s="254" t="s">
        <v>3550</v>
      </c>
      <c r="F138" s="254" t="str">
        <f>VLOOKUP(E138,tblAmericasCountries72[[Country]:[Regions]],2,FALSE)</f>
        <v>APAC</v>
      </c>
      <c r="L138" s="9" t="s">
        <v>3683</v>
      </c>
      <c r="T138" s="255" t="s">
        <v>3519</v>
      </c>
      <c r="U138" s="256" t="s">
        <v>4231</v>
      </c>
      <c r="AA138"/>
      <c r="AC138" s="70"/>
      <c r="AD138" s="70" t="s">
        <v>3601</v>
      </c>
      <c r="AE138" s="70" t="s">
        <v>3478</v>
      </c>
      <c r="AF138" s="70"/>
      <c r="CJ138" s="103"/>
      <c r="CK138" s="103"/>
    </row>
    <row r="139" spans="5:89" ht="17.899999999999999" customHeight="1">
      <c r="E139" s="253" t="s">
        <v>3598</v>
      </c>
      <c r="F139" s="253" t="str">
        <f>VLOOKUP(E139,tblAmericasCountries72[[Country]:[Regions]],2,FALSE)</f>
        <v>MEA</v>
      </c>
      <c r="L139" s="9" t="s">
        <v>3684</v>
      </c>
      <c r="T139" s="231" t="s">
        <v>3535</v>
      </c>
      <c r="U139" s="232" t="s">
        <v>4231</v>
      </c>
      <c r="AA139"/>
      <c r="AC139" s="70"/>
      <c r="AD139" s="70" t="s">
        <v>3606</v>
      </c>
      <c r="AE139" s="70" t="s">
        <v>3478</v>
      </c>
      <c r="AF139" s="70"/>
      <c r="CJ139" s="103"/>
      <c r="CK139" s="103"/>
    </row>
    <row r="140" spans="5:89" ht="17.899999999999999" customHeight="1">
      <c r="E140" s="254" t="s">
        <v>3603</v>
      </c>
      <c r="F140" s="254" t="str">
        <f>VLOOKUP(E140,tblAmericasCountries72[[Country]:[Regions]],2,FALSE)</f>
        <v>MEA</v>
      </c>
      <c r="L140" s="9" t="s">
        <v>3685</v>
      </c>
      <c r="T140" s="231" t="s">
        <v>3556</v>
      </c>
      <c r="U140" s="232" t="s">
        <v>4231</v>
      </c>
      <c r="AA140"/>
      <c r="AC140" s="70"/>
      <c r="AD140" s="70" t="s">
        <v>3621</v>
      </c>
      <c r="AE140" s="70" t="s">
        <v>3478</v>
      </c>
      <c r="AF140" s="70"/>
      <c r="CJ140" s="103"/>
      <c r="CK140" s="103"/>
    </row>
    <row r="141" spans="5:89" ht="17.899999999999999" customHeight="1">
      <c r="E141" s="253" t="s">
        <v>3599</v>
      </c>
      <c r="F141" s="253" t="str">
        <f>VLOOKUP(E141,tblAmericasCountries72[[Country]:[Regions]],2,FALSE)</f>
        <v>LACA</v>
      </c>
      <c r="L141" s="9" t="s">
        <v>3686</v>
      </c>
      <c r="T141" s="231" t="s">
        <v>3576</v>
      </c>
      <c r="U141" s="232" t="s">
        <v>4231</v>
      </c>
      <c r="AA141"/>
      <c r="AC141" s="70"/>
      <c r="AD141" s="70" t="s">
        <v>3618</v>
      </c>
      <c r="AE141" s="70" t="s">
        <v>3478</v>
      </c>
      <c r="AF141" s="70"/>
      <c r="CJ141" s="103"/>
      <c r="CK141" s="103"/>
    </row>
    <row r="142" spans="5:89" ht="17.899999999999999" customHeight="1">
      <c r="E142" s="254" t="s">
        <v>3554</v>
      </c>
      <c r="F142" s="254" t="str">
        <f>VLOOKUP(E142,tblAmericasCountries72[[Country]:[Regions]],2,FALSE)</f>
        <v>APAC</v>
      </c>
      <c r="T142" s="231" t="s">
        <v>3586</v>
      </c>
      <c r="U142" s="232" t="s">
        <v>4231</v>
      </c>
      <c r="AA142"/>
      <c r="AC142" s="70"/>
      <c r="AD142" s="70" t="s">
        <v>3631</v>
      </c>
      <c r="AE142" s="70" t="s">
        <v>3478</v>
      </c>
      <c r="AF142" s="70"/>
      <c r="CJ142" s="103"/>
      <c r="CK142" s="103"/>
    </row>
    <row r="143" spans="5:89" ht="17.899999999999999" customHeight="1">
      <c r="E143" s="253" t="s">
        <v>3608</v>
      </c>
      <c r="F143" s="253" t="str">
        <f>VLOOKUP(E143,tblAmericasCountries72[[Country]:[Regions]],2,FALSE)</f>
        <v>MEA</v>
      </c>
      <c r="T143" s="231" t="s">
        <v>3620</v>
      </c>
      <c r="U143" s="232" t="s">
        <v>4231</v>
      </c>
      <c r="AA143"/>
      <c r="AC143" s="70"/>
      <c r="AD143" s="70" t="s">
        <v>3627</v>
      </c>
      <c r="AE143" s="70" t="s">
        <v>3478</v>
      </c>
      <c r="AF143" s="70"/>
      <c r="CJ143" s="103"/>
      <c r="CK143" s="103"/>
    </row>
    <row r="144" spans="5:89" ht="17.899999999999999" customHeight="1">
      <c r="E144" s="254" t="s">
        <v>3613</v>
      </c>
      <c r="F144" s="254" t="str">
        <f>VLOOKUP(E144,tblAmericasCountries72[[Country]:[Regions]],2,FALSE)</f>
        <v>MEA</v>
      </c>
      <c r="T144" s="255" t="s">
        <v>3623</v>
      </c>
      <c r="U144" s="256" t="s">
        <v>4231</v>
      </c>
      <c r="AA144"/>
      <c r="AC144" s="70"/>
      <c r="AD144" s="70" t="s">
        <v>3649</v>
      </c>
      <c r="AE144" s="70" t="s">
        <v>3478</v>
      </c>
      <c r="AF144" s="70"/>
      <c r="CJ144" s="103"/>
      <c r="CK144" s="103"/>
    </row>
    <row r="145" spans="5:89" ht="17.899999999999999" customHeight="1">
      <c r="E145" s="253" t="s">
        <v>3557</v>
      </c>
      <c r="F145" s="253" t="str">
        <f>VLOOKUP(E145,tblAmericasCountries72[[Country]:[Regions]],2,FALSE)</f>
        <v>APAC</v>
      </c>
      <c r="T145" s="255" t="s">
        <v>3626</v>
      </c>
      <c r="U145" s="256" t="s">
        <v>4231</v>
      </c>
      <c r="AA145"/>
      <c r="AC145" s="70"/>
      <c r="AD145" s="70" t="s">
        <v>3645</v>
      </c>
      <c r="AE145" s="70" t="s">
        <v>3478</v>
      </c>
      <c r="AF145" s="70"/>
      <c r="CJ145" s="103"/>
      <c r="CK145" s="103"/>
    </row>
    <row r="146" spans="5:89" ht="17.899999999999999" customHeight="1">
      <c r="E146" s="254" t="s">
        <v>4435</v>
      </c>
      <c r="F146" s="254" t="str">
        <f>VLOOKUP(E146,tblAmericasCountries72[[Country]:[Regions]],2,FALSE)</f>
        <v>APAC</v>
      </c>
      <c r="T146" s="255" t="s">
        <v>3629</v>
      </c>
      <c r="U146" s="256" t="s">
        <v>4231</v>
      </c>
      <c r="AA146"/>
      <c r="AC146" s="70"/>
      <c r="AD146" s="70" t="s">
        <v>3615</v>
      </c>
      <c r="AE146" s="70" t="s">
        <v>3478</v>
      </c>
      <c r="AF146" s="70"/>
      <c r="CJ146" s="103"/>
      <c r="CK146" s="103"/>
    </row>
    <row r="147" spans="5:89" ht="17.899999999999999" customHeight="1">
      <c r="E147" s="253" t="s">
        <v>3616</v>
      </c>
      <c r="F147" s="253" t="str">
        <f>VLOOKUP(E147,tblAmericasCountries72[[Country]:[Regions]],2,FALSE)</f>
        <v>MEA</v>
      </c>
      <c r="T147" s="231" t="s">
        <v>3633</v>
      </c>
      <c r="U147" s="232" t="s">
        <v>4231</v>
      </c>
      <c r="AA147"/>
      <c r="AC147" s="70"/>
      <c r="AD147" s="70" t="s">
        <v>3487</v>
      </c>
      <c r="AE147" s="70" t="s">
        <v>3480</v>
      </c>
      <c r="AF147" s="70"/>
      <c r="CJ147" s="103"/>
      <c r="CK147" s="103"/>
    </row>
    <row r="148" spans="5:89" ht="17.899999999999999" customHeight="1">
      <c r="E148" s="254" t="s">
        <v>3561</v>
      </c>
      <c r="F148" s="254" t="str">
        <f>VLOOKUP(E148,tblAmericasCountries72[[Country]:[Regions]],2,FALSE)</f>
        <v>APAC</v>
      </c>
      <c r="T148" s="231" t="s">
        <v>3637</v>
      </c>
      <c r="U148" s="232" t="s">
        <v>4231</v>
      </c>
      <c r="AA148"/>
      <c r="AC148" s="70"/>
      <c r="AD148" s="70" t="s">
        <v>3494</v>
      </c>
      <c r="AE148" s="70" t="s">
        <v>3480</v>
      </c>
      <c r="AF148" s="70"/>
      <c r="CJ148" s="103"/>
      <c r="CK148" s="103"/>
    </row>
    <row r="149" spans="5:89" ht="17.899999999999999" customHeight="1">
      <c r="E149" s="253" t="s">
        <v>3619</v>
      </c>
      <c r="F149" s="253" t="str">
        <f>VLOOKUP(E149,tblAmericasCountries72[[Country]:[Regions]],2,FALSE)</f>
        <v>MEA</v>
      </c>
      <c r="T149" s="231" t="s">
        <v>4436</v>
      </c>
      <c r="U149" s="232" t="s">
        <v>4231</v>
      </c>
      <c r="AA149"/>
      <c r="AC149" s="70"/>
      <c r="AD149" s="70" t="s">
        <v>3503</v>
      </c>
      <c r="AE149" s="70" t="s">
        <v>3480</v>
      </c>
      <c r="AF149" s="70"/>
      <c r="CJ149" s="103"/>
      <c r="CK149" s="103"/>
    </row>
    <row r="150" spans="5:89" ht="17.899999999999999" customHeight="1">
      <c r="E150" s="254" t="s">
        <v>3622</v>
      </c>
      <c r="F150" s="254" t="str">
        <f>VLOOKUP(E150,tblAmericasCountries72[[Country]:[Regions]],2,FALSE)</f>
        <v>MEA</v>
      </c>
      <c r="T150" s="231" t="s">
        <v>3551</v>
      </c>
      <c r="U150" s="232" t="s">
        <v>3479</v>
      </c>
      <c r="AA150"/>
      <c r="AC150" s="70"/>
      <c r="AD150" s="70" t="s">
        <v>3518</v>
      </c>
      <c r="AE150" s="70" t="s">
        <v>3480</v>
      </c>
      <c r="AF150" s="70"/>
      <c r="CJ150" s="103"/>
      <c r="CK150" s="103"/>
    </row>
    <row r="151" spans="5:89" ht="17.899999999999999" customHeight="1">
      <c r="E151" s="253" t="s">
        <v>3625</v>
      </c>
      <c r="F151" s="253" t="str">
        <f>VLOOKUP(E151,tblAmericasCountries72[[Country]:[Regions]],2,FALSE)</f>
        <v>MEA</v>
      </c>
      <c r="T151" s="231" t="s">
        <v>3517</v>
      </c>
      <c r="U151" s="232" t="s">
        <v>3479</v>
      </c>
      <c r="AA151"/>
      <c r="AC151" s="70"/>
      <c r="AD151" s="70" t="s">
        <v>3525</v>
      </c>
      <c r="AE151" s="70" t="s">
        <v>3480</v>
      </c>
      <c r="AF151" s="70"/>
      <c r="CJ151" s="103"/>
      <c r="CK151" s="103"/>
    </row>
    <row r="152" spans="5:89" ht="17.899999999999999" customHeight="1">
      <c r="E152" s="254" t="s">
        <v>3628</v>
      </c>
      <c r="F152" s="254" t="str">
        <f>VLOOKUP(E152,tblAmericasCountries72[[Country]:[Regions]],2,FALSE)</f>
        <v>MEA</v>
      </c>
      <c r="T152" s="255" t="s">
        <v>3551</v>
      </c>
      <c r="U152" s="232" t="s">
        <v>3479</v>
      </c>
      <c r="AA152"/>
      <c r="AC152" s="70"/>
      <c r="AD152" s="70" t="s">
        <v>3529</v>
      </c>
      <c r="AE152" s="70" t="s">
        <v>3480</v>
      </c>
      <c r="AF152" s="70"/>
      <c r="CJ152" s="103"/>
      <c r="CK152" s="103"/>
    </row>
    <row r="153" spans="5:89" ht="17.899999999999999" customHeight="1">
      <c r="E153" s="253" t="s">
        <v>3565</v>
      </c>
      <c r="F153" s="253" t="str">
        <f>VLOOKUP(E153,tblAmericasCountries72[[Country]:[Regions]],2,FALSE)</f>
        <v>APAC</v>
      </c>
      <c r="T153" s="255" t="s">
        <v>3521</v>
      </c>
      <c r="U153" s="232" t="s">
        <v>3479</v>
      </c>
      <c r="AA153"/>
      <c r="AC153" s="70"/>
      <c r="AD153" s="70" t="s">
        <v>3539</v>
      </c>
      <c r="AE153" s="70" t="s">
        <v>3480</v>
      </c>
      <c r="AF153" s="70"/>
      <c r="CJ153" s="103"/>
      <c r="CK153" s="103"/>
    </row>
    <row r="154" spans="5:89" ht="17.899999999999999" customHeight="1">
      <c r="E154" s="254" t="s">
        <v>3632</v>
      </c>
      <c r="F154" s="254" t="str">
        <f>VLOOKUP(E154,tblAmericasCountries72[[Country]:[Regions]],2,FALSE)</f>
        <v>MEA</v>
      </c>
      <c r="T154" s="255" t="s">
        <v>3602</v>
      </c>
      <c r="U154" s="232" t="s">
        <v>3479</v>
      </c>
      <c r="AA154"/>
      <c r="AC154" s="70"/>
      <c r="AD154" s="70" t="s">
        <v>3543</v>
      </c>
      <c r="AE154" s="70" t="s">
        <v>3480</v>
      </c>
      <c r="AF154" s="70"/>
      <c r="CJ154" s="103"/>
      <c r="CK154" s="103"/>
    </row>
    <row r="155" spans="5:89" ht="17.899999999999999" customHeight="1">
      <c r="E155" s="253" t="s">
        <v>3636</v>
      </c>
      <c r="F155" s="253" t="str">
        <f>VLOOKUP(E155,tblAmericasCountries72[[Country]:[Regions]],2,FALSE)</f>
        <v>MEA</v>
      </c>
      <c r="T155" s="255" t="s">
        <v>3574</v>
      </c>
      <c r="U155" s="232" t="s">
        <v>3479</v>
      </c>
      <c r="AA155"/>
      <c r="AC155" s="70"/>
      <c r="AD155" s="70" t="s">
        <v>3548</v>
      </c>
      <c r="AE155" s="70" t="s">
        <v>3480</v>
      </c>
      <c r="AF155" s="70"/>
      <c r="CJ155" s="103"/>
      <c r="CK155" s="103"/>
    </row>
    <row r="156" spans="5:89" ht="17.899999999999999" customHeight="1">
      <c r="E156" s="254" t="s">
        <v>3569</v>
      </c>
      <c r="F156" s="254" t="str">
        <f>VLOOKUP(E156,tblAmericasCountries72[[Country]:[Regions]],2,FALSE)</f>
        <v>APAC</v>
      </c>
      <c r="T156" s="255" t="s">
        <v>3584</v>
      </c>
      <c r="U156" s="232" t="s">
        <v>3479</v>
      </c>
      <c r="AA156"/>
      <c r="AC156" s="70"/>
      <c r="AD156" s="70" t="s">
        <v>3678</v>
      </c>
      <c r="AE156" s="70" t="s">
        <v>3480</v>
      </c>
      <c r="AF156" s="70"/>
      <c r="CJ156" s="103"/>
      <c r="CK156" s="103"/>
    </row>
    <row r="157" spans="5:89" ht="17.899999999999999" customHeight="1">
      <c r="E157" s="253" t="s">
        <v>3573</v>
      </c>
      <c r="F157" s="253" t="str">
        <f>VLOOKUP(E157,tblAmericasCountries72[[Country]:[Regions]],2,FALSE)</f>
        <v>APAC</v>
      </c>
      <c r="T157" s="255" t="s">
        <v>3593</v>
      </c>
      <c r="U157" s="232" t="s">
        <v>3479</v>
      </c>
      <c r="AA157"/>
      <c r="AC157" s="70"/>
      <c r="AD157" s="70" t="s">
        <v>4433</v>
      </c>
      <c r="AE157" s="70" t="s">
        <v>3480</v>
      </c>
      <c r="AF157" s="70"/>
      <c r="CJ157" s="103"/>
      <c r="CK157" s="103"/>
    </row>
    <row r="158" spans="5:89" ht="17.899999999999999" customHeight="1">
      <c r="E158" s="254" t="s">
        <v>3640</v>
      </c>
      <c r="F158" s="254" t="str">
        <f>VLOOKUP(E158,tblAmericasCountries72[[Country]:[Regions]],2,FALSE)</f>
        <v>MEA</v>
      </c>
      <c r="T158" s="255" t="s">
        <v>3612</v>
      </c>
      <c r="U158" s="232" t="s">
        <v>3479</v>
      </c>
      <c r="AA158"/>
      <c r="AC158" s="70"/>
      <c r="AD158" s="70" t="s">
        <v>3559</v>
      </c>
      <c r="AE158" s="70" t="s">
        <v>3480</v>
      </c>
      <c r="AF158" s="70"/>
      <c r="CJ158" s="103"/>
      <c r="CK158" s="103"/>
    </row>
    <row r="159" spans="5:89" ht="17.899999999999999" customHeight="1">
      <c r="E159" s="253" t="s">
        <v>3643</v>
      </c>
      <c r="F159" s="253" t="str">
        <f>VLOOKUP(E159,tblAmericasCountries72[[Country]:[Regions]],2,FALSE)</f>
        <v>MEA</v>
      </c>
      <c r="T159" s="255" t="s">
        <v>3533</v>
      </c>
      <c r="U159" s="232" t="s">
        <v>3479</v>
      </c>
      <c r="AA159"/>
      <c r="AC159" s="70"/>
      <c r="AD159" s="70" t="s">
        <v>3567</v>
      </c>
      <c r="AE159" s="70" t="s">
        <v>3480</v>
      </c>
      <c r="AF159" s="70"/>
      <c r="CJ159" s="103"/>
      <c r="CK159" s="103"/>
    </row>
    <row r="160" spans="5:89" ht="17.899999999999999" customHeight="1">
      <c r="E160" s="254" t="s">
        <v>3646</v>
      </c>
      <c r="F160" s="254" t="str">
        <f>VLOOKUP(E160,tblAmericasCountries72[[Country]:[Regions]],2,FALSE)</f>
        <v>MEA</v>
      </c>
      <c r="T160" s="255" t="s">
        <v>3547</v>
      </c>
      <c r="U160" s="232" t="s">
        <v>3479</v>
      </c>
      <c r="AA160"/>
      <c r="AC160" s="70"/>
      <c r="AD160" s="70" t="s">
        <v>3575</v>
      </c>
      <c r="AE160" s="70" t="s">
        <v>3480</v>
      </c>
      <c r="AF160" s="70"/>
      <c r="CJ160" s="103"/>
      <c r="CK160" s="103"/>
    </row>
    <row r="161" spans="5:89" ht="17.899999999999999" customHeight="1">
      <c r="E161" s="253" t="s">
        <v>4424</v>
      </c>
      <c r="F161" s="253" t="str">
        <f>VLOOKUP(E161,tblAmericasCountries72[[Country]:[Regions]],2,FALSE)</f>
        <v>APAC</v>
      </c>
      <c r="T161" s="255" t="s">
        <v>3486</v>
      </c>
      <c r="U161" s="232" t="s">
        <v>3479</v>
      </c>
      <c r="AA161"/>
      <c r="AC161" s="70"/>
      <c r="AD161" s="70" t="s">
        <v>4434</v>
      </c>
      <c r="AE161" s="70" t="s">
        <v>3480</v>
      </c>
      <c r="AF161" s="70"/>
      <c r="CJ161" s="103"/>
      <c r="CK161" s="103"/>
    </row>
    <row r="162" spans="5:89" ht="17.899999999999999" customHeight="1">
      <c r="E162" s="254" t="s">
        <v>3578</v>
      </c>
      <c r="F162" s="254" t="str">
        <f>VLOOKUP(E162,tblAmericasCountries72[[Country]:[Regions]],2,FALSE)</f>
        <v>APAC</v>
      </c>
      <c r="T162" s="255" t="s">
        <v>3597</v>
      </c>
      <c r="U162" s="232" t="s">
        <v>3479</v>
      </c>
      <c r="AA162"/>
      <c r="AC162" s="70"/>
      <c r="AD162" s="70" t="s">
        <v>3622</v>
      </c>
      <c r="AE162" s="70" t="s">
        <v>3480</v>
      </c>
      <c r="AF162" s="70"/>
      <c r="CJ162" s="103"/>
      <c r="CK162" s="103"/>
    </row>
    <row r="163" spans="5:89" ht="17.899999999999999" customHeight="1">
      <c r="E163" s="253" t="s">
        <v>3650</v>
      </c>
      <c r="F163" s="253" t="str">
        <f>VLOOKUP(E163,tblAmericasCountries72[[Country]:[Regions]],2,FALSE)</f>
        <v>MEA</v>
      </c>
      <c r="T163" s="255" t="s">
        <v>3493</v>
      </c>
      <c r="U163" s="232" t="s">
        <v>3479</v>
      </c>
      <c r="AA163"/>
      <c r="AC163" s="70"/>
      <c r="AD163" s="70" t="s">
        <v>3643</v>
      </c>
      <c r="AE163" s="70" t="s">
        <v>3480</v>
      </c>
      <c r="AF163" s="70"/>
      <c r="CJ163" s="103"/>
      <c r="CK163" s="103"/>
    </row>
    <row r="164" spans="5:89" ht="17.899999999999999" customHeight="1">
      <c r="E164" s="254" t="s">
        <v>3653</v>
      </c>
      <c r="F164" s="254" t="str">
        <f>VLOOKUP(E164,tblAmericasCountries72[[Country]:[Regions]],2,FALSE)</f>
        <v>MEA</v>
      </c>
      <c r="T164" s="255" t="s">
        <v>3508</v>
      </c>
      <c r="U164" s="232" t="s">
        <v>3479</v>
      </c>
      <c r="AA164"/>
      <c r="AC164" s="70"/>
      <c r="AD164" s="70" t="s">
        <v>3646</v>
      </c>
      <c r="AE164" s="70" t="s">
        <v>3480</v>
      </c>
      <c r="AF164" s="70"/>
      <c r="CJ164" s="103"/>
      <c r="CK164" s="103"/>
    </row>
    <row r="165" spans="5:89" ht="17.899999999999999" customHeight="1">
      <c r="E165" s="253" t="s">
        <v>3583</v>
      </c>
      <c r="F165" s="253" t="str">
        <f>VLOOKUP(E165,tblAmericasCountries72[[Country]:[Regions]],2,FALSE)</f>
        <v>APAC</v>
      </c>
      <c r="T165" s="255" t="s">
        <v>3528</v>
      </c>
      <c r="U165" s="232" t="s">
        <v>3479</v>
      </c>
      <c r="AA165"/>
      <c r="AC165" s="70"/>
      <c r="AD165" s="70" t="s">
        <v>3665</v>
      </c>
      <c r="AE165" s="70" t="s">
        <v>3480</v>
      </c>
      <c r="AF165" s="70"/>
      <c r="CJ165" s="103"/>
      <c r="CK165" s="103"/>
    </row>
    <row r="166" spans="5:89" ht="17.899999999999999" customHeight="1">
      <c r="E166" s="254" t="s">
        <v>3654</v>
      </c>
      <c r="F166" s="254" t="str">
        <f>VLOOKUP(E166,tblAmericasCountries72[[Country]:[Regions]],2,FALSE)</f>
        <v>MEA</v>
      </c>
      <c r="T166" s="255" t="s">
        <v>3675</v>
      </c>
      <c r="U166" s="232" t="s">
        <v>3479</v>
      </c>
      <c r="AA166"/>
      <c r="AC166" s="70"/>
      <c r="AD166" s="70" t="s">
        <v>3667</v>
      </c>
      <c r="AE166" s="70" t="s">
        <v>3480</v>
      </c>
      <c r="AF166" s="70"/>
      <c r="CJ166" s="103"/>
      <c r="CK166" s="103"/>
    </row>
    <row r="167" spans="5:89" ht="17.899999999999999" customHeight="1">
      <c r="E167" s="253" t="s">
        <v>3588</v>
      </c>
      <c r="F167" s="253" t="str">
        <f>VLOOKUP(E167,tblAmericasCountries72[[Country]:[Regions]],2,FALSE)</f>
        <v>APAC</v>
      </c>
      <c r="T167" s="255" t="s">
        <v>3566</v>
      </c>
      <c r="U167" s="232" t="s">
        <v>3479</v>
      </c>
      <c r="AA167"/>
      <c r="AC167" s="70"/>
      <c r="AD167" s="70" t="s">
        <v>3674</v>
      </c>
      <c r="AE167" s="70" t="s">
        <v>3480</v>
      </c>
      <c r="AF167" s="70"/>
      <c r="CJ167" s="103"/>
      <c r="CK167" s="103"/>
    </row>
    <row r="168" spans="5:89" ht="17.899999999999999" customHeight="1">
      <c r="E168" s="254" t="s">
        <v>4423</v>
      </c>
      <c r="F168" s="254" t="str">
        <f>VLOOKUP(E168,tblAmericasCountries72[[Country]:[Regions]],2,FALSE)</f>
        <v>APAC</v>
      </c>
      <c r="T168" s="255" t="s">
        <v>3542</v>
      </c>
      <c r="U168" s="232" t="s">
        <v>3479</v>
      </c>
      <c r="AA168"/>
      <c r="AC168" s="70"/>
      <c r="AD168" s="70" t="s">
        <v>3675</v>
      </c>
      <c r="AE168" s="70" t="s">
        <v>3480</v>
      </c>
      <c r="AF168" s="70"/>
      <c r="CJ168" s="103"/>
      <c r="CK168" s="103"/>
    </row>
    <row r="169" spans="5:89" ht="17.899999999999999" customHeight="1">
      <c r="E169" s="253" t="s">
        <v>3604</v>
      </c>
      <c r="F169" s="253" t="str">
        <f>VLOOKUP(E169,tblAmericasCountries72[[Country]:[Regions]],2,FALSE)</f>
        <v>LACA</v>
      </c>
      <c r="T169" s="255" t="s">
        <v>3524</v>
      </c>
      <c r="U169" s="232" t="s">
        <v>3479</v>
      </c>
      <c r="AA169"/>
      <c r="AC169" s="70"/>
      <c r="AD169" s="70" t="s">
        <v>3685</v>
      </c>
      <c r="AE169" s="70" t="s">
        <v>3480</v>
      </c>
      <c r="AF169" s="70"/>
      <c r="CJ169" s="103"/>
      <c r="CK169" s="103"/>
    </row>
    <row r="170" spans="5:89" ht="17.899999999999999" customHeight="1">
      <c r="E170" s="254" t="s">
        <v>3655</v>
      </c>
      <c r="F170" s="254" t="str">
        <f>VLOOKUP(E170,tblAmericasCountries72[[Country]:[Regions]],2,FALSE)</f>
        <v>MEA</v>
      </c>
      <c r="T170" s="255" t="s">
        <v>3579</v>
      </c>
      <c r="U170" s="232" t="s">
        <v>3479</v>
      </c>
      <c r="AA170"/>
      <c r="AC170" s="70"/>
      <c r="AD170" s="70" t="s">
        <v>3686</v>
      </c>
      <c r="AE170" s="70" t="s">
        <v>3480</v>
      </c>
      <c r="AF170" s="70"/>
      <c r="CJ170" s="103"/>
      <c r="CK170" s="103"/>
    </row>
    <row r="171" spans="5:89" ht="17.899999999999999" customHeight="1">
      <c r="E171" s="253" t="s">
        <v>3656</v>
      </c>
      <c r="F171" s="253" t="str">
        <f>VLOOKUP(E171,tblAmericasCountries72[[Country]:[Regions]],2,FALSE)</f>
        <v>MEA</v>
      </c>
      <c r="T171" s="255" t="s">
        <v>3589</v>
      </c>
      <c r="U171" s="232" t="s">
        <v>3479</v>
      </c>
      <c r="AA171"/>
      <c r="AC171" s="70"/>
      <c r="AD171" s="70" t="s">
        <v>3551</v>
      </c>
      <c r="AE171" s="70" t="s">
        <v>3479</v>
      </c>
      <c r="AF171" s="70"/>
      <c r="CJ171" s="103"/>
      <c r="CK171" s="103"/>
    </row>
    <row r="172" spans="5:89" ht="17.899999999999999" customHeight="1">
      <c r="E172" s="254" t="s">
        <v>3596</v>
      </c>
      <c r="F172" s="254" t="str">
        <f>VLOOKUP(E172,tblAmericasCountries72[[Country]:[Regions]],2,FALSE)</f>
        <v>APAC</v>
      </c>
      <c r="T172" s="255" t="s">
        <v>3513</v>
      </c>
      <c r="U172" s="232" t="s">
        <v>3479</v>
      </c>
      <c r="AA172"/>
      <c r="AC172" s="70"/>
      <c r="AD172" s="70" t="s">
        <v>3517</v>
      </c>
      <c r="AE172" s="70" t="s">
        <v>3479</v>
      </c>
      <c r="AF172" s="70"/>
      <c r="CJ172" s="103"/>
      <c r="CK172" s="103"/>
    </row>
    <row r="173" spans="5:89" ht="17.899999999999999" customHeight="1">
      <c r="E173" s="253" t="s">
        <v>3658</v>
      </c>
      <c r="F173" s="253" t="str">
        <f>VLOOKUP(E173,tblAmericasCountries72[[Country]:[Regions]],2,FALSE)</f>
        <v>MEA</v>
      </c>
      <c r="T173" s="255" t="s">
        <v>3538</v>
      </c>
      <c r="U173" s="232" t="s">
        <v>3479</v>
      </c>
      <c r="AA173"/>
      <c r="AC173" s="70"/>
      <c r="AD173" s="70" t="s">
        <v>3551</v>
      </c>
      <c r="AE173" s="70" t="s">
        <v>3479</v>
      </c>
      <c r="AF173" s="70"/>
      <c r="CJ173" s="103"/>
      <c r="CK173" s="103"/>
    </row>
    <row r="174" spans="5:89" ht="17.899999999999999" customHeight="1">
      <c r="E174" s="254" t="s">
        <v>3659</v>
      </c>
      <c r="F174" s="254" t="str">
        <f>VLOOKUP(E174,tblAmericasCountries72[[Country]:[Regions]],2,FALSE)</f>
        <v>MEA</v>
      </c>
      <c r="T174" s="255" t="s">
        <v>3502</v>
      </c>
      <c r="U174" s="232" t="s">
        <v>3479</v>
      </c>
      <c r="AA174"/>
      <c r="AC174" s="70"/>
      <c r="AD174" s="70" t="s">
        <v>3521</v>
      </c>
      <c r="AE174" s="70" t="s">
        <v>3479</v>
      </c>
      <c r="AF174" s="70"/>
      <c r="CJ174" s="103"/>
      <c r="CK174" s="103"/>
    </row>
    <row r="175" spans="5:89" ht="17.899999999999999" customHeight="1">
      <c r="E175" s="253" t="s">
        <v>3609</v>
      </c>
      <c r="F175" s="253" t="str">
        <f>VLOOKUP(E175,tblAmericasCountries72[[Country]:[Regions]],2,FALSE)</f>
        <v>LACA</v>
      </c>
      <c r="T175" s="255" t="s">
        <v>3570</v>
      </c>
      <c r="U175" s="232" t="s">
        <v>3479</v>
      </c>
      <c r="AA175"/>
      <c r="AC175" s="70"/>
      <c r="AD175" s="70" t="s">
        <v>3602</v>
      </c>
      <c r="AE175" s="70" t="s">
        <v>3479</v>
      </c>
      <c r="AF175" s="70"/>
      <c r="CJ175" s="103"/>
      <c r="CK175" s="103"/>
    </row>
    <row r="176" spans="5:89" ht="17.899999999999999" customHeight="1">
      <c r="E176" s="254" t="s">
        <v>3601</v>
      </c>
      <c r="F176" s="254" t="str">
        <f>VLOOKUP(E176,tblAmericasCountries72[[Country]:[Regions]],2,FALSE)</f>
        <v>APAC</v>
      </c>
      <c r="T176" s="255" t="s">
        <v>3562</v>
      </c>
      <c r="U176" s="232" t="s">
        <v>3479</v>
      </c>
      <c r="AA176"/>
      <c r="AC176" s="70"/>
      <c r="AD176" s="70" t="s">
        <v>3574</v>
      </c>
      <c r="AE176" s="70" t="s">
        <v>3479</v>
      </c>
      <c r="AF176" s="70"/>
      <c r="CJ176" s="103"/>
      <c r="CK176" s="103"/>
    </row>
    <row r="177" spans="5:89" ht="17.899999999999999" customHeight="1">
      <c r="E177" s="253" t="s">
        <v>3614</v>
      </c>
      <c r="F177" s="253" t="str">
        <f>VLOOKUP(E177,tblAmericasCountries72[[Country]:[Regions]],2,FALSE)</f>
        <v>LACA</v>
      </c>
      <c r="T177" s="255" t="s">
        <v>3607</v>
      </c>
      <c r="U177" s="232" t="s">
        <v>3479</v>
      </c>
      <c r="AA177"/>
      <c r="AC177" s="70"/>
      <c r="AD177" s="70" t="s">
        <v>3584</v>
      </c>
      <c r="AE177" s="70" t="s">
        <v>3479</v>
      </c>
      <c r="AF177" s="70"/>
      <c r="CJ177" s="103"/>
      <c r="CK177" s="103"/>
    </row>
    <row r="178" spans="5:89" ht="17.899999999999999" customHeight="1">
      <c r="E178" s="254" t="s">
        <v>3617</v>
      </c>
      <c r="F178" s="254" t="str">
        <f>VLOOKUP(E178,tblAmericasCountries72[[Country]:[Regions]],2,FALSE)</f>
        <v>LACA</v>
      </c>
      <c r="T178" s="255" t="s">
        <v>3558</v>
      </c>
      <c r="U178" s="232" t="s">
        <v>3479</v>
      </c>
      <c r="AA178"/>
      <c r="AC178" s="70"/>
      <c r="AD178" s="70" t="s">
        <v>3593</v>
      </c>
      <c r="AE178" s="70" t="s">
        <v>3479</v>
      </c>
      <c r="AF178" s="70"/>
      <c r="CJ178" s="103"/>
      <c r="CK178" s="103"/>
    </row>
    <row r="179" spans="5:89" ht="17.899999999999999" customHeight="1">
      <c r="E179" s="253" t="s">
        <v>3606</v>
      </c>
      <c r="F179" s="253" t="str">
        <f>VLOOKUP(E179,tblAmericasCountries72[[Country]:[Regions]],2,FALSE)</f>
        <v>APAC</v>
      </c>
      <c r="T179" s="231" t="s">
        <v>4435</v>
      </c>
      <c r="U179" s="232" t="s">
        <v>4432</v>
      </c>
      <c r="AA179"/>
      <c r="AC179" s="70"/>
      <c r="AD179" s="70" t="s">
        <v>3612</v>
      </c>
      <c r="AE179" s="70" t="s">
        <v>3479</v>
      </c>
      <c r="AF179" s="70"/>
      <c r="CJ179" s="103"/>
      <c r="CK179" s="103"/>
    </row>
    <row r="180" spans="5:89" ht="17.899999999999999" customHeight="1">
      <c r="E180" s="254" t="s">
        <v>3660</v>
      </c>
      <c r="F180" s="254" t="str">
        <f>VLOOKUP(E180,tblAmericasCountries72[[Country]:[Regions]],2,FALSE)</f>
        <v>MEA</v>
      </c>
      <c r="T180" s="231" t="s">
        <v>4437</v>
      </c>
      <c r="U180" s="232" t="s">
        <v>3480</v>
      </c>
      <c r="AA180"/>
      <c r="AC180" s="70"/>
      <c r="AD180" s="70" t="s">
        <v>3533</v>
      </c>
      <c r="AE180" s="70" t="s">
        <v>3479</v>
      </c>
      <c r="AF180" s="70"/>
      <c r="CJ180" s="103"/>
      <c r="CK180" s="103"/>
    </row>
    <row r="181" spans="5:89" ht="17.899999999999999" customHeight="1">
      <c r="E181" s="253" t="s">
        <v>3661</v>
      </c>
      <c r="F181" s="253" t="str">
        <f>VLOOKUP(E181,tblAmericasCountries72[[Country]:[Regions]],2,FALSE)</f>
        <v>MEA</v>
      </c>
      <c r="T181" s="70" t="s">
        <v>4292</v>
      </c>
      <c r="U181" s="232" t="s">
        <v>4231</v>
      </c>
      <c r="AA181"/>
      <c r="AC181" s="70"/>
      <c r="AD181" s="70" t="s">
        <v>3547</v>
      </c>
      <c r="AE181" s="70" t="s">
        <v>3479</v>
      </c>
      <c r="AF181" s="70"/>
      <c r="CJ181" s="103"/>
      <c r="CK181" s="103"/>
    </row>
    <row r="182" spans="5:89" ht="17.899999999999999" customHeight="1">
      <c r="E182" s="254" t="s">
        <v>3620</v>
      </c>
      <c r="F182" s="254" t="str">
        <f>VLOOKUP(E182,tblAmericasCountries72[[Country]:[Regions]],2,FALSE)</f>
        <v>LACA</v>
      </c>
      <c r="T182" s="231" t="s">
        <v>4253</v>
      </c>
      <c r="U182" s="232" t="s">
        <v>4231</v>
      </c>
      <c r="AA182"/>
      <c r="AC182" s="70"/>
      <c r="AD182" s="70" t="s">
        <v>3486</v>
      </c>
      <c r="AE182" s="70" t="s">
        <v>3479</v>
      </c>
      <c r="AF182" s="70"/>
      <c r="CJ182" s="103"/>
      <c r="CK182" s="103"/>
    </row>
    <row r="183" spans="5:89" ht="17.899999999999999" customHeight="1">
      <c r="E183" s="253" t="s">
        <v>3623</v>
      </c>
      <c r="F183" s="253" t="str">
        <f>VLOOKUP(E183,tblAmericasCountries72[[Country]:[Regions]],2,FALSE)</f>
        <v>LACA</v>
      </c>
      <c r="T183" s="231" t="s">
        <v>3651</v>
      </c>
      <c r="U183" s="232" t="s">
        <v>4231</v>
      </c>
      <c r="AA183"/>
      <c r="AC183" s="70"/>
      <c r="AD183" s="70" t="s">
        <v>3597</v>
      </c>
      <c r="AE183" s="70" t="s">
        <v>3479</v>
      </c>
      <c r="AF183" s="70"/>
      <c r="CJ183" s="103"/>
      <c r="CK183" s="103"/>
    </row>
    <row r="184" spans="5:89" ht="17.899999999999999" customHeight="1">
      <c r="E184" s="254" t="s">
        <v>3626</v>
      </c>
      <c r="F184" s="254" t="str">
        <f>VLOOKUP(E184,tblAmericasCountries72[[Country]:[Regions]],2,FALSE)</f>
        <v>LACA</v>
      </c>
      <c r="T184" s="231" t="s">
        <v>4438</v>
      </c>
      <c r="U184" s="232" t="s">
        <v>4438</v>
      </c>
      <c r="AA184"/>
      <c r="AC184" s="70"/>
      <c r="AD184" s="70" t="s">
        <v>3493</v>
      </c>
      <c r="AE184" s="70" t="s">
        <v>3479</v>
      </c>
      <c r="AF184" s="70"/>
      <c r="CJ184" s="103"/>
      <c r="CK184" s="103"/>
    </row>
    <row r="185" spans="5:89" ht="17.899999999999999" customHeight="1">
      <c r="E185" s="253" t="s">
        <v>3629</v>
      </c>
      <c r="F185" s="253" t="str">
        <f>VLOOKUP(E185,tblAmericasCountries72[[Country]:[Regions]],2,FALSE)</f>
        <v>LACA</v>
      </c>
      <c r="AA185"/>
      <c r="AC185" s="70"/>
      <c r="AD185" s="70" t="s">
        <v>3508</v>
      </c>
      <c r="AE185" s="70" t="s">
        <v>3479</v>
      </c>
      <c r="AF185" s="70"/>
      <c r="CJ185" s="103"/>
      <c r="CK185" s="103"/>
    </row>
    <row r="186" spans="5:89" ht="17.899999999999999" customHeight="1">
      <c r="E186" s="254" t="s">
        <v>3615</v>
      </c>
      <c r="F186" s="254" t="str">
        <f>VLOOKUP(E186,tblAmericasCountries72[[Country]:[Regions]],2,FALSE)</f>
        <v>APAC</v>
      </c>
      <c r="AA186"/>
      <c r="AC186" s="70"/>
      <c r="AD186" s="70" t="s">
        <v>3528</v>
      </c>
      <c r="AE186" s="70" t="s">
        <v>3479</v>
      </c>
      <c r="AF186" s="70"/>
      <c r="CJ186" s="103"/>
      <c r="CK186" s="103"/>
    </row>
    <row r="187" spans="5:89" ht="17.899999999999999" customHeight="1">
      <c r="E187" s="253" t="s">
        <v>3663</v>
      </c>
      <c r="F187" s="253" t="str">
        <f>VLOOKUP(E187,tblAmericasCountries72[[Country]:[Regions]],2,FALSE)</f>
        <v>MEA</v>
      </c>
      <c r="AA187"/>
      <c r="AC187" s="70"/>
      <c r="AD187" s="70" t="s">
        <v>3675</v>
      </c>
      <c r="AE187" s="70" t="s">
        <v>3479</v>
      </c>
      <c r="AF187" s="70"/>
      <c r="CJ187" s="103"/>
      <c r="CK187" s="103"/>
    </row>
    <row r="188" spans="5:89" ht="17.899999999999999" customHeight="1">
      <c r="E188" s="254" t="s">
        <v>3664</v>
      </c>
      <c r="F188" s="254" t="str">
        <f>VLOOKUP(E188,tblAmericasCountries72[[Country]:[Regions]],2,FALSE)</f>
        <v>MEA</v>
      </c>
      <c r="AA188"/>
      <c r="AC188" s="70"/>
      <c r="AD188" s="70" t="s">
        <v>3566</v>
      </c>
      <c r="AE188" s="70" t="s">
        <v>3479</v>
      </c>
      <c r="AF188" s="70"/>
      <c r="CJ188" s="103"/>
      <c r="CK188" s="103"/>
    </row>
    <row r="189" spans="5:89" ht="17.899999999999999" customHeight="1">
      <c r="E189" s="253" t="s">
        <v>3665</v>
      </c>
      <c r="F189" s="253" t="str">
        <f>VLOOKUP(E189,tblAmericasCountries72[[Country]:[Regions]],2,FALSE)</f>
        <v>MEA</v>
      </c>
      <c r="AA189"/>
      <c r="AC189" s="70"/>
      <c r="AD189" s="70" t="s">
        <v>3542</v>
      </c>
      <c r="AE189" s="70" t="s">
        <v>3479</v>
      </c>
      <c r="AF189" s="70"/>
      <c r="CJ189" s="103"/>
      <c r="CK189" s="103"/>
    </row>
    <row r="190" spans="5:89" ht="17.899999999999999" customHeight="1">
      <c r="E190" s="254" t="s">
        <v>3666</v>
      </c>
      <c r="F190" s="254" t="str">
        <f>VLOOKUP(E190,tblAmericasCountries72[[Country]:[Regions]],2,FALSE)</f>
        <v>MEA</v>
      </c>
      <c r="AA190"/>
      <c r="AC190" s="70"/>
      <c r="AD190" s="70" t="s">
        <v>3524</v>
      </c>
      <c r="AE190" s="70" t="s">
        <v>3479</v>
      </c>
      <c r="AF190" s="70"/>
      <c r="CJ190" s="103"/>
      <c r="CK190" s="103"/>
    </row>
    <row r="191" spans="5:89" ht="17.899999999999999" customHeight="1">
      <c r="E191" s="253" t="s">
        <v>3618</v>
      </c>
      <c r="F191" s="253" t="str">
        <f>VLOOKUP(E191,tblAmericasCountries72[[Country]:[Regions]],2,FALSE)</f>
        <v>APAC</v>
      </c>
      <c r="AA191"/>
      <c r="AC191" s="70"/>
      <c r="AD191" s="70" t="s">
        <v>3579</v>
      </c>
      <c r="AE191" s="70" t="s">
        <v>3479</v>
      </c>
      <c r="AF191" s="70"/>
      <c r="CJ191" s="103"/>
      <c r="CK191" s="103"/>
    </row>
    <row r="192" spans="5:89" ht="17.899999999999999" customHeight="1">
      <c r="E192" s="254" t="s">
        <v>3621</v>
      </c>
      <c r="F192" s="254" t="str">
        <f>VLOOKUP(E192,tblAmericasCountries72[[Country]:[Regions]],2,FALSE)</f>
        <v>APAC</v>
      </c>
      <c r="AA192"/>
      <c r="AC192" s="70"/>
      <c r="AD192" s="70" t="s">
        <v>3589</v>
      </c>
      <c r="AE192" s="70" t="s">
        <v>3479</v>
      </c>
      <c r="AF192" s="70"/>
      <c r="CJ192" s="103"/>
      <c r="CK192" s="103"/>
    </row>
    <row r="193" spans="5:89" ht="17.899999999999999" customHeight="1">
      <c r="E193" s="253" t="s">
        <v>3667</v>
      </c>
      <c r="F193" s="253" t="str">
        <f>VLOOKUP(E193,tblAmericasCountries72[[Country]:[Regions]],2,FALSE)</f>
        <v>MEA</v>
      </c>
      <c r="AA193"/>
      <c r="AC193" s="70"/>
      <c r="AD193" s="70" t="s">
        <v>3513</v>
      </c>
      <c r="AE193" s="70" t="s">
        <v>3479</v>
      </c>
      <c r="AF193" s="70"/>
      <c r="CJ193" s="103"/>
      <c r="CK193" s="103"/>
    </row>
    <row r="194" spans="5:89" ht="17.899999999999999" customHeight="1">
      <c r="E194" s="254" t="s">
        <v>3668</v>
      </c>
      <c r="F194" s="254" t="str">
        <f>VLOOKUP(E194,tblAmericasCountries72[[Country]:[Regions]],2,FALSE)</f>
        <v>MEA</v>
      </c>
      <c r="AA194"/>
      <c r="AC194" s="70"/>
      <c r="AD194" s="70" t="s">
        <v>3538</v>
      </c>
      <c r="AE194" s="70" t="s">
        <v>3479</v>
      </c>
      <c r="AF194" s="70"/>
      <c r="CJ194" s="103"/>
      <c r="CK194" s="103"/>
    </row>
    <row r="195" spans="5:89" ht="17.899999999999999" customHeight="1">
      <c r="E195" s="253" t="s">
        <v>3672</v>
      </c>
      <c r="F195" s="253" t="str">
        <f>VLOOKUP(E195,tblAmericasCountries72[[Country]:[Regions]],2,FALSE)</f>
        <v>MEA</v>
      </c>
      <c r="AA195"/>
      <c r="AC195" s="70"/>
      <c r="AD195" s="70" t="s">
        <v>3502</v>
      </c>
      <c r="AE195" s="70" t="s">
        <v>3479</v>
      </c>
      <c r="AF195" s="70"/>
      <c r="CJ195" s="103"/>
      <c r="CK195" s="103"/>
    </row>
    <row r="196" spans="5:89" ht="17.899999999999999" customHeight="1">
      <c r="E196" s="254" t="s">
        <v>3624</v>
      </c>
      <c r="F196" s="254" t="str">
        <f>VLOOKUP(E196,tblAmericasCountries72[[Country]:[Regions]],2,FALSE)</f>
        <v>APAC</v>
      </c>
      <c r="AA196"/>
      <c r="AC196" s="70"/>
      <c r="AD196" s="70" t="s">
        <v>3570</v>
      </c>
      <c r="AE196" s="70" t="s">
        <v>3479</v>
      </c>
      <c r="AF196" s="70"/>
      <c r="CJ196" s="103"/>
      <c r="CK196" s="103"/>
    </row>
    <row r="197" spans="5:89" ht="17.899999999999999" customHeight="1">
      <c r="E197" s="253" t="s">
        <v>3674</v>
      </c>
      <c r="F197" s="253" t="str">
        <f>VLOOKUP(E197,tblAmericasCountries72[[Country]:[Regions]],2,FALSE)</f>
        <v>MEA</v>
      </c>
      <c r="AA197"/>
      <c r="AC197" s="70"/>
      <c r="AD197" s="70" t="s">
        <v>3562</v>
      </c>
      <c r="AE197" s="70" t="s">
        <v>3479</v>
      </c>
      <c r="AF197" s="70"/>
      <c r="CJ197" s="103"/>
      <c r="CK197" s="103"/>
    </row>
    <row r="198" spans="5:89" ht="17.899999999999999" customHeight="1">
      <c r="E198" s="254" t="s">
        <v>3633</v>
      </c>
      <c r="F198" s="254" t="str">
        <f>VLOOKUP(E198,tblAmericasCountries72[[Country]:[Regions]],2,FALSE)</f>
        <v>LACA</v>
      </c>
      <c r="AA198"/>
      <c r="AC198" s="70"/>
      <c r="AD198" s="70" t="s">
        <v>3607</v>
      </c>
      <c r="AE198" s="70" t="s">
        <v>3479</v>
      </c>
      <c r="AF198" s="70"/>
      <c r="CJ198" s="103"/>
      <c r="CK198" s="103"/>
    </row>
    <row r="199" spans="5:89" ht="17.899999999999999" customHeight="1">
      <c r="E199" s="253" t="s">
        <v>3675</v>
      </c>
      <c r="F199" s="253" t="str">
        <f>VLOOKUP(E199,tblAmericasCountries72[[Country]:[Regions]],2,FALSE)</f>
        <v>MEA</v>
      </c>
      <c r="AA199"/>
      <c r="AC199" s="70"/>
      <c r="AD199" s="70" t="s">
        <v>3558</v>
      </c>
      <c r="AE199" s="70" t="s">
        <v>3479</v>
      </c>
      <c r="AF199" s="70"/>
      <c r="CJ199" s="103"/>
      <c r="CK199" s="103"/>
    </row>
    <row r="200" spans="5:89" ht="17.899999999999999" customHeight="1">
      <c r="E200" s="254" t="s">
        <v>3627</v>
      </c>
      <c r="F200" s="254" t="str">
        <f>VLOOKUP(E200,tblAmericasCountries72[[Country]:[Regions]],2,FALSE)</f>
        <v>APAC</v>
      </c>
      <c r="AA200"/>
      <c r="AC200" s="70"/>
      <c r="AD200" s="70" t="s">
        <v>4435</v>
      </c>
      <c r="AE200" s="70" t="s">
        <v>3478</v>
      </c>
      <c r="AF200" s="70"/>
      <c r="CJ200" s="103"/>
      <c r="CK200" s="103"/>
    </row>
    <row r="201" spans="5:89" ht="17.899999999999999" customHeight="1">
      <c r="E201" s="253" t="s">
        <v>3676</v>
      </c>
      <c r="F201" s="253" t="str">
        <f>VLOOKUP(E201,tblAmericasCountries72[[Country]:[Regions]],2,FALSE)</f>
        <v>MEA</v>
      </c>
      <c r="AA201"/>
      <c r="AC201" s="70"/>
      <c r="AD201" s="70" t="s">
        <v>4437</v>
      </c>
      <c r="AE201" s="70" t="s">
        <v>3480</v>
      </c>
      <c r="AF201" s="70"/>
      <c r="CJ201" s="103"/>
      <c r="CK201" s="103"/>
    </row>
    <row r="202" spans="5:89" ht="17.899999999999999" customHeight="1">
      <c r="E202" s="254" t="s">
        <v>3631</v>
      </c>
      <c r="F202" s="254" t="str">
        <f>VLOOKUP(E202,tblAmericasCountries72[[Country]:[Regions]],2,FALSE)</f>
        <v>APAC</v>
      </c>
      <c r="AA202"/>
      <c r="CJ202" s="103"/>
      <c r="CK202" s="103"/>
    </row>
    <row r="203" spans="5:89" ht="17.899999999999999" customHeight="1">
      <c r="E203" s="253" t="s">
        <v>4426</v>
      </c>
      <c r="F203" s="253" t="str">
        <f>VLOOKUP(E203,tblAmericasCountries72[[Country]:[Regions]],2,FALSE)</f>
        <v>APAC</v>
      </c>
      <c r="AA203"/>
      <c r="CJ203" s="103"/>
      <c r="CK203" s="103"/>
    </row>
    <row r="204" spans="5:89" ht="17.899999999999999" customHeight="1">
      <c r="E204" s="254" t="s">
        <v>3680</v>
      </c>
      <c r="F204" s="254" t="str">
        <f>VLOOKUP(E204,tblAmericasCountries72[[Country]:[Regions]],2,FALSE)</f>
        <v>MEA</v>
      </c>
      <c r="AA204"/>
      <c r="CJ204" s="103"/>
      <c r="CK204" s="103"/>
    </row>
    <row r="205" spans="5:89" ht="17.899999999999999" customHeight="1">
      <c r="E205" s="253" t="s">
        <v>4428</v>
      </c>
      <c r="F205" s="253" t="str">
        <f>VLOOKUP(E205,tblAmericasCountries72[[Country]:[Regions]],2,FALSE)</f>
        <v>APAC</v>
      </c>
      <c r="AA205"/>
      <c r="CJ205" s="103"/>
      <c r="CK205" s="103"/>
    </row>
    <row r="206" spans="5:89" ht="17.899999999999999" customHeight="1">
      <c r="E206" s="254" t="s">
        <v>3637</v>
      </c>
      <c r="F206" s="254" t="str">
        <f>VLOOKUP(E206,tblAmericasCountries72[[Country]:[Regions]],2,FALSE)</f>
        <v>LACA</v>
      </c>
      <c r="AA206"/>
      <c r="CJ206" s="103"/>
      <c r="CK206" s="103"/>
    </row>
    <row r="207" spans="5:89" ht="17.899999999999999" customHeight="1">
      <c r="E207" s="253" t="s">
        <v>3681</v>
      </c>
      <c r="F207" s="253" t="str">
        <f>VLOOKUP(E207,tblAmericasCountries72[[Country]:[Regions]],2,FALSE)</f>
        <v>MEA</v>
      </c>
      <c r="AA207"/>
      <c r="CJ207" s="103"/>
      <c r="CK207" s="103"/>
    </row>
    <row r="208" spans="5:89" ht="17.899999999999999" customHeight="1">
      <c r="E208" s="254" t="s">
        <v>3641</v>
      </c>
      <c r="F208" s="254" t="str">
        <f>VLOOKUP(E208,tblAmericasCountries72[[Country]:[Regions]],2,FALSE)</f>
        <v>LACA</v>
      </c>
      <c r="AA208"/>
      <c r="CJ208" s="103"/>
      <c r="CK208" s="103"/>
    </row>
    <row r="209" spans="5:89" ht="17.899999999999999" customHeight="1">
      <c r="E209" s="253" t="s">
        <v>3682</v>
      </c>
      <c r="F209" s="253" t="str">
        <f>VLOOKUP(E209,tblAmericasCountries72[[Country]:[Regions]],2,FALSE)</f>
        <v>MEA</v>
      </c>
      <c r="AA209"/>
      <c r="CJ209" s="103"/>
      <c r="CK209" s="103"/>
    </row>
    <row r="210" spans="5:89" ht="17.899999999999999" customHeight="1">
      <c r="E210" s="254" t="s">
        <v>3683</v>
      </c>
      <c r="F210" s="254" t="str">
        <f>VLOOKUP(E210,tblAmericasCountries72[[Country]:[Regions]],2,FALSE)</f>
        <v>MEA</v>
      </c>
      <c r="AA210"/>
      <c r="CJ210" s="103"/>
      <c r="CK210" s="103"/>
    </row>
    <row r="211" spans="5:89" ht="17.899999999999999" customHeight="1">
      <c r="E211" s="253" t="s">
        <v>3644</v>
      </c>
      <c r="F211" s="253" t="str">
        <f>VLOOKUP(E211,tblAmericasCountries72[[Country]:[Regions]],2,FALSE)</f>
        <v>LACA</v>
      </c>
      <c r="AA211"/>
      <c r="CJ211" s="103"/>
      <c r="CK211" s="103"/>
    </row>
    <row r="212" spans="5:89" ht="17.899999999999999" customHeight="1">
      <c r="E212" s="254" t="s">
        <v>3645</v>
      </c>
      <c r="F212" s="254" t="str">
        <f>VLOOKUP(E212,tblAmericasCountries72[[Country]:[Regions]],2,FALSE)</f>
        <v>APAC</v>
      </c>
      <c r="AA212"/>
      <c r="CJ212" s="103"/>
      <c r="CK212" s="103"/>
    </row>
    <row r="213" spans="5:89" ht="17.899999999999999" customHeight="1">
      <c r="E213" s="253" t="s">
        <v>3647</v>
      </c>
      <c r="F213" s="253" t="str">
        <f>VLOOKUP(E213,tblAmericasCountries72[[Country]:[Regions]],2,FALSE)</f>
        <v>LACA</v>
      </c>
      <c r="AA213"/>
      <c r="CJ213" s="103"/>
      <c r="CK213" s="103"/>
    </row>
    <row r="214" spans="5:89" ht="17.899999999999999" customHeight="1">
      <c r="E214" s="254" t="s">
        <v>3649</v>
      </c>
      <c r="F214" s="254" t="str">
        <f>VLOOKUP(E214,tblAmericasCountries72[[Country]:[Regions]],2,FALSE)</f>
        <v>APAC</v>
      </c>
      <c r="AA214"/>
      <c r="CJ214" s="103"/>
      <c r="CK214" s="103"/>
    </row>
    <row r="215" spans="5:89" ht="17.899999999999999" customHeight="1">
      <c r="E215" s="253" t="s">
        <v>3684</v>
      </c>
      <c r="F215" s="253" t="str">
        <f>VLOOKUP(E215,tblAmericasCountries72[[Country]:[Regions]],2,FALSE)</f>
        <v>MEA</v>
      </c>
      <c r="AA215"/>
      <c r="CJ215" s="103"/>
      <c r="CK215" s="103"/>
    </row>
    <row r="216" spans="5:89" ht="17.899999999999999" customHeight="1">
      <c r="E216" s="254" t="s">
        <v>3685</v>
      </c>
      <c r="F216" s="254" t="str">
        <f>VLOOKUP(E216,tblAmericasCountries72[[Country]:[Regions]],2,FALSE)</f>
        <v>MEA</v>
      </c>
      <c r="AA216"/>
      <c r="CJ216" s="103"/>
      <c r="CK216" s="103"/>
    </row>
    <row r="217" spans="5:89" ht="17.899999999999999" customHeight="1">
      <c r="E217" s="253" t="s">
        <v>3686</v>
      </c>
      <c r="F217" s="253" t="str">
        <f>VLOOKUP(E217,tblAmericasCountries72[[Country]:[Regions]],2,FALSE)</f>
        <v>MEA</v>
      </c>
      <c r="AA217"/>
      <c r="CJ217" s="103"/>
      <c r="CK217" s="103"/>
    </row>
    <row r="218" spans="5:89" ht="17.899999999999999" customHeight="1">
      <c r="E218" s="254" t="s">
        <v>3551</v>
      </c>
      <c r="F218" s="254" t="str">
        <f>VLOOKUP(E218,tblAmericasCountries72[[Country]:[Regions]],2,FALSE)</f>
        <v>EUCIS</v>
      </c>
      <c r="AA218"/>
      <c r="CJ218" s="103"/>
      <c r="CK218" s="103"/>
    </row>
    <row r="219" spans="5:89" ht="17.899999999999999" customHeight="1">
      <c r="E219" s="253" t="s">
        <v>3517</v>
      </c>
      <c r="F219" s="253" t="str">
        <f>VLOOKUP(E219,tblAmericasCountries72[[Country]:[Regions]],2,FALSE)</f>
        <v>EUCIS</v>
      </c>
      <c r="AA219"/>
      <c r="CJ219" s="103"/>
      <c r="CK219" s="103"/>
    </row>
    <row r="220" spans="5:89" ht="17.899999999999999" customHeight="1">
      <c r="E220" s="254" t="s">
        <v>3551</v>
      </c>
      <c r="F220" s="254" t="str">
        <f>VLOOKUP(E220,tblAmericasCountries72[[Country]:[Regions]],2,FALSE)</f>
        <v>EUCIS</v>
      </c>
      <c r="AA220"/>
      <c r="CJ220" s="103"/>
      <c r="CK220" s="103"/>
    </row>
    <row r="221" spans="5:89" ht="17.899999999999999" customHeight="1">
      <c r="E221" s="253" t="s">
        <v>3521</v>
      </c>
      <c r="F221" s="253" t="str">
        <f>VLOOKUP(E221,tblAmericasCountries72[[Country]:[Regions]],2,FALSE)</f>
        <v>EUCIS</v>
      </c>
      <c r="AA221"/>
      <c r="CJ221" s="103"/>
      <c r="CK221" s="103"/>
    </row>
    <row r="222" spans="5:89" ht="17.899999999999999" customHeight="1">
      <c r="E222" s="254" t="s">
        <v>3602</v>
      </c>
      <c r="F222" s="254" t="str">
        <f>VLOOKUP(E222,tblAmericasCountries72[[Country]:[Regions]],2,FALSE)</f>
        <v>EUCIS</v>
      </c>
      <c r="AA222"/>
      <c r="CJ222" s="103"/>
      <c r="CK222" s="103"/>
    </row>
    <row r="223" spans="5:89" ht="17.899999999999999" customHeight="1">
      <c r="E223" s="253" t="s">
        <v>3574</v>
      </c>
      <c r="F223" s="253" t="str">
        <f>VLOOKUP(E223,tblAmericasCountries72[[Country]:[Regions]],2,FALSE)</f>
        <v>EUCIS</v>
      </c>
      <c r="AA223"/>
      <c r="CJ223" s="103"/>
      <c r="CK223" s="103"/>
    </row>
    <row r="224" spans="5:89" ht="17.899999999999999" customHeight="1">
      <c r="E224" s="254" t="s">
        <v>3584</v>
      </c>
      <c r="F224" s="254" t="str">
        <f>VLOOKUP(E224,tblAmericasCountries72[[Country]:[Regions]],2,FALSE)</f>
        <v>EUCIS</v>
      </c>
      <c r="AA224"/>
      <c r="CJ224" s="103"/>
      <c r="CK224" s="103"/>
    </row>
    <row r="225" spans="5:89" ht="17.899999999999999" customHeight="1">
      <c r="E225" s="253" t="s">
        <v>3593</v>
      </c>
      <c r="F225" s="253" t="str">
        <f>VLOOKUP(E225,tblAmericasCountries72[[Country]:[Regions]],2,FALSE)</f>
        <v>EUCIS</v>
      </c>
      <c r="AA225"/>
      <c r="CJ225" s="103"/>
      <c r="CK225" s="103"/>
    </row>
    <row r="226" spans="5:89" ht="17.899999999999999" customHeight="1">
      <c r="E226" s="254" t="s">
        <v>3612</v>
      </c>
      <c r="F226" s="254" t="str">
        <f>VLOOKUP(E226,tblAmericasCountries72[[Country]:[Regions]],2,FALSE)</f>
        <v>EUCIS</v>
      </c>
      <c r="AA226"/>
      <c r="CJ226" s="103"/>
      <c r="CK226" s="103"/>
    </row>
    <row r="227" spans="5:89" ht="17.899999999999999" customHeight="1">
      <c r="E227" s="253" t="s">
        <v>3533</v>
      </c>
      <c r="F227" s="253" t="str">
        <f>VLOOKUP(E227,tblAmericasCountries72[[Country]:[Regions]],2,FALSE)</f>
        <v>EUCIS</v>
      </c>
      <c r="AA227"/>
      <c r="CJ227" s="103"/>
      <c r="CK227" s="103"/>
    </row>
    <row r="228" spans="5:89" ht="17.899999999999999" customHeight="1">
      <c r="E228" s="254" t="s">
        <v>3547</v>
      </c>
      <c r="F228" s="254" t="str">
        <f>VLOOKUP(E228,tblAmericasCountries72[[Country]:[Regions]],2,FALSE)</f>
        <v>EUCIS</v>
      </c>
      <c r="AA228"/>
      <c r="CJ228" s="103"/>
      <c r="CK228" s="103"/>
    </row>
    <row r="229" spans="5:89" ht="17.899999999999999" customHeight="1">
      <c r="E229" s="253" t="s">
        <v>3486</v>
      </c>
      <c r="F229" s="253" t="str">
        <f>VLOOKUP(E229,tblAmericasCountries72[[Country]:[Regions]],2,FALSE)</f>
        <v>EUCIS</v>
      </c>
      <c r="AA229"/>
      <c r="CJ229" s="103"/>
      <c r="CK229" s="103"/>
    </row>
    <row r="230" spans="5:89" ht="17.899999999999999" customHeight="1">
      <c r="E230" s="254" t="s">
        <v>3597</v>
      </c>
      <c r="F230" s="254" t="str">
        <f>VLOOKUP(E230,tblAmericasCountries72[[Country]:[Regions]],2,FALSE)</f>
        <v>EUCIS</v>
      </c>
      <c r="AA230"/>
      <c r="CJ230" s="103"/>
      <c r="CK230" s="103"/>
    </row>
    <row r="231" spans="5:89" ht="17.899999999999999" customHeight="1">
      <c r="E231" s="253" t="s">
        <v>3493</v>
      </c>
      <c r="F231" s="253" t="str">
        <f>VLOOKUP(E231,tblAmericasCountries72[[Country]:[Regions]],2,FALSE)</f>
        <v>EUCIS</v>
      </c>
      <c r="AA231"/>
      <c r="CJ231" s="103"/>
      <c r="CK231" s="103"/>
    </row>
    <row r="232" spans="5:89" ht="17.899999999999999" customHeight="1">
      <c r="E232" s="254" t="s">
        <v>3508</v>
      </c>
      <c r="F232" s="254" t="str">
        <f>VLOOKUP(E232,tblAmericasCountries72[[Country]:[Regions]],2,FALSE)</f>
        <v>EUCIS</v>
      </c>
      <c r="AA232"/>
    </row>
    <row r="233" spans="5:89" ht="17.899999999999999" customHeight="1">
      <c r="E233" s="253" t="s">
        <v>3528</v>
      </c>
      <c r="F233" s="253" t="str">
        <f>VLOOKUP(E233,tblAmericasCountries72[[Country]:[Regions]],2,FALSE)</f>
        <v>EUCIS</v>
      </c>
      <c r="AA233"/>
    </row>
    <row r="234" spans="5:89" ht="17.899999999999999" customHeight="1">
      <c r="E234" s="254" t="s">
        <v>3675</v>
      </c>
      <c r="F234" s="254" t="str">
        <f>VLOOKUP(E234,tblAmericasCountries72[[Country]:[Regions]],2,FALSE)</f>
        <v>MEA</v>
      </c>
      <c r="AA234"/>
    </row>
    <row r="235" spans="5:89" ht="17.899999999999999" customHeight="1">
      <c r="E235" s="253" t="s">
        <v>3566</v>
      </c>
      <c r="F235" s="253" t="str">
        <f>VLOOKUP(E235,tblAmericasCountries72[[Country]:[Regions]],2,FALSE)</f>
        <v>EUCIS</v>
      </c>
      <c r="AA235"/>
    </row>
    <row r="236" spans="5:89" ht="17.899999999999999" customHeight="1">
      <c r="E236" s="254" t="s">
        <v>3542</v>
      </c>
      <c r="F236" s="254" t="str">
        <f>VLOOKUP(E236,tblAmericasCountries72[[Country]:[Regions]],2,FALSE)</f>
        <v>EUCIS</v>
      </c>
      <c r="AA236"/>
    </row>
    <row r="237" spans="5:89" ht="17.899999999999999" customHeight="1">
      <c r="E237" s="253" t="s">
        <v>3524</v>
      </c>
      <c r="F237" s="253" t="str">
        <f>VLOOKUP(E237,tblAmericasCountries72[[Country]:[Regions]],2,FALSE)</f>
        <v>EUCIS</v>
      </c>
      <c r="AA237"/>
    </row>
    <row r="238" spans="5:89" ht="17.899999999999999" customHeight="1">
      <c r="E238" s="254" t="s">
        <v>3579</v>
      </c>
      <c r="F238" s="254" t="str">
        <f>VLOOKUP(E238,tblAmericasCountries72[[Country]:[Regions]],2,FALSE)</f>
        <v>EUCIS</v>
      </c>
      <c r="AA238"/>
    </row>
    <row r="239" spans="5:89" ht="17.899999999999999" customHeight="1">
      <c r="E239" s="253" t="s">
        <v>3589</v>
      </c>
      <c r="F239" s="253" t="str">
        <f>VLOOKUP(E239,tblAmericasCountries72[[Country]:[Regions]],2,FALSE)</f>
        <v>EUCIS</v>
      </c>
      <c r="AA239"/>
    </row>
    <row r="240" spans="5:89" ht="17.899999999999999" customHeight="1">
      <c r="E240" s="254" t="s">
        <v>3513</v>
      </c>
      <c r="F240" s="254" t="str">
        <f>VLOOKUP(E240,tblAmericasCountries72[[Country]:[Regions]],2,FALSE)</f>
        <v>EUCIS</v>
      </c>
      <c r="AA240"/>
    </row>
    <row r="241" spans="5:27" ht="17.899999999999999" customHeight="1">
      <c r="E241" s="253" t="s">
        <v>3538</v>
      </c>
      <c r="F241" s="253" t="str">
        <f>VLOOKUP(E241,tblAmericasCountries72[[Country]:[Regions]],2,FALSE)</f>
        <v>EUCIS</v>
      </c>
      <c r="AA241"/>
    </row>
    <row r="242" spans="5:27" ht="17.899999999999999" customHeight="1">
      <c r="E242" s="254" t="s">
        <v>3502</v>
      </c>
      <c r="F242" s="254" t="str">
        <f>VLOOKUP(E242,tblAmericasCountries72[[Country]:[Regions]],2,FALSE)</f>
        <v>EUCIS</v>
      </c>
      <c r="AA242"/>
    </row>
    <row r="243" spans="5:27" ht="17.899999999999999" customHeight="1">
      <c r="E243" s="253" t="s">
        <v>3570</v>
      </c>
      <c r="F243" s="253" t="str">
        <f>VLOOKUP(E243,tblAmericasCountries72[[Country]:[Regions]],2,FALSE)</f>
        <v>EUCIS</v>
      </c>
      <c r="AA243"/>
    </row>
    <row r="244" spans="5:27" ht="17.899999999999999" customHeight="1">
      <c r="E244" s="254" t="s">
        <v>3562</v>
      </c>
      <c r="F244" s="254" t="str">
        <f>VLOOKUP(E244,tblAmericasCountries72[[Country]:[Regions]],2,FALSE)</f>
        <v>EUCIS</v>
      </c>
      <c r="AA244"/>
    </row>
    <row r="245" spans="5:27" ht="17.899999999999999" customHeight="1">
      <c r="E245" s="253" t="s">
        <v>3607</v>
      </c>
      <c r="F245" s="253" t="str">
        <f>VLOOKUP(E245,tblAmericasCountries72[[Country]:[Regions]],2,FALSE)</f>
        <v>EUCIS</v>
      </c>
      <c r="AA245"/>
    </row>
    <row r="246" spans="5:27" ht="17.899999999999999" customHeight="1">
      <c r="E246" s="254" t="s">
        <v>3558</v>
      </c>
      <c r="F246" s="254" t="str">
        <f>VLOOKUP(E246,tblAmericasCountries72[[Country]:[Regions]],2,FALSE)</f>
        <v>EUCIS</v>
      </c>
      <c r="AA246"/>
    </row>
    <row r="247" spans="5:27" ht="17.899999999999999" customHeight="1">
      <c r="E247" s="259" t="s">
        <v>4437</v>
      </c>
      <c r="F247" s="259" t="str">
        <f>VLOOKUP(E247,tblAmericasCountries72[[Country]:[Regions]],2,FALSE)</f>
        <v>MEA</v>
      </c>
      <c r="AA247"/>
    </row>
    <row r="248" spans="5:27" ht="17.899999999999999" customHeight="1">
      <c r="E248" t="s">
        <v>3651</v>
      </c>
      <c r="F248" s="254" t="str">
        <f>VLOOKUP(E248,tblAmericasCountries72[[Country]:[Regions]],2,FALSE)</f>
        <v>LACA</v>
      </c>
      <c r="AA248"/>
    </row>
    <row r="249" spans="5:27" ht="17.899999999999999" customHeight="1">
      <c r="AA249"/>
    </row>
    <row r="250" spans="5:27" ht="17.899999999999999" customHeight="1">
      <c r="AA250"/>
    </row>
    <row r="251" spans="5:27" ht="17.899999999999999" customHeight="1">
      <c r="AA251"/>
    </row>
    <row r="252" spans="5:27" ht="17.899999999999999" customHeight="1">
      <c r="AA252"/>
    </row>
    <row r="253" spans="5:27" ht="17.899999999999999" customHeight="1">
      <c r="AA253"/>
    </row>
    <row r="254" spans="5:27" ht="17.899999999999999" customHeight="1">
      <c r="AA254"/>
    </row>
    <row r="255" spans="5:27" ht="17.899999999999999" customHeight="1">
      <c r="AA255"/>
    </row>
    <row r="256" spans="5:27" ht="17.899999999999999" customHeight="1">
      <c r="AA256"/>
    </row>
    <row r="257" spans="27:27" ht="17.899999999999999" customHeight="1">
      <c r="AA257"/>
    </row>
    <row r="258" spans="27:27" ht="17.899999999999999" customHeight="1">
      <c r="AA258"/>
    </row>
    <row r="259" spans="27:27" ht="17.899999999999999" customHeight="1">
      <c r="AA259"/>
    </row>
    <row r="260" spans="27:27" ht="17.899999999999999" customHeight="1">
      <c r="AA260"/>
    </row>
    <row r="261" spans="27:27" ht="17.899999999999999" customHeight="1">
      <c r="AA261"/>
    </row>
    <row r="262" spans="27:27" ht="17.899999999999999" customHeight="1">
      <c r="AA262"/>
    </row>
    <row r="263" spans="27:27" ht="17.899999999999999" customHeight="1">
      <c r="AA263"/>
    </row>
    <row r="264" spans="27:27" ht="17.899999999999999" customHeight="1">
      <c r="AA264"/>
    </row>
    <row r="265" spans="27:27" ht="17.899999999999999" customHeight="1">
      <c r="AA265"/>
    </row>
    <row r="266" spans="27:27" ht="17.899999999999999" customHeight="1">
      <c r="AA266"/>
    </row>
    <row r="267" spans="27:27" ht="17.899999999999999" customHeight="1">
      <c r="AA267"/>
    </row>
    <row r="268" spans="27:27" ht="17.899999999999999" customHeight="1">
      <c r="AA268"/>
    </row>
    <row r="269" spans="27:27" ht="17.899999999999999" customHeight="1">
      <c r="AA269"/>
    </row>
    <row r="270" spans="27:27" ht="17.899999999999999" customHeight="1">
      <c r="AA270"/>
    </row>
    <row r="271" spans="27:27" ht="17.899999999999999" customHeight="1">
      <c r="AA271"/>
    </row>
    <row r="272" spans="27:27" ht="17.899999999999999" customHeight="1">
      <c r="AA272"/>
    </row>
    <row r="273" spans="27:27" ht="17.899999999999999" customHeight="1">
      <c r="AA273"/>
    </row>
    <row r="274" spans="27:27" ht="17.899999999999999" customHeight="1">
      <c r="AA274"/>
    </row>
    <row r="275" spans="27:27" ht="17.899999999999999" customHeight="1">
      <c r="AA275"/>
    </row>
    <row r="276" spans="27:27" ht="17.899999999999999" customHeight="1">
      <c r="AA276"/>
    </row>
    <row r="277" spans="27:27" ht="17.899999999999999" customHeight="1">
      <c r="AA277"/>
    </row>
    <row r="278" spans="27:27" ht="17.899999999999999" customHeight="1">
      <c r="AA278"/>
    </row>
    <row r="279" spans="27:27" ht="17.899999999999999" customHeight="1">
      <c r="AA279"/>
    </row>
    <row r="280" spans="27:27" ht="17.899999999999999" customHeight="1">
      <c r="AA280"/>
    </row>
    <row r="281" spans="27:27" ht="17.899999999999999" customHeight="1">
      <c r="AA281"/>
    </row>
    <row r="282" spans="27:27" ht="17.899999999999999" customHeight="1">
      <c r="AA282"/>
    </row>
    <row r="283" spans="27:27" ht="17.899999999999999" customHeight="1">
      <c r="AA283"/>
    </row>
    <row r="284" spans="27:27" ht="17.899999999999999" customHeight="1">
      <c r="AA284"/>
    </row>
    <row r="285" spans="27:27" ht="17.899999999999999" customHeight="1">
      <c r="AA285"/>
    </row>
    <row r="286" spans="27:27" ht="17.899999999999999" customHeight="1">
      <c r="AA286"/>
    </row>
    <row r="287" spans="27:27" ht="17.899999999999999" customHeight="1">
      <c r="AA287"/>
    </row>
    <row r="288" spans="27:27" ht="17.899999999999999" customHeight="1">
      <c r="AA288"/>
    </row>
    <row r="289" spans="27:27" ht="17.899999999999999" customHeight="1">
      <c r="AA289"/>
    </row>
    <row r="290" spans="27:27" ht="17.899999999999999" customHeight="1">
      <c r="AA290"/>
    </row>
    <row r="291" spans="27:27" ht="17.899999999999999" customHeight="1">
      <c r="AA291"/>
    </row>
    <row r="292" spans="27:27" ht="17.899999999999999" customHeight="1">
      <c r="AA292"/>
    </row>
    <row r="293" spans="27:27" ht="17.899999999999999" customHeight="1">
      <c r="AA293"/>
    </row>
    <row r="294" spans="27:27" ht="17.899999999999999" customHeight="1">
      <c r="AA294"/>
    </row>
    <row r="295" spans="27:27" ht="17.899999999999999" customHeight="1">
      <c r="AA295"/>
    </row>
    <row r="296" spans="27:27" ht="17.899999999999999" customHeight="1">
      <c r="AA296"/>
    </row>
    <row r="297" spans="27:27" ht="17.899999999999999" customHeight="1">
      <c r="AA297"/>
    </row>
    <row r="298" spans="27:27" ht="17.899999999999999" customHeight="1">
      <c r="AA298"/>
    </row>
    <row r="299" spans="27:27" ht="17.899999999999999" customHeight="1">
      <c r="AA299"/>
    </row>
    <row r="300" spans="27:27" ht="17.899999999999999" customHeight="1">
      <c r="AA300"/>
    </row>
    <row r="301" spans="27:27" ht="17.899999999999999" customHeight="1">
      <c r="AA301"/>
    </row>
    <row r="302" spans="27:27" ht="17.899999999999999" customHeight="1">
      <c r="AA302"/>
    </row>
    <row r="303" spans="27:27" ht="17.899999999999999" customHeight="1">
      <c r="AA303"/>
    </row>
    <row r="304" spans="27:27" ht="17.899999999999999" customHeight="1">
      <c r="AA304"/>
    </row>
    <row r="305" spans="27:27" ht="17.899999999999999" customHeight="1">
      <c r="AA305"/>
    </row>
    <row r="306" spans="27:27" ht="17.899999999999999" customHeight="1">
      <c r="AA306"/>
    </row>
    <row r="307" spans="27:27" ht="17.899999999999999" customHeight="1">
      <c r="AA307"/>
    </row>
    <row r="308" spans="27:27" ht="17.899999999999999" customHeight="1">
      <c r="AA308"/>
    </row>
    <row r="309" spans="27:27" ht="17.899999999999999" customHeight="1">
      <c r="AA309"/>
    </row>
    <row r="310" spans="27:27" ht="17.899999999999999" customHeight="1">
      <c r="AA310"/>
    </row>
    <row r="311" spans="27:27" ht="17.899999999999999" customHeight="1">
      <c r="AA311"/>
    </row>
    <row r="312" spans="27:27" ht="17.899999999999999" customHeight="1">
      <c r="AA312"/>
    </row>
    <row r="313" spans="27:27" ht="17.899999999999999" customHeight="1">
      <c r="AA313"/>
    </row>
    <row r="314" spans="27:27" ht="17.899999999999999" customHeight="1">
      <c r="AA314"/>
    </row>
    <row r="315" spans="27:27" ht="17.899999999999999" customHeight="1">
      <c r="AA315"/>
    </row>
    <row r="316" spans="27:27" ht="17.899999999999999" customHeight="1">
      <c r="AA316"/>
    </row>
    <row r="317" spans="27:27" ht="17.899999999999999" customHeight="1">
      <c r="AA317"/>
    </row>
    <row r="318" spans="27:27" ht="17.899999999999999" customHeight="1">
      <c r="AA318"/>
    </row>
    <row r="319" spans="27:27" ht="17.899999999999999" customHeight="1">
      <c r="AA319"/>
    </row>
    <row r="320" spans="27:27" ht="17.899999999999999" customHeight="1">
      <c r="AA320"/>
    </row>
    <row r="321" spans="27:27" ht="17.899999999999999" customHeight="1">
      <c r="AA321"/>
    </row>
    <row r="322" spans="27:27" ht="17.899999999999999" customHeight="1">
      <c r="AA322"/>
    </row>
    <row r="323" spans="27:27" ht="17.899999999999999" customHeight="1">
      <c r="AA323"/>
    </row>
    <row r="324" spans="27:27" ht="17.899999999999999" customHeight="1">
      <c r="AA324"/>
    </row>
    <row r="325" spans="27:27" ht="17.899999999999999" customHeight="1">
      <c r="AA325"/>
    </row>
    <row r="326" spans="27:27" ht="17.899999999999999" customHeight="1">
      <c r="AA326"/>
    </row>
    <row r="327" spans="27:27" ht="17.899999999999999" customHeight="1">
      <c r="AA327"/>
    </row>
    <row r="328" spans="27:27" ht="17.899999999999999" customHeight="1">
      <c r="AA328"/>
    </row>
    <row r="329" spans="27:27" ht="17.899999999999999" customHeight="1">
      <c r="AA329"/>
    </row>
    <row r="330" spans="27:27" ht="17.899999999999999" customHeight="1">
      <c r="AA330"/>
    </row>
    <row r="331" spans="27:27" ht="17.899999999999999" customHeight="1">
      <c r="AA331"/>
    </row>
    <row r="332" spans="27:27" ht="17.899999999999999" customHeight="1">
      <c r="AA332"/>
    </row>
    <row r="333" spans="27:27" ht="17.899999999999999" customHeight="1">
      <c r="AA333"/>
    </row>
    <row r="334" spans="27:27" ht="17.899999999999999" customHeight="1">
      <c r="AA334"/>
    </row>
    <row r="335" spans="27:27" ht="17.899999999999999" customHeight="1">
      <c r="AA335"/>
    </row>
    <row r="336" spans="27:27" ht="17.899999999999999" customHeight="1">
      <c r="AA336"/>
    </row>
    <row r="337" spans="27:27" ht="17.899999999999999" customHeight="1">
      <c r="AA337"/>
    </row>
    <row r="338" spans="27:27" ht="17.899999999999999" customHeight="1">
      <c r="AA338"/>
    </row>
    <row r="339" spans="27:27" ht="17.899999999999999" customHeight="1">
      <c r="AA339"/>
    </row>
    <row r="340" spans="27:27" ht="17.899999999999999" customHeight="1">
      <c r="AA340"/>
    </row>
    <row r="341" spans="27:27" ht="17.899999999999999" customHeight="1">
      <c r="AA341"/>
    </row>
    <row r="342" spans="27:27" ht="17.899999999999999" customHeight="1">
      <c r="AA342"/>
    </row>
    <row r="343" spans="27:27" ht="17.899999999999999" customHeight="1">
      <c r="AA343"/>
    </row>
    <row r="344" spans="27:27" ht="17.899999999999999" customHeight="1">
      <c r="AA344"/>
    </row>
    <row r="345" spans="27:27" ht="17.899999999999999" customHeight="1">
      <c r="AA345"/>
    </row>
    <row r="346" spans="27:27" ht="17.899999999999999" customHeight="1">
      <c r="AA346"/>
    </row>
    <row r="347" spans="27:27" ht="17.899999999999999" customHeight="1">
      <c r="AA347"/>
    </row>
    <row r="348" spans="27:27" ht="17.899999999999999" customHeight="1">
      <c r="AA348"/>
    </row>
    <row r="349" spans="27:27" ht="17.899999999999999" customHeight="1">
      <c r="AA349"/>
    </row>
    <row r="350" spans="27:27" ht="17.899999999999999" customHeight="1">
      <c r="AA350"/>
    </row>
    <row r="351" spans="27:27" ht="17.899999999999999" customHeight="1">
      <c r="AA351"/>
    </row>
    <row r="352" spans="27:27" ht="17.899999999999999" customHeight="1">
      <c r="AA352"/>
    </row>
    <row r="353" spans="27:27" ht="17.899999999999999" customHeight="1">
      <c r="AA353"/>
    </row>
    <row r="354" spans="27:27" ht="17.899999999999999" customHeight="1">
      <c r="AA354"/>
    </row>
    <row r="355" spans="27:27" ht="17.899999999999999" customHeight="1">
      <c r="AA355"/>
    </row>
    <row r="356" spans="27:27" ht="17.899999999999999" customHeight="1">
      <c r="AA356"/>
    </row>
    <row r="357" spans="27:27" ht="17.899999999999999" customHeight="1">
      <c r="AA357"/>
    </row>
    <row r="358" spans="27:27" ht="17.899999999999999" customHeight="1">
      <c r="AA358"/>
    </row>
    <row r="359" spans="27:27" ht="17.899999999999999" customHeight="1">
      <c r="AA359"/>
    </row>
    <row r="360" spans="27:27" ht="17.899999999999999" customHeight="1">
      <c r="AA360"/>
    </row>
    <row r="361" spans="27:27" ht="17.899999999999999" customHeight="1">
      <c r="AA361"/>
    </row>
    <row r="362" spans="27:27" ht="17.899999999999999" customHeight="1">
      <c r="AA362"/>
    </row>
    <row r="363" spans="27:27" ht="17.899999999999999" customHeight="1">
      <c r="AA363"/>
    </row>
    <row r="364" spans="27:27" ht="17.899999999999999" customHeight="1">
      <c r="AA364"/>
    </row>
    <row r="365" spans="27:27" ht="17.899999999999999" customHeight="1">
      <c r="AA365"/>
    </row>
    <row r="366" spans="27:27" ht="17.899999999999999" customHeight="1">
      <c r="AA366"/>
    </row>
    <row r="367" spans="27:27" ht="17.899999999999999" customHeight="1">
      <c r="AA367"/>
    </row>
    <row r="368" spans="27:27" ht="17.899999999999999" customHeight="1">
      <c r="AA368"/>
    </row>
    <row r="369" spans="27:27" ht="17.899999999999999" customHeight="1">
      <c r="AA369"/>
    </row>
    <row r="370" spans="27:27" ht="17.899999999999999" customHeight="1">
      <c r="AA370"/>
    </row>
    <row r="371" spans="27:27" ht="17.899999999999999" customHeight="1">
      <c r="AA371"/>
    </row>
    <row r="372" spans="27:27" ht="17.899999999999999" customHeight="1">
      <c r="AA372"/>
    </row>
    <row r="373" spans="27:27" ht="17.899999999999999" customHeight="1">
      <c r="AA373"/>
    </row>
    <row r="374" spans="27:27" ht="17.899999999999999" customHeight="1">
      <c r="AA374"/>
    </row>
    <row r="375" spans="27:27" ht="17.899999999999999" customHeight="1">
      <c r="AA375"/>
    </row>
    <row r="376" spans="27:27" ht="17.899999999999999" customHeight="1">
      <c r="AA376"/>
    </row>
    <row r="377" spans="27:27" ht="17.899999999999999" customHeight="1">
      <c r="AA377"/>
    </row>
    <row r="378" spans="27:27" ht="17.899999999999999" customHeight="1">
      <c r="AA378"/>
    </row>
    <row r="379" spans="27:27" ht="17.899999999999999" customHeight="1">
      <c r="AA379"/>
    </row>
    <row r="380" spans="27:27" ht="17.899999999999999" customHeight="1">
      <c r="AA380"/>
    </row>
    <row r="381" spans="27:27" ht="17.899999999999999" customHeight="1">
      <c r="AA381"/>
    </row>
    <row r="382" spans="27:27" ht="17.899999999999999" customHeight="1">
      <c r="AA382"/>
    </row>
    <row r="383" spans="27:27" ht="17.899999999999999" customHeight="1">
      <c r="AA383"/>
    </row>
    <row r="384" spans="27:27" ht="17.899999999999999" customHeight="1">
      <c r="AA384"/>
    </row>
    <row r="385" spans="27:27" ht="17.899999999999999" customHeight="1">
      <c r="AA385"/>
    </row>
    <row r="386" spans="27:27" ht="17.899999999999999" customHeight="1">
      <c r="AA386"/>
    </row>
    <row r="387" spans="27:27" ht="17.899999999999999" customHeight="1">
      <c r="AA387"/>
    </row>
    <row r="388" spans="27:27" ht="17.899999999999999" customHeight="1">
      <c r="AA388"/>
    </row>
    <row r="389" spans="27:27" ht="17.899999999999999" customHeight="1">
      <c r="AA389"/>
    </row>
    <row r="390" spans="27:27" ht="17.899999999999999" customHeight="1">
      <c r="AA390"/>
    </row>
    <row r="391" spans="27:27" ht="17.899999999999999" customHeight="1">
      <c r="AA391"/>
    </row>
    <row r="392" spans="27:27" ht="17.899999999999999" customHeight="1">
      <c r="AA392"/>
    </row>
    <row r="393" spans="27:27" ht="17.899999999999999" customHeight="1">
      <c r="AA393"/>
    </row>
    <row r="394" spans="27:27" ht="17.899999999999999" customHeight="1">
      <c r="AA394"/>
    </row>
    <row r="395" spans="27:27" ht="17.899999999999999" customHeight="1">
      <c r="AA395"/>
    </row>
    <row r="396" spans="27:27" ht="17.899999999999999" customHeight="1">
      <c r="AA396"/>
    </row>
    <row r="397" spans="27:27" ht="17.899999999999999" customHeight="1">
      <c r="AA397"/>
    </row>
    <row r="398" spans="27:27" ht="17.899999999999999" customHeight="1">
      <c r="AA398"/>
    </row>
    <row r="399" spans="27:27" ht="17.899999999999999" customHeight="1">
      <c r="AA399"/>
    </row>
    <row r="400" spans="27:27" ht="17.899999999999999" customHeight="1">
      <c r="AA400"/>
    </row>
    <row r="401" spans="27:27" ht="17.899999999999999" customHeight="1">
      <c r="AA401"/>
    </row>
    <row r="402" spans="27:27" ht="17.899999999999999" customHeight="1">
      <c r="AA402"/>
    </row>
    <row r="403" spans="27:27" ht="17.899999999999999" customHeight="1">
      <c r="AA403"/>
    </row>
    <row r="404" spans="27:27" ht="17.899999999999999" customHeight="1">
      <c r="AA404"/>
    </row>
    <row r="405" spans="27:27" ht="17.899999999999999" customHeight="1">
      <c r="AA405"/>
    </row>
    <row r="406" spans="27:27" ht="17.899999999999999" customHeight="1">
      <c r="AA406"/>
    </row>
    <row r="407" spans="27:27" ht="17.899999999999999" customHeight="1">
      <c r="AA407"/>
    </row>
    <row r="408" spans="27:27" ht="17.899999999999999" customHeight="1">
      <c r="AA408"/>
    </row>
    <row r="409" spans="27:27" ht="17.899999999999999" customHeight="1">
      <c r="AA409"/>
    </row>
    <row r="410" spans="27:27" ht="17.899999999999999" customHeight="1">
      <c r="AA410"/>
    </row>
    <row r="411" spans="27:27" ht="17.899999999999999" customHeight="1">
      <c r="AA411"/>
    </row>
    <row r="412" spans="27:27" ht="17.899999999999999" customHeight="1">
      <c r="AA412"/>
    </row>
    <row r="413" spans="27:27" ht="17.899999999999999" customHeight="1">
      <c r="AA413"/>
    </row>
    <row r="414" spans="27:27" ht="17.899999999999999" customHeight="1">
      <c r="AA414"/>
    </row>
    <row r="415" spans="27:27" ht="17.899999999999999" customHeight="1">
      <c r="AA415"/>
    </row>
    <row r="416" spans="27:27" ht="17.899999999999999" customHeight="1">
      <c r="AA416"/>
    </row>
    <row r="417" spans="27:27" ht="17.899999999999999" customHeight="1">
      <c r="AA417"/>
    </row>
    <row r="418" spans="27:27" ht="17.899999999999999" customHeight="1">
      <c r="AA418"/>
    </row>
    <row r="419" spans="27:27" ht="17.899999999999999" customHeight="1">
      <c r="AA419"/>
    </row>
    <row r="420" spans="27:27" ht="17.899999999999999" customHeight="1">
      <c r="AA420"/>
    </row>
    <row r="421" spans="27:27" ht="17.899999999999999" customHeight="1">
      <c r="AA421"/>
    </row>
    <row r="422" spans="27:27" ht="17.899999999999999" customHeight="1">
      <c r="AA422"/>
    </row>
    <row r="423" spans="27:27" ht="17.899999999999999" customHeight="1">
      <c r="AA423"/>
    </row>
    <row r="424" spans="27:27" ht="17.899999999999999" customHeight="1">
      <c r="AA424"/>
    </row>
    <row r="425" spans="27:27" ht="17.899999999999999" customHeight="1">
      <c r="AA425"/>
    </row>
    <row r="426" spans="27:27" ht="17.899999999999999" customHeight="1">
      <c r="AA426"/>
    </row>
    <row r="427" spans="27:27" ht="17.899999999999999" customHeight="1">
      <c r="AA427"/>
    </row>
    <row r="428" spans="27:27" ht="17.899999999999999" customHeight="1">
      <c r="AA428"/>
    </row>
    <row r="429" spans="27:27" ht="17.899999999999999" customHeight="1">
      <c r="AA429"/>
    </row>
    <row r="430" spans="27:27" ht="17.899999999999999" customHeight="1">
      <c r="AA430"/>
    </row>
    <row r="431" spans="27:27" ht="17.899999999999999" customHeight="1">
      <c r="AA431"/>
    </row>
    <row r="432" spans="27:27" ht="17.899999999999999" customHeight="1">
      <c r="AA432"/>
    </row>
    <row r="433" spans="27:27" ht="17.899999999999999" customHeight="1">
      <c r="AA433"/>
    </row>
    <row r="434" spans="27:27" ht="17.899999999999999" customHeight="1">
      <c r="AA434"/>
    </row>
    <row r="435" spans="27:27" ht="17.899999999999999" customHeight="1">
      <c r="AA435"/>
    </row>
    <row r="436" spans="27:27" ht="17.899999999999999" customHeight="1">
      <c r="AA436"/>
    </row>
    <row r="437" spans="27:27" ht="17.899999999999999" customHeight="1">
      <c r="AA437"/>
    </row>
    <row r="438" spans="27:27" ht="17.899999999999999" customHeight="1">
      <c r="AA438"/>
    </row>
    <row r="439" spans="27:27" ht="17.899999999999999" customHeight="1">
      <c r="AA439"/>
    </row>
    <row r="440" spans="27:27" ht="17.899999999999999" customHeight="1">
      <c r="AA440"/>
    </row>
    <row r="441" spans="27:27" ht="17.899999999999999" customHeight="1">
      <c r="AA441"/>
    </row>
    <row r="442" spans="27:27" ht="17.899999999999999" customHeight="1">
      <c r="AA442"/>
    </row>
    <row r="443" spans="27:27" ht="17.899999999999999" customHeight="1">
      <c r="AA443"/>
    </row>
    <row r="444" spans="27:27" ht="17.899999999999999" customHeight="1">
      <c r="AA444"/>
    </row>
    <row r="445" spans="27:27" ht="17.899999999999999" customHeight="1">
      <c r="AA445"/>
    </row>
    <row r="446" spans="27:27" ht="17.899999999999999" customHeight="1">
      <c r="AA446"/>
    </row>
    <row r="447" spans="27:27" ht="17.899999999999999" customHeight="1">
      <c r="AA447"/>
    </row>
    <row r="448" spans="27:27" ht="17.899999999999999" customHeight="1">
      <c r="AA448"/>
    </row>
    <row r="449" spans="27:27" ht="17.899999999999999" customHeight="1">
      <c r="AA449"/>
    </row>
    <row r="450" spans="27:27" ht="17.899999999999999" customHeight="1">
      <c r="AA450"/>
    </row>
    <row r="451" spans="27:27" ht="17.899999999999999" customHeight="1">
      <c r="AA451"/>
    </row>
    <row r="452" spans="27:27" ht="17.899999999999999" customHeight="1">
      <c r="AA452"/>
    </row>
    <row r="453" spans="27:27" ht="17.899999999999999" customHeight="1">
      <c r="AA453"/>
    </row>
    <row r="454" spans="27:27" ht="17.899999999999999" customHeight="1">
      <c r="AA454"/>
    </row>
    <row r="455" spans="27:27" ht="17.899999999999999" customHeight="1">
      <c r="AA455"/>
    </row>
    <row r="456" spans="27:27" ht="17.899999999999999" customHeight="1">
      <c r="AA456"/>
    </row>
    <row r="457" spans="27:27" ht="17.899999999999999" customHeight="1">
      <c r="AA457"/>
    </row>
    <row r="458" spans="27:27" ht="17.899999999999999" customHeight="1">
      <c r="AA458"/>
    </row>
    <row r="459" spans="27:27" ht="17.899999999999999" customHeight="1">
      <c r="AA459"/>
    </row>
    <row r="460" spans="27:27" ht="17.899999999999999" customHeight="1">
      <c r="AA460"/>
    </row>
    <row r="461" spans="27:27" ht="17.899999999999999" customHeight="1">
      <c r="AA461"/>
    </row>
    <row r="462" spans="27:27" ht="17.899999999999999" customHeight="1">
      <c r="AA462"/>
    </row>
    <row r="463" spans="27:27" ht="17.899999999999999" customHeight="1">
      <c r="AA463"/>
    </row>
    <row r="464" spans="27:27" ht="17.899999999999999" customHeight="1">
      <c r="AA464"/>
    </row>
    <row r="465" spans="27:27" ht="17.899999999999999" customHeight="1">
      <c r="AA465"/>
    </row>
    <row r="466" spans="27:27" ht="17.899999999999999" customHeight="1">
      <c r="AA466"/>
    </row>
    <row r="467" spans="27:27" ht="17.899999999999999" customHeight="1">
      <c r="AA467"/>
    </row>
    <row r="468" spans="27:27" ht="17.899999999999999" customHeight="1">
      <c r="AA468"/>
    </row>
    <row r="469" spans="27:27" ht="17.899999999999999" customHeight="1">
      <c r="AA469"/>
    </row>
    <row r="470" spans="27:27" ht="17.899999999999999" customHeight="1">
      <c r="AA470"/>
    </row>
    <row r="471" spans="27:27" ht="17.899999999999999" customHeight="1">
      <c r="AA471"/>
    </row>
    <row r="472" spans="27:27" ht="17.899999999999999" customHeight="1">
      <c r="AA472"/>
    </row>
    <row r="473" spans="27:27" ht="17.899999999999999" customHeight="1">
      <c r="AA473"/>
    </row>
    <row r="474" spans="27:27" ht="17.899999999999999" customHeight="1">
      <c r="AA474"/>
    </row>
    <row r="475" spans="27:27" ht="17.899999999999999" customHeight="1">
      <c r="AA475"/>
    </row>
    <row r="476" spans="27:27" ht="17.899999999999999" customHeight="1">
      <c r="AA476"/>
    </row>
    <row r="477" spans="27:27" ht="17.899999999999999" customHeight="1">
      <c r="AA477"/>
    </row>
    <row r="478" spans="27:27" ht="17.899999999999999" customHeight="1">
      <c r="AA478"/>
    </row>
    <row r="479" spans="27:27" ht="17.899999999999999" customHeight="1">
      <c r="AA479"/>
    </row>
    <row r="480" spans="27:27" ht="17.899999999999999" customHeight="1">
      <c r="AA480"/>
    </row>
    <row r="481" spans="27:27" ht="17.899999999999999" customHeight="1">
      <c r="AA481"/>
    </row>
    <row r="482" spans="27:27" ht="17.899999999999999" customHeight="1">
      <c r="AA482"/>
    </row>
    <row r="483" spans="27:27" ht="17.899999999999999" customHeight="1">
      <c r="AA483"/>
    </row>
    <row r="484" spans="27:27" ht="17.899999999999999" customHeight="1">
      <c r="AA484"/>
    </row>
    <row r="485" spans="27:27" ht="17.899999999999999" customHeight="1">
      <c r="AA485"/>
    </row>
    <row r="486" spans="27:27" ht="17.899999999999999" customHeight="1">
      <c r="AA486"/>
    </row>
    <row r="487" spans="27:27" ht="17.899999999999999" customHeight="1">
      <c r="AA487"/>
    </row>
    <row r="488" spans="27:27" ht="17.899999999999999" customHeight="1">
      <c r="AA488"/>
    </row>
    <row r="489" spans="27:27" ht="17.899999999999999" customHeight="1">
      <c r="AA489"/>
    </row>
    <row r="490" spans="27:27" ht="17.899999999999999" customHeight="1">
      <c r="AA490"/>
    </row>
    <row r="491" spans="27:27" ht="17.899999999999999" customHeight="1">
      <c r="AA491"/>
    </row>
    <row r="492" spans="27:27" ht="17.899999999999999" customHeight="1">
      <c r="AA492"/>
    </row>
    <row r="493" spans="27:27" ht="17.899999999999999" customHeight="1">
      <c r="AA493"/>
    </row>
    <row r="494" spans="27:27" ht="17.899999999999999" customHeight="1">
      <c r="AA494"/>
    </row>
    <row r="495" spans="27:27" ht="17.899999999999999" customHeight="1">
      <c r="AA495"/>
    </row>
    <row r="496" spans="27:27" ht="17.899999999999999" customHeight="1">
      <c r="AA496"/>
    </row>
    <row r="497" spans="27:27" ht="17.899999999999999" customHeight="1">
      <c r="AA497"/>
    </row>
    <row r="498" spans="27:27" ht="17.899999999999999" customHeight="1">
      <c r="AA498"/>
    </row>
    <row r="499" spans="27:27" ht="17.899999999999999" customHeight="1">
      <c r="AA499"/>
    </row>
    <row r="500" spans="27:27" ht="17.899999999999999" customHeight="1">
      <c r="AA500"/>
    </row>
    <row r="501" spans="27:27" ht="17.899999999999999" customHeight="1">
      <c r="AA501"/>
    </row>
    <row r="502" spans="27:27" ht="17.899999999999999" customHeight="1">
      <c r="AA502"/>
    </row>
    <row r="503" spans="27:27" ht="17.899999999999999" customHeight="1">
      <c r="AA503"/>
    </row>
    <row r="504" spans="27:27" ht="17.899999999999999" customHeight="1">
      <c r="AA504"/>
    </row>
    <row r="505" spans="27:27" ht="17.899999999999999" customHeight="1">
      <c r="AA505"/>
    </row>
    <row r="506" spans="27:27" ht="17.899999999999999" customHeight="1">
      <c r="AA506"/>
    </row>
    <row r="507" spans="27:27" ht="17.899999999999999" customHeight="1">
      <c r="AA507"/>
    </row>
    <row r="508" spans="27:27" ht="17.899999999999999" customHeight="1">
      <c r="AA508"/>
    </row>
    <row r="509" spans="27:27" ht="17.899999999999999" customHeight="1">
      <c r="AA509"/>
    </row>
    <row r="510" spans="27:27" ht="17.899999999999999" customHeight="1">
      <c r="AA510"/>
    </row>
    <row r="511" spans="27:27" ht="17.899999999999999" customHeight="1">
      <c r="AA511"/>
    </row>
    <row r="512" spans="27:27" ht="17.899999999999999" customHeight="1">
      <c r="AA512"/>
    </row>
    <row r="513" spans="27:27" ht="17.899999999999999" customHeight="1">
      <c r="AA513"/>
    </row>
    <row r="514" spans="27:27" ht="17.899999999999999" customHeight="1">
      <c r="AA514"/>
    </row>
    <row r="515" spans="27:27" ht="17.899999999999999" customHeight="1">
      <c r="AA515"/>
    </row>
    <row r="516" spans="27:27" ht="17.899999999999999" customHeight="1">
      <c r="AA516"/>
    </row>
    <row r="517" spans="27:27" ht="17.899999999999999" customHeight="1">
      <c r="AA517"/>
    </row>
    <row r="518" spans="27:27" ht="17.899999999999999" customHeight="1">
      <c r="AA518"/>
    </row>
    <row r="519" spans="27:27" ht="17.899999999999999" customHeight="1">
      <c r="AA519"/>
    </row>
    <row r="520" spans="27:27" ht="17.899999999999999" customHeight="1">
      <c r="AA520"/>
    </row>
    <row r="521" spans="27:27" ht="17.899999999999999" customHeight="1">
      <c r="AA521"/>
    </row>
    <row r="522" spans="27:27" ht="17.899999999999999" customHeight="1">
      <c r="AA522"/>
    </row>
    <row r="523" spans="27:27" ht="17.899999999999999" customHeight="1">
      <c r="AA523"/>
    </row>
    <row r="524" spans="27:27" ht="17.899999999999999" customHeight="1">
      <c r="AA524"/>
    </row>
    <row r="525" spans="27:27" ht="17.899999999999999" customHeight="1">
      <c r="AA525"/>
    </row>
    <row r="526" spans="27:27" ht="17.899999999999999" customHeight="1">
      <c r="AA526"/>
    </row>
    <row r="527" spans="27:27" ht="17.899999999999999" customHeight="1">
      <c r="AA527"/>
    </row>
    <row r="528" spans="27:27" ht="17.899999999999999" customHeight="1">
      <c r="AA528"/>
    </row>
    <row r="529" spans="27:27" ht="17.899999999999999" customHeight="1">
      <c r="AA529"/>
    </row>
    <row r="530" spans="27:27" ht="17.899999999999999" customHeight="1">
      <c r="AA530"/>
    </row>
    <row r="531" spans="27:27" ht="17.899999999999999" customHeight="1">
      <c r="AA531"/>
    </row>
    <row r="532" spans="27:27" ht="17.899999999999999" customHeight="1">
      <c r="AA532"/>
    </row>
    <row r="533" spans="27:27" ht="17.899999999999999" customHeight="1">
      <c r="AA533"/>
    </row>
    <row r="534" spans="27:27" ht="17.899999999999999" customHeight="1">
      <c r="AA534"/>
    </row>
    <row r="535" spans="27:27" ht="17.899999999999999" customHeight="1">
      <c r="AA535"/>
    </row>
    <row r="536" spans="27:27" ht="17.899999999999999" customHeight="1">
      <c r="AA536"/>
    </row>
    <row r="537" spans="27:27" ht="17.899999999999999" customHeight="1">
      <c r="AA537"/>
    </row>
    <row r="538" spans="27:27" ht="17.899999999999999" customHeight="1">
      <c r="AA538"/>
    </row>
    <row r="539" spans="27:27" ht="17.899999999999999" customHeight="1">
      <c r="AA539"/>
    </row>
    <row r="540" spans="27:27" ht="17.899999999999999" customHeight="1">
      <c r="AA540"/>
    </row>
    <row r="541" spans="27:27" ht="17.899999999999999" customHeight="1">
      <c r="AA541"/>
    </row>
    <row r="542" spans="27:27" ht="17.899999999999999" customHeight="1">
      <c r="AA542"/>
    </row>
    <row r="543" spans="27:27" ht="17.899999999999999" customHeight="1">
      <c r="AA543"/>
    </row>
    <row r="544" spans="27:27" ht="17.899999999999999" customHeight="1">
      <c r="AA544"/>
    </row>
    <row r="545" spans="27:27" ht="17.899999999999999" customHeight="1">
      <c r="AA545"/>
    </row>
    <row r="546" spans="27:27" ht="17.899999999999999" customHeight="1">
      <c r="AA546"/>
    </row>
    <row r="547" spans="27:27" ht="17.899999999999999" customHeight="1">
      <c r="AA547"/>
    </row>
    <row r="548" spans="27:27" ht="17.899999999999999" customHeight="1">
      <c r="AA548"/>
    </row>
    <row r="549" spans="27:27" ht="17.899999999999999" customHeight="1">
      <c r="AA549"/>
    </row>
    <row r="550" spans="27:27" ht="17.899999999999999" customHeight="1">
      <c r="AA550"/>
    </row>
    <row r="551" spans="27:27" ht="17.899999999999999" customHeight="1">
      <c r="AA551"/>
    </row>
    <row r="552" spans="27:27" ht="17.899999999999999" customHeight="1">
      <c r="AA552"/>
    </row>
    <row r="553" spans="27:27" ht="17.899999999999999" customHeight="1">
      <c r="AA553"/>
    </row>
    <row r="554" spans="27:27" ht="17.899999999999999" customHeight="1">
      <c r="AA554"/>
    </row>
    <row r="555" spans="27:27" ht="17.899999999999999" customHeight="1">
      <c r="AA555"/>
    </row>
    <row r="556" spans="27:27" ht="17.899999999999999" customHeight="1">
      <c r="AA556"/>
    </row>
    <row r="557" spans="27:27" ht="17.899999999999999" customHeight="1">
      <c r="AA557"/>
    </row>
    <row r="558" spans="27:27" ht="17.899999999999999" customHeight="1">
      <c r="AA558"/>
    </row>
    <row r="559" spans="27:27" ht="17.899999999999999" customHeight="1">
      <c r="AA559"/>
    </row>
    <row r="560" spans="27:27" ht="17.899999999999999" customHeight="1">
      <c r="AA560"/>
    </row>
    <row r="561" spans="27:27" ht="17.899999999999999" customHeight="1">
      <c r="AA561"/>
    </row>
    <row r="562" spans="27:27" ht="17.899999999999999" customHeight="1">
      <c r="AA562"/>
    </row>
    <row r="563" spans="27:27" ht="17.899999999999999" customHeight="1">
      <c r="AA563"/>
    </row>
    <row r="564" spans="27:27" ht="17.899999999999999" customHeight="1">
      <c r="AA564"/>
    </row>
    <row r="565" spans="27:27" ht="17.899999999999999" customHeight="1">
      <c r="AA565"/>
    </row>
    <row r="566" spans="27:27" ht="17.899999999999999" customHeight="1">
      <c r="AA566"/>
    </row>
    <row r="567" spans="27:27" ht="17.899999999999999" customHeight="1">
      <c r="AA567"/>
    </row>
    <row r="568" spans="27:27" ht="17.899999999999999" customHeight="1">
      <c r="AA568"/>
    </row>
    <row r="569" spans="27:27" ht="17.899999999999999" customHeight="1">
      <c r="AA569"/>
    </row>
    <row r="570" spans="27:27" ht="17.899999999999999" customHeight="1">
      <c r="AA570"/>
    </row>
    <row r="571" spans="27:27" ht="17.899999999999999" customHeight="1">
      <c r="AA571"/>
    </row>
    <row r="572" spans="27:27" ht="17.899999999999999" customHeight="1">
      <c r="AA572"/>
    </row>
    <row r="573" spans="27:27" ht="17.899999999999999" customHeight="1">
      <c r="AA573"/>
    </row>
    <row r="574" spans="27:27" ht="17.899999999999999" customHeight="1">
      <c r="AA574"/>
    </row>
    <row r="575" spans="27:27" ht="17.899999999999999" customHeight="1">
      <c r="AA575"/>
    </row>
    <row r="576" spans="27:27" ht="17.899999999999999" customHeight="1">
      <c r="AA576"/>
    </row>
    <row r="577" spans="27:27" ht="17.899999999999999" customHeight="1">
      <c r="AA577"/>
    </row>
    <row r="578" spans="27:27" ht="17.899999999999999" customHeight="1">
      <c r="AA578"/>
    </row>
    <row r="579" spans="27:27" ht="17.899999999999999" customHeight="1">
      <c r="AA579"/>
    </row>
    <row r="580" spans="27:27" ht="17.899999999999999" customHeight="1">
      <c r="AA580"/>
    </row>
    <row r="581" spans="27:27" ht="17.899999999999999" customHeight="1">
      <c r="AA581"/>
    </row>
    <row r="582" spans="27:27" ht="17.899999999999999" customHeight="1">
      <c r="AA582"/>
    </row>
    <row r="583" spans="27:27" ht="17.899999999999999" customHeight="1">
      <c r="AA583"/>
    </row>
    <row r="584" spans="27:27" ht="17.899999999999999" customHeight="1">
      <c r="AA584"/>
    </row>
    <row r="585" spans="27:27" ht="17.899999999999999" customHeight="1">
      <c r="AA585"/>
    </row>
    <row r="586" spans="27:27" ht="17.899999999999999" customHeight="1">
      <c r="AA586"/>
    </row>
    <row r="587" spans="27:27" ht="17.899999999999999" customHeight="1">
      <c r="AA587"/>
    </row>
    <row r="588" spans="27:27" ht="17.899999999999999" customHeight="1">
      <c r="AA588"/>
    </row>
    <row r="589" spans="27:27" ht="17.899999999999999" customHeight="1">
      <c r="AA589"/>
    </row>
    <row r="590" spans="27:27" ht="17.899999999999999" customHeight="1">
      <c r="AA590"/>
    </row>
    <row r="591" spans="27:27" ht="17.899999999999999" customHeight="1">
      <c r="AA591"/>
    </row>
    <row r="592" spans="27:27" ht="17.899999999999999" customHeight="1">
      <c r="AA592"/>
    </row>
    <row r="593" spans="27:27" ht="17.899999999999999" customHeight="1">
      <c r="AA593"/>
    </row>
    <row r="594" spans="27:27" ht="17.899999999999999" customHeight="1">
      <c r="AA594"/>
    </row>
    <row r="595" spans="27:27" ht="17.899999999999999" customHeight="1">
      <c r="AA595"/>
    </row>
    <row r="596" spans="27:27" ht="17.899999999999999" customHeight="1">
      <c r="AA596"/>
    </row>
    <row r="597" spans="27:27" ht="17.899999999999999" customHeight="1">
      <c r="AA597"/>
    </row>
    <row r="598" spans="27:27" ht="17.899999999999999" customHeight="1">
      <c r="AA598"/>
    </row>
    <row r="599" spans="27:27" ht="17.899999999999999" customHeight="1">
      <c r="AA599"/>
    </row>
    <row r="600" spans="27:27" ht="17.899999999999999" customHeight="1">
      <c r="AA600"/>
    </row>
    <row r="601" spans="27:27" ht="17.899999999999999" customHeight="1">
      <c r="AA601"/>
    </row>
    <row r="602" spans="27:27" ht="17.899999999999999" customHeight="1">
      <c r="AA602"/>
    </row>
    <row r="603" spans="27:27" ht="17.899999999999999" customHeight="1">
      <c r="AA603"/>
    </row>
    <row r="604" spans="27:27" ht="17.899999999999999" customHeight="1">
      <c r="AA604"/>
    </row>
    <row r="605" spans="27:27" ht="17.899999999999999" customHeight="1">
      <c r="AA605"/>
    </row>
    <row r="606" spans="27:27" ht="17.899999999999999" customHeight="1">
      <c r="AA606"/>
    </row>
    <row r="607" spans="27:27" ht="17.899999999999999" customHeight="1">
      <c r="AA607"/>
    </row>
    <row r="608" spans="27:27" ht="17.899999999999999" customHeight="1">
      <c r="AA608"/>
    </row>
    <row r="609" spans="27:27" ht="17.899999999999999" customHeight="1">
      <c r="AA609"/>
    </row>
    <row r="610" spans="27:27" ht="17.899999999999999" customHeight="1">
      <c r="AA610"/>
    </row>
    <row r="611" spans="27:27" ht="17.899999999999999" customHeight="1">
      <c r="AA611"/>
    </row>
    <row r="612" spans="27:27" ht="17.899999999999999" customHeight="1">
      <c r="AA612"/>
    </row>
    <row r="613" spans="27:27" ht="17.899999999999999" customHeight="1">
      <c r="AA613"/>
    </row>
    <row r="614" spans="27:27" ht="17.899999999999999" customHeight="1">
      <c r="AA614"/>
    </row>
    <row r="615" spans="27:27" ht="17.899999999999999" customHeight="1">
      <c r="AA615"/>
    </row>
    <row r="616" spans="27:27" ht="17.899999999999999" customHeight="1">
      <c r="AA616"/>
    </row>
    <row r="617" spans="27:27" ht="17.899999999999999" customHeight="1">
      <c r="AA617"/>
    </row>
    <row r="618" spans="27:27" ht="17.899999999999999" customHeight="1">
      <c r="AA618"/>
    </row>
    <row r="619" spans="27:27" ht="17.899999999999999" customHeight="1">
      <c r="AA619"/>
    </row>
    <row r="620" spans="27:27" ht="17.899999999999999" customHeight="1">
      <c r="AA620"/>
    </row>
    <row r="621" spans="27:27" ht="17.899999999999999" customHeight="1">
      <c r="AA621"/>
    </row>
    <row r="622" spans="27:27" ht="17.899999999999999" customHeight="1">
      <c r="AA622"/>
    </row>
    <row r="623" spans="27:27" ht="17.899999999999999" customHeight="1">
      <c r="AA623"/>
    </row>
    <row r="624" spans="27:27" ht="17.899999999999999" customHeight="1">
      <c r="AA624"/>
    </row>
    <row r="625" spans="27:27" ht="17.899999999999999" customHeight="1">
      <c r="AA625"/>
    </row>
    <row r="626" spans="27:27" ht="17.899999999999999" customHeight="1">
      <c r="AA626"/>
    </row>
    <row r="627" spans="27:27" ht="17.899999999999999" customHeight="1">
      <c r="AA627"/>
    </row>
    <row r="628" spans="27:27" ht="17.899999999999999" customHeight="1">
      <c r="AA628"/>
    </row>
    <row r="629" spans="27:27" ht="17.899999999999999" customHeight="1">
      <c r="AA629"/>
    </row>
    <row r="630" spans="27:27" ht="17.899999999999999" customHeight="1">
      <c r="AA630"/>
    </row>
    <row r="631" spans="27:27" ht="17.899999999999999" customHeight="1">
      <c r="AA631"/>
    </row>
    <row r="632" spans="27:27" ht="17.899999999999999" customHeight="1">
      <c r="AA632"/>
    </row>
    <row r="633" spans="27:27" ht="17.899999999999999" customHeight="1">
      <c r="AA633"/>
    </row>
    <row r="634" spans="27:27" ht="17.899999999999999" customHeight="1">
      <c r="AA634"/>
    </row>
    <row r="635" spans="27:27" ht="17.899999999999999" customHeight="1">
      <c r="AA635"/>
    </row>
    <row r="636" spans="27:27" ht="17.899999999999999" customHeight="1">
      <c r="AA636"/>
    </row>
    <row r="637" spans="27:27" ht="17.899999999999999" customHeight="1">
      <c r="AA637"/>
    </row>
    <row r="638" spans="27:27" ht="17.899999999999999" customHeight="1">
      <c r="AA638"/>
    </row>
    <row r="639" spans="27:27" ht="17.899999999999999" customHeight="1">
      <c r="AA639"/>
    </row>
    <row r="640" spans="27:27" ht="17.899999999999999" customHeight="1">
      <c r="AA640"/>
    </row>
    <row r="641" spans="27:27" ht="17.899999999999999" customHeight="1">
      <c r="AA641"/>
    </row>
    <row r="642" spans="27:27" ht="17.899999999999999" customHeight="1">
      <c r="AA642"/>
    </row>
    <row r="643" spans="27:27" ht="17.899999999999999" customHeight="1">
      <c r="AA643"/>
    </row>
    <row r="644" spans="27:27" ht="17.899999999999999" customHeight="1">
      <c r="AA644"/>
    </row>
    <row r="645" spans="27:27" ht="17.899999999999999" customHeight="1">
      <c r="AA645"/>
    </row>
    <row r="646" spans="27:27" ht="17.899999999999999" customHeight="1">
      <c r="AA646"/>
    </row>
    <row r="647" spans="27:27" ht="17.899999999999999" customHeight="1">
      <c r="AA647"/>
    </row>
    <row r="648" spans="27:27" ht="17.899999999999999" customHeight="1">
      <c r="AA648"/>
    </row>
    <row r="649" spans="27:27" ht="17.899999999999999" customHeight="1">
      <c r="AA649"/>
    </row>
    <row r="650" spans="27:27" ht="17.899999999999999" customHeight="1">
      <c r="AA650"/>
    </row>
    <row r="651" spans="27:27" ht="17.899999999999999" customHeight="1">
      <c r="AA651"/>
    </row>
    <row r="652" spans="27:27" ht="17.899999999999999" customHeight="1">
      <c r="AA652"/>
    </row>
    <row r="653" spans="27:27" ht="17.899999999999999" customHeight="1">
      <c r="AA653"/>
    </row>
    <row r="654" spans="27:27" ht="17.899999999999999" customHeight="1">
      <c r="AA654"/>
    </row>
    <row r="655" spans="27:27" ht="17.899999999999999" customHeight="1">
      <c r="AA655"/>
    </row>
    <row r="656" spans="27:27" ht="17.899999999999999" customHeight="1">
      <c r="AA656"/>
    </row>
    <row r="657" spans="27:27" ht="17.899999999999999" customHeight="1">
      <c r="AA657"/>
    </row>
    <row r="658" spans="27:27" ht="17.899999999999999" customHeight="1">
      <c r="AA658"/>
    </row>
    <row r="659" spans="27:27" ht="17.899999999999999" customHeight="1">
      <c r="AA659"/>
    </row>
    <row r="660" spans="27:27" ht="17.899999999999999" customHeight="1">
      <c r="AA660"/>
    </row>
    <row r="661" spans="27:27" ht="17.899999999999999" customHeight="1">
      <c r="AA661"/>
    </row>
    <row r="662" spans="27:27" ht="17.899999999999999" customHeight="1">
      <c r="AA662"/>
    </row>
    <row r="663" spans="27:27" ht="17.899999999999999" customHeight="1">
      <c r="AA663"/>
    </row>
    <row r="664" spans="27:27" ht="17.899999999999999" customHeight="1">
      <c r="AA664"/>
    </row>
    <row r="665" spans="27:27" ht="17.899999999999999" customHeight="1">
      <c r="AA665"/>
    </row>
    <row r="666" spans="27:27" ht="17.899999999999999" customHeight="1">
      <c r="AA666"/>
    </row>
    <row r="667" spans="27:27" ht="17.899999999999999" customHeight="1">
      <c r="AA667"/>
    </row>
    <row r="668" spans="27:27" ht="17.899999999999999" customHeight="1">
      <c r="AA668"/>
    </row>
    <row r="669" spans="27:27" ht="17.899999999999999" customHeight="1">
      <c r="AA669"/>
    </row>
    <row r="670" spans="27:27" ht="17.899999999999999" customHeight="1">
      <c r="AA670"/>
    </row>
    <row r="671" spans="27:27" ht="17.899999999999999" customHeight="1">
      <c r="AA671"/>
    </row>
    <row r="672" spans="27:27" ht="17.899999999999999" customHeight="1">
      <c r="AA672"/>
    </row>
    <row r="673" spans="27:27" ht="17.899999999999999" customHeight="1">
      <c r="AA673"/>
    </row>
    <row r="674" spans="27:27" ht="17.899999999999999" customHeight="1">
      <c r="AA674"/>
    </row>
    <row r="675" spans="27:27" ht="17.899999999999999" customHeight="1">
      <c r="AA675"/>
    </row>
    <row r="676" spans="27:27" ht="17.899999999999999" customHeight="1">
      <c r="AA676"/>
    </row>
    <row r="677" spans="27:27" ht="17.899999999999999" customHeight="1">
      <c r="AA677"/>
    </row>
    <row r="678" spans="27:27" ht="17.899999999999999" customHeight="1">
      <c r="AA678"/>
    </row>
    <row r="679" spans="27:27" ht="17.899999999999999" customHeight="1">
      <c r="AA679"/>
    </row>
    <row r="680" spans="27:27" ht="17.899999999999999" customHeight="1">
      <c r="AA680"/>
    </row>
    <row r="681" spans="27:27" ht="17.899999999999999" customHeight="1">
      <c r="AA681"/>
    </row>
    <row r="682" spans="27:27" ht="17.899999999999999" customHeight="1">
      <c r="AA682"/>
    </row>
    <row r="683" spans="27:27" ht="17.899999999999999" customHeight="1">
      <c r="AA683"/>
    </row>
    <row r="684" spans="27:27" ht="17.899999999999999" customHeight="1">
      <c r="AA684"/>
    </row>
    <row r="685" spans="27:27" ht="17.899999999999999" customHeight="1">
      <c r="AA685"/>
    </row>
    <row r="686" spans="27:27" ht="17.899999999999999" customHeight="1">
      <c r="AA686"/>
    </row>
    <row r="687" spans="27:27" ht="17.899999999999999" customHeight="1">
      <c r="AA687"/>
    </row>
    <row r="688" spans="27:27" ht="17.899999999999999" customHeight="1">
      <c r="AA688"/>
    </row>
    <row r="689" spans="27:27" ht="17.899999999999999" customHeight="1">
      <c r="AA689"/>
    </row>
    <row r="690" spans="27:27" ht="17.899999999999999" customHeight="1">
      <c r="AA690"/>
    </row>
    <row r="691" spans="27:27" ht="17.899999999999999" customHeight="1">
      <c r="AA691"/>
    </row>
    <row r="692" spans="27:27" ht="17.899999999999999" customHeight="1">
      <c r="AA692"/>
    </row>
    <row r="693" spans="27:27" ht="17.899999999999999" customHeight="1">
      <c r="AA693"/>
    </row>
    <row r="694" spans="27:27" ht="17.899999999999999" customHeight="1">
      <c r="AA694"/>
    </row>
    <row r="695" spans="27:27" ht="17.899999999999999" customHeight="1">
      <c r="AA695"/>
    </row>
    <row r="696" spans="27:27" ht="17.899999999999999" customHeight="1">
      <c r="AA696"/>
    </row>
    <row r="697" spans="27:27" ht="17.899999999999999" customHeight="1">
      <c r="AA697"/>
    </row>
    <row r="698" spans="27:27" ht="17.899999999999999" customHeight="1">
      <c r="AA698"/>
    </row>
    <row r="699" spans="27:27" ht="17.899999999999999" customHeight="1">
      <c r="AA699"/>
    </row>
    <row r="700" spans="27:27" ht="17.899999999999999" customHeight="1">
      <c r="AA700"/>
    </row>
    <row r="701" spans="27:27" ht="17.899999999999999" customHeight="1">
      <c r="AA701"/>
    </row>
    <row r="702" spans="27:27" ht="17.899999999999999" customHeight="1">
      <c r="AA702"/>
    </row>
    <row r="703" spans="27:27" ht="17.899999999999999" customHeight="1">
      <c r="AA703"/>
    </row>
    <row r="704" spans="27:27" ht="17.899999999999999" customHeight="1">
      <c r="AA704"/>
    </row>
    <row r="705" spans="27:27" ht="17.899999999999999" customHeight="1">
      <c r="AA705"/>
    </row>
    <row r="706" spans="27:27" ht="17.899999999999999" customHeight="1">
      <c r="AA706"/>
    </row>
    <row r="707" spans="27:27" ht="17.899999999999999" customHeight="1">
      <c r="AA707"/>
    </row>
    <row r="708" spans="27:27" ht="17.899999999999999" customHeight="1">
      <c r="AA708"/>
    </row>
    <row r="709" spans="27:27" ht="17.899999999999999" customHeight="1">
      <c r="AA709"/>
    </row>
    <row r="710" spans="27:27" ht="17.899999999999999" customHeight="1">
      <c r="AA710"/>
    </row>
    <row r="711" spans="27:27" ht="17.899999999999999" customHeight="1">
      <c r="AA711"/>
    </row>
    <row r="712" spans="27:27" ht="17.899999999999999" customHeight="1">
      <c r="AA712"/>
    </row>
    <row r="713" spans="27:27" ht="17.899999999999999" customHeight="1">
      <c r="AA713"/>
    </row>
    <row r="714" spans="27:27" ht="17.899999999999999" customHeight="1">
      <c r="AA714"/>
    </row>
    <row r="715" spans="27:27" ht="17.899999999999999" customHeight="1">
      <c r="AA715"/>
    </row>
    <row r="716" spans="27:27" ht="17.899999999999999" customHeight="1">
      <c r="AA716"/>
    </row>
    <row r="717" spans="27:27" ht="17.899999999999999" customHeight="1">
      <c r="AA717"/>
    </row>
    <row r="718" spans="27:27" ht="17.899999999999999" customHeight="1">
      <c r="AA718"/>
    </row>
    <row r="719" spans="27:27" ht="17.899999999999999" customHeight="1">
      <c r="AA719"/>
    </row>
    <row r="720" spans="27:27" ht="17.899999999999999" customHeight="1">
      <c r="AA720"/>
    </row>
    <row r="721" spans="27:27" ht="17.899999999999999" customHeight="1">
      <c r="AA721"/>
    </row>
    <row r="722" spans="27:27" ht="17.899999999999999" customHeight="1">
      <c r="AA722"/>
    </row>
    <row r="723" spans="27:27" ht="17.899999999999999" customHeight="1">
      <c r="AA723"/>
    </row>
    <row r="724" spans="27:27" ht="17.899999999999999" customHeight="1">
      <c r="AA724"/>
    </row>
    <row r="725" spans="27:27" ht="17.899999999999999" customHeight="1">
      <c r="AA725"/>
    </row>
    <row r="726" spans="27:27" ht="17.899999999999999" customHeight="1">
      <c r="AA726"/>
    </row>
    <row r="727" spans="27:27" ht="17.899999999999999" customHeight="1">
      <c r="AA727"/>
    </row>
    <row r="728" spans="27:27" ht="17.899999999999999" customHeight="1">
      <c r="AA728"/>
    </row>
    <row r="729" spans="27:27" ht="17.899999999999999" customHeight="1">
      <c r="AA729"/>
    </row>
    <row r="730" spans="27:27" ht="17.899999999999999" customHeight="1">
      <c r="AA730"/>
    </row>
    <row r="731" spans="27:27" ht="17.899999999999999" customHeight="1">
      <c r="AA731"/>
    </row>
    <row r="732" spans="27:27" ht="17.899999999999999" customHeight="1">
      <c r="AA732"/>
    </row>
    <row r="733" spans="27:27" ht="17.899999999999999" customHeight="1">
      <c r="AA733"/>
    </row>
    <row r="734" spans="27:27" ht="17.899999999999999" customHeight="1">
      <c r="AA734"/>
    </row>
    <row r="735" spans="27:27" ht="17.899999999999999" customHeight="1">
      <c r="AA735"/>
    </row>
    <row r="736" spans="27:27" ht="17.899999999999999" customHeight="1">
      <c r="AA736"/>
    </row>
    <row r="737" spans="27:27" ht="17.899999999999999" customHeight="1">
      <c r="AA737"/>
    </row>
    <row r="738" spans="27:27" ht="17.899999999999999" customHeight="1">
      <c r="AA738"/>
    </row>
    <row r="739" spans="27:27" ht="17.899999999999999" customHeight="1">
      <c r="AA739"/>
    </row>
    <row r="740" spans="27:27" ht="17.899999999999999" customHeight="1">
      <c r="AA740"/>
    </row>
    <row r="741" spans="27:27" ht="17.899999999999999" customHeight="1">
      <c r="AA741"/>
    </row>
    <row r="742" spans="27:27" ht="17.899999999999999" customHeight="1">
      <c r="AA742"/>
    </row>
    <row r="743" spans="27:27" ht="17.899999999999999" customHeight="1">
      <c r="AA743"/>
    </row>
    <row r="744" spans="27:27" ht="17.899999999999999" customHeight="1">
      <c r="AA744"/>
    </row>
    <row r="745" spans="27:27" ht="17.899999999999999" customHeight="1">
      <c r="AA745"/>
    </row>
    <row r="746" spans="27:27" ht="17.899999999999999" customHeight="1">
      <c r="AA746"/>
    </row>
    <row r="747" spans="27:27" ht="17.899999999999999" customHeight="1">
      <c r="AA747"/>
    </row>
    <row r="748" spans="27:27" ht="17.899999999999999" customHeight="1">
      <c r="AA748"/>
    </row>
    <row r="749" spans="27:27" ht="17.899999999999999" customHeight="1">
      <c r="AA749"/>
    </row>
    <row r="750" spans="27:27" ht="17.899999999999999" customHeight="1">
      <c r="AA750"/>
    </row>
    <row r="751" spans="27:27" ht="17.899999999999999" customHeight="1">
      <c r="AA751"/>
    </row>
    <row r="752" spans="27:27" ht="17.899999999999999" customHeight="1">
      <c r="AA752"/>
    </row>
    <row r="753" spans="27:27" ht="17.899999999999999" customHeight="1">
      <c r="AA753"/>
    </row>
    <row r="754" spans="27:27" ht="17.899999999999999" customHeight="1">
      <c r="AA754"/>
    </row>
    <row r="755" spans="27:27" ht="17.899999999999999" customHeight="1">
      <c r="AA755"/>
    </row>
    <row r="756" spans="27:27" ht="17.899999999999999" customHeight="1">
      <c r="AA756"/>
    </row>
    <row r="757" spans="27:27" ht="17.899999999999999" customHeight="1">
      <c r="AA757"/>
    </row>
    <row r="758" spans="27:27" ht="17.899999999999999" customHeight="1">
      <c r="AA758"/>
    </row>
    <row r="759" spans="27:27" ht="17.899999999999999" customHeight="1">
      <c r="AA759"/>
    </row>
    <row r="760" spans="27:27" ht="17.899999999999999" customHeight="1">
      <c r="AA760"/>
    </row>
    <row r="761" spans="27:27" ht="17.899999999999999" customHeight="1">
      <c r="AA761"/>
    </row>
    <row r="762" spans="27:27" ht="17.899999999999999" customHeight="1">
      <c r="AA762"/>
    </row>
    <row r="763" spans="27:27" ht="17.899999999999999" customHeight="1">
      <c r="AA763"/>
    </row>
    <row r="764" spans="27:27" ht="17.899999999999999" customHeight="1">
      <c r="AA764"/>
    </row>
    <row r="765" spans="27:27" ht="17.899999999999999" customHeight="1">
      <c r="AA765"/>
    </row>
    <row r="766" spans="27:27" ht="17.899999999999999" customHeight="1">
      <c r="AA766"/>
    </row>
    <row r="767" spans="27:27" ht="17.899999999999999" customHeight="1">
      <c r="AA767"/>
    </row>
    <row r="768" spans="27:27" ht="17.899999999999999" customHeight="1">
      <c r="AA768"/>
    </row>
    <row r="769" spans="27:27" ht="17.899999999999999" customHeight="1">
      <c r="AA769"/>
    </row>
    <row r="770" spans="27:27" ht="17.899999999999999" customHeight="1">
      <c r="AA770"/>
    </row>
    <row r="771" spans="27:27" ht="17.899999999999999" customHeight="1">
      <c r="AA771"/>
    </row>
    <row r="772" spans="27:27" ht="17.899999999999999" customHeight="1">
      <c r="AA772"/>
    </row>
    <row r="773" spans="27:27" ht="17.899999999999999" customHeight="1">
      <c r="AA773"/>
    </row>
    <row r="774" spans="27:27" ht="17.899999999999999" customHeight="1">
      <c r="AA774"/>
    </row>
    <row r="775" spans="27:27" ht="17.899999999999999" customHeight="1">
      <c r="AA775"/>
    </row>
    <row r="776" spans="27:27" ht="17.899999999999999" customHeight="1">
      <c r="AA776"/>
    </row>
    <row r="777" spans="27:27" ht="17.899999999999999" customHeight="1">
      <c r="AA777"/>
    </row>
    <row r="778" spans="27:27" ht="17.899999999999999" customHeight="1">
      <c r="AA778"/>
    </row>
    <row r="779" spans="27:27" ht="17.899999999999999" customHeight="1">
      <c r="AA779"/>
    </row>
    <row r="780" spans="27:27" ht="17.899999999999999" customHeight="1">
      <c r="AA780"/>
    </row>
    <row r="781" spans="27:27" ht="17.899999999999999" customHeight="1">
      <c r="AA781"/>
    </row>
    <row r="782" spans="27:27" ht="17.899999999999999" customHeight="1">
      <c r="AA782"/>
    </row>
    <row r="783" spans="27:27" ht="17.899999999999999" customHeight="1">
      <c r="AA783"/>
    </row>
    <row r="784" spans="27:27" ht="17.899999999999999" customHeight="1">
      <c r="AA784"/>
    </row>
    <row r="785" spans="27:27" ht="17.899999999999999" customHeight="1">
      <c r="AA785"/>
    </row>
    <row r="786" spans="27:27" ht="17.899999999999999" customHeight="1">
      <c r="AA786"/>
    </row>
    <row r="787" spans="27:27" ht="17.899999999999999" customHeight="1">
      <c r="AA787"/>
    </row>
    <row r="788" spans="27:27" ht="17.899999999999999" customHeight="1">
      <c r="AA788"/>
    </row>
    <row r="789" spans="27:27" ht="17.899999999999999" customHeight="1">
      <c r="AA789"/>
    </row>
    <row r="790" spans="27:27" ht="17.899999999999999" customHeight="1">
      <c r="AA790"/>
    </row>
    <row r="791" spans="27:27" ht="17.899999999999999" customHeight="1">
      <c r="AA791"/>
    </row>
    <row r="792" spans="27:27" ht="17.899999999999999" customHeight="1">
      <c r="AA792"/>
    </row>
    <row r="793" spans="27:27" ht="17.899999999999999" customHeight="1">
      <c r="AA793"/>
    </row>
    <row r="794" spans="27:27" ht="17.899999999999999" customHeight="1">
      <c r="AA794"/>
    </row>
    <row r="795" spans="27:27" ht="17.899999999999999" customHeight="1">
      <c r="AA795"/>
    </row>
    <row r="796" spans="27:27" ht="17.899999999999999" customHeight="1">
      <c r="AA796"/>
    </row>
    <row r="797" spans="27:27" ht="17.899999999999999" customHeight="1">
      <c r="AA797"/>
    </row>
    <row r="798" spans="27:27" ht="17.899999999999999" customHeight="1">
      <c r="AA798"/>
    </row>
    <row r="799" spans="27:27" ht="17.899999999999999" customHeight="1">
      <c r="AA799"/>
    </row>
    <row r="800" spans="27:27" ht="17.899999999999999" customHeight="1">
      <c r="AA800"/>
    </row>
    <row r="801" spans="27:27" ht="17.899999999999999" customHeight="1">
      <c r="AA801"/>
    </row>
    <row r="802" spans="27:27" ht="17.899999999999999" customHeight="1">
      <c r="AA802"/>
    </row>
    <row r="803" spans="27:27" ht="17.899999999999999" customHeight="1">
      <c r="AA803"/>
    </row>
    <row r="804" spans="27:27" ht="17.899999999999999" customHeight="1">
      <c r="AA804"/>
    </row>
    <row r="805" spans="27:27" ht="17.899999999999999" customHeight="1">
      <c r="AA805"/>
    </row>
    <row r="806" spans="27:27" ht="17.899999999999999" customHeight="1">
      <c r="AA806"/>
    </row>
    <row r="807" spans="27:27" ht="17.899999999999999" customHeight="1">
      <c r="AA807"/>
    </row>
    <row r="808" spans="27:27" ht="17.899999999999999" customHeight="1">
      <c r="AA808"/>
    </row>
    <row r="809" spans="27:27" ht="17.899999999999999" customHeight="1">
      <c r="AA809"/>
    </row>
    <row r="810" spans="27:27" ht="17.899999999999999" customHeight="1">
      <c r="AA810"/>
    </row>
    <row r="811" spans="27:27" ht="17.899999999999999" customHeight="1">
      <c r="AA811"/>
    </row>
    <row r="812" spans="27:27" ht="17.899999999999999" customHeight="1">
      <c r="AA812"/>
    </row>
    <row r="813" spans="27:27" ht="17.899999999999999" customHeight="1">
      <c r="AA813"/>
    </row>
    <row r="814" spans="27:27" ht="17.899999999999999" customHeight="1">
      <c r="AA814"/>
    </row>
    <row r="815" spans="27:27" ht="17.899999999999999" customHeight="1">
      <c r="AA815"/>
    </row>
    <row r="816" spans="27:27" ht="17.899999999999999" customHeight="1">
      <c r="AA816"/>
    </row>
    <row r="817" spans="27:27" ht="17.899999999999999" customHeight="1">
      <c r="AA817"/>
    </row>
    <row r="818" spans="27:27" ht="17.899999999999999" customHeight="1">
      <c r="AA818"/>
    </row>
    <row r="819" spans="27:27" ht="17.899999999999999" customHeight="1">
      <c r="AA819"/>
    </row>
    <row r="820" spans="27:27" ht="17.899999999999999" customHeight="1">
      <c r="AA820"/>
    </row>
    <row r="821" spans="27:27" ht="17.899999999999999" customHeight="1">
      <c r="AA821"/>
    </row>
    <row r="822" spans="27:27" ht="17.899999999999999" customHeight="1">
      <c r="AA822"/>
    </row>
    <row r="823" spans="27:27" ht="17.899999999999999" customHeight="1">
      <c r="AA823"/>
    </row>
    <row r="824" spans="27:27" ht="17.899999999999999" customHeight="1">
      <c r="AA824"/>
    </row>
    <row r="825" spans="27:27" ht="17.899999999999999" customHeight="1">
      <c r="AA825"/>
    </row>
    <row r="826" spans="27:27" ht="17.899999999999999" customHeight="1">
      <c r="AA826"/>
    </row>
    <row r="827" spans="27:27" ht="17.899999999999999" customHeight="1">
      <c r="AA827"/>
    </row>
    <row r="828" spans="27:27" ht="17.899999999999999" customHeight="1">
      <c r="AA828"/>
    </row>
    <row r="829" spans="27:27" ht="17.899999999999999" customHeight="1">
      <c r="AA829"/>
    </row>
    <row r="830" spans="27:27" ht="17.899999999999999" customHeight="1">
      <c r="AA830"/>
    </row>
    <row r="831" spans="27:27" ht="17.899999999999999" customHeight="1">
      <c r="AA831"/>
    </row>
    <row r="832" spans="27:27" ht="17.899999999999999" customHeight="1">
      <c r="AA832"/>
    </row>
    <row r="833" spans="27:27" ht="17.899999999999999" customHeight="1">
      <c r="AA833"/>
    </row>
    <row r="834" spans="27:27" ht="17.899999999999999" customHeight="1">
      <c r="AA834"/>
    </row>
    <row r="835" spans="27:27" ht="17.899999999999999" customHeight="1">
      <c r="AA835"/>
    </row>
    <row r="836" spans="27:27" ht="17.899999999999999" customHeight="1">
      <c r="AA836"/>
    </row>
    <row r="837" spans="27:27" ht="17.899999999999999" customHeight="1">
      <c r="AA837"/>
    </row>
    <row r="838" spans="27:27" ht="17.899999999999999" customHeight="1">
      <c r="AA838"/>
    </row>
    <row r="839" spans="27:27" ht="17.899999999999999" customHeight="1">
      <c r="AA839"/>
    </row>
    <row r="840" spans="27:27" ht="17.899999999999999" customHeight="1">
      <c r="AA840"/>
    </row>
    <row r="841" spans="27:27" ht="17.899999999999999" customHeight="1">
      <c r="AA841"/>
    </row>
    <row r="842" spans="27:27" ht="17.899999999999999" customHeight="1">
      <c r="AA842"/>
    </row>
    <row r="843" spans="27:27" ht="17.899999999999999" customHeight="1">
      <c r="AA843"/>
    </row>
    <row r="844" spans="27:27" ht="17.899999999999999" customHeight="1">
      <c r="AA844"/>
    </row>
    <row r="845" spans="27:27" ht="17.899999999999999" customHeight="1">
      <c r="AA845"/>
    </row>
    <row r="846" spans="27:27" ht="17.899999999999999" customHeight="1">
      <c r="AA846"/>
    </row>
    <row r="847" spans="27:27" ht="17.899999999999999" customHeight="1">
      <c r="AA847"/>
    </row>
    <row r="848" spans="27:27" ht="17.899999999999999" customHeight="1">
      <c r="AA848"/>
    </row>
    <row r="849" spans="27:27" ht="17.899999999999999" customHeight="1">
      <c r="AA849"/>
    </row>
    <row r="850" spans="27:27" ht="17.899999999999999" customHeight="1">
      <c r="AA850"/>
    </row>
    <row r="851" spans="27:27" ht="17.899999999999999" customHeight="1">
      <c r="AA851"/>
    </row>
    <row r="852" spans="27:27" ht="17.899999999999999" customHeight="1">
      <c r="AA852"/>
    </row>
    <row r="853" spans="27:27" ht="17.899999999999999" customHeight="1">
      <c r="AA853"/>
    </row>
    <row r="854" spans="27:27" ht="17.899999999999999" customHeight="1">
      <c r="AA854"/>
    </row>
    <row r="855" spans="27:27" ht="17.899999999999999" customHeight="1">
      <c r="AA855"/>
    </row>
    <row r="856" spans="27:27" ht="17.899999999999999" customHeight="1">
      <c r="AA856"/>
    </row>
    <row r="857" spans="27:27" ht="17.899999999999999" customHeight="1">
      <c r="AA857"/>
    </row>
    <row r="858" spans="27:27" ht="17.899999999999999" customHeight="1">
      <c r="AA858"/>
    </row>
    <row r="859" spans="27:27" ht="17.899999999999999" customHeight="1">
      <c r="AA859"/>
    </row>
    <row r="860" spans="27:27" ht="17.899999999999999" customHeight="1">
      <c r="AA860"/>
    </row>
    <row r="861" spans="27:27" ht="17.899999999999999" customHeight="1">
      <c r="AA861"/>
    </row>
    <row r="862" spans="27:27" ht="17.899999999999999" customHeight="1">
      <c r="AA862"/>
    </row>
    <row r="863" spans="27:27" ht="17.899999999999999" customHeight="1">
      <c r="AA863"/>
    </row>
    <row r="864" spans="27:27" ht="17.899999999999999" customHeight="1">
      <c r="AA864"/>
    </row>
    <row r="865" spans="27:27" ht="17.899999999999999" customHeight="1">
      <c r="AA865"/>
    </row>
    <row r="866" spans="27:27" ht="17.899999999999999" customHeight="1">
      <c r="AA866"/>
    </row>
    <row r="867" spans="27:27" ht="17.899999999999999" customHeight="1">
      <c r="AA867"/>
    </row>
    <row r="868" spans="27:27" ht="17.899999999999999" customHeight="1">
      <c r="AA868"/>
    </row>
    <row r="869" spans="27:27" ht="17.899999999999999" customHeight="1">
      <c r="AA869"/>
    </row>
    <row r="870" spans="27:27" ht="17.899999999999999" customHeight="1">
      <c r="AA870"/>
    </row>
    <row r="871" spans="27:27" ht="17.899999999999999" customHeight="1">
      <c r="AA871"/>
    </row>
    <row r="872" spans="27:27" ht="17.899999999999999" customHeight="1">
      <c r="AA872"/>
    </row>
    <row r="873" spans="27:27" ht="17.899999999999999" customHeight="1">
      <c r="AA873"/>
    </row>
    <row r="874" spans="27:27" ht="17.899999999999999" customHeight="1">
      <c r="AA874"/>
    </row>
    <row r="875" spans="27:27" ht="17.899999999999999" customHeight="1">
      <c r="AA875"/>
    </row>
    <row r="876" spans="27:27" ht="17.899999999999999" customHeight="1">
      <c r="AA876"/>
    </row>
    <row r="877" spans="27:27" ht="17.899999999999999" customHeight="1">
      <c r="AA877"/>
    </row>
    <row r="878" spans="27:27" ht="17.899999999999999" customHeight="1">
      <c r="AA878"/>
    </row>
    <row r="879" spans="27:27" ht="17.899999999999999" customHeight="1">
      <c r="AA879"/>
    </row>
    <row r="880" spans="27:27" ht="17.899999999999999" customHeight="1">
      <c r="AA880"/>
    </row>
    <row r="881" spans="27:27" ht="17.899999999999999" customHeight="1">
      <c r="AA881"/>
    </row>
    <row r="882" spans="27:27" ht="17.899999999999999" customHeight="1">
      <c r="AA882"/>
    </row>
    <row r="883" spans="27:27" ht="17.899999999999999" customHeight="1">
      <c r="AA883"/>
    </row>
    <row r="884" spans="27:27" ht="17.899999999999999" customHeight="1">
      <c r="AA884"/>
    </row>
    <row r="885" spans="27:27" ht="17.899999999999999" customHeight="1">
      <c r="AA885"/>
    </row>
    <row r="886" spans="27:27" ht="17.899999999999999" customHeight="1">
      <c r="AA886"/>
    </row>
    <row r="887" spans="27:27" ht="17.899999999999999" customHeight="1">
      <c r="AA887"/>
    </row>
    <row r="888" spans="27:27" ht="17.899999999999999" customHeight="1">
      <c r="AA888"/>
    </row>
    <row r="889" spans="27:27" ht="17.899999999999999" customHeight="1">
      <c r="AA889"/>
    </row>
    <row r="890" spans="27:27" ht="17.899999999999999" customHeight="1">
      <c r="AA890"/>
    </row>
    <row r="891" spans="27:27" ht="17.899999999999999" customHeight="1">
      <c r="AA891"/>
    </row>
    <row r="892" spans="27:27" ht="17.899999999999999" customHeight="1">
      <c r="AA892"/>
    </row>
    <row r="893" spans="27:27" ht="17.899999999999999" customHeight="1">
      <c r="AA893"/>
    </row>
    <row r="894" spans="27:27" ht="17.899999999999999" customHeight="1">
      <c r="AA894"/>
    </row>
    <row r="895" spans="27:27" ht="17.899999999999999" customHeight="1">
      <c r="AA895"/>
    </row>
    <row r="896" spans="27:27" ht="17.899999999999999" customHeight="1">
      <c r="AA896"/>
    </row>
    <row r="897" spans="27:27" ht="17.899999999999999" customHeight="1">
      <c r="AA897"/>
    </row>
    <row r="898" spans="27:27" ht="17.899999999999999" customHeight="1">
      <c r="AA898"/>
    </row>
    <row r="899" spans="27:27" ht="17.899999999999999" customHeight="1">
      <c r="AA899"/>
    </row>
    <row r="900" spans="27:27" ht="17.899999999999999" customHeight="1">
      <c r="AA900"/>
    </row>
    <row r="901" spans="27:27" ht="17.899999999999999" customHeight="1">
      <c r="AA901"/>
    </row>
    <row r="902" spans="27:27" ht="17.899999999999999" customHeight="1">
      <c r="AA902"/>
    </row>
    <row r="903" spans="27:27" ht="17.899999999999999" customHeight="1">
      <c r="AA903"/>
    </row>
    <row r="904" spans="27:27" ht="17.899999999999999" customHeight="1">
      <c r="AA904"/>
    </row>
    <row r="905" spans="27:27" ht="17.899999999999999" customHeight="1">
      <c r="AA905"/>
    </row>
    <row r="906" spans="27:27" ht="17.899999999999999" customHeight="1">
      <c r="AA906"/>
    </row>
    <row r="907" spans="27:27" ht="17.899999999999999" customHeight="1">
      <c r="AA907"/>
    </row>
    <row r="908" spans="27:27" ht="17.899999999999999" customHeight="1">
      <c r="AA908"/>
    </row>
    <row r="909" spans="27:27" ht="17.899999999999999" customHeight="1">
      <c r="AA909"/>
    </row>
    <row r="910" spans="27:27" ht="17.899999999999999" customHeight="1">
      <c r="AA910"/>
    </row>
    <row r="911" spans="27:27" ht="17.899999999999999" customHeight="1">
      <c r="AA911"/>
    </row>
    <row r="912" spans="27:27" ht="17.899999999999999" customHeight="1">
      <c r="AA912"/>
    </row>
    <row r="913" spans="27:27" ht="17.899999999999999" customHeight="1">
      <c r="AA913"/>
    </row>
    <row r="914" spans="27:27" ht="17.899999999999999" customHeight="1">
      <c r="AA914"/>
    </row>
    <row r="915" spans="27:27" ht="17.899999999999999" customHeight="1">
      <c r="AA915"/>
    </row>
    <row r="916" spans="27:27" ht="17.899999999999999" customHeight="1">
      <c r="AA916"/>
    </row>
    <row r="917" spans="27:27" ht="17.899999999999999" customHeight="1">
      <c r="AA917"/>
    </row>
    <row r="918" spans="27:27" ht="17.899999999999999" customHeight="1">
      <c r="AA918"/>
    </row>
    <row r="919" spans="27:27" ht="17.899999999999999" customHeight="1">
      <c r="AA919"/>
    </row>
    <row r="920" spans="27:27" ht="17.899999999999999" customHeight="1">
      <c r="AA920"/>
    </row>
    <row r="921" spans="27:27" ht="17.899999999999999" customHeight="1">
      <c r="AA921"/>
    </row>
    <row r="922" spans="27:27" ht="17.899999999999999" customHeight="1">
      <c r="AA922"/>
    </row>
    <row r="923" spans="27:27" ht="17.899999999999999" customHeight="1">
      <c r="AA923"/>
    </row>
    <row r="924" spans="27:27" ht="17.899999999999999" customHeight="1">
      <c r="AA924"/>
    </row>
    <row r="925" spans="27:27" ht="17.899999999999999" customHeight="1">
      <c r="AA925"/>
    </row>
    <row r="926" spans="27:27" ht="17.899999999999999" customHeight="1">
      <c r="AA926"/>
    </row>
    <row r="927" spans="27:27" ht="17.899999999999999" customHeight="1">
      <c r="AA927"/>
    </row>
    <row r="928" spans="27:27" ht="17.899999999999999" customHeight="1">
      <c r="AA928"/>
    </row>
    <row r="929" spans="27:27" ht="17.899999999999999" customHeight="1">
      <c r="AA929"/>
    </row>
    <row r="930" spans="27:27" ht="17.899999999999999" customHeight="1">
      <c r="AA930"/>
    </row>
    <row r="931" spans="27:27" ht="17.899999999999999" customHeight="1">
      <c r="AA931"/>
    </row>
    <row r="932" spans="27:27" ht="17.899999999999999" customHeight="1">
      <c r="AA932"/>
    </row>
    <row r="933" spans="27:27" ht="17.899999999999999" customHeight="1">
      <c r="AA933"/>
    </row>
    <row r="934" spans="27:27" ht="17.899999999999999" customHeight="1">
      <c r="AA934"/>
    </row>
    <row r="935" spans="27:27" ht="17.899999999999999" customHeight="1">
      <c r="AA935"/>
    </row>
    <row r="936" spans="27:27" ht="17.899999999999999" customHeight="1">
      <c r="AA936"/>
    </row>
    <row r="937" spans="27:27" ht="17.899999999999999" customHeight="1">
      <c r="AA937"/>
    </row>
    <row r="938" spans="27:27" ht="17.899999999999999" customHeight="1">
      <c r="AA938"/>
    </row>
    <row r="939" spans="27:27" ht="17.899999999999999" customHeight="1">
      <c r="AA939"/>
    </row>
    <row r="940" spans="27:27" ht="17.899999999999999" customHeight="1">
      <c r="AA940"/>
    </row>
    <row r="941" spans="27:27" ht="17.899999999999999" customHeight="1">
      <c r="AA941"/>
    </row>
    <row r="942" spans="27:27" ht="17.899999999999999" customHeight="1">
      <c r="AA942"/>
    </row>
    <row r="943" spans="27:27" ht="17.899999999999999" customHeight="1">
      <c r="AA943"/>
    </row>
    <row r="944" spans="27:27" ht="17.899999999999999" customHeight="1">
      <c r="AA944"/>
    </row>
    <row r="945" spans="27:27" ht="17.899999999999999" customHeight="1">
      <c r="AA945"/>
    </row>
    <row r="946" spans="27:27" ht="17.899999999999999" customHeight="1">
      <c r="AA946"/>
    </row>
    <row r="947" spans="27:27" ht="17.899999999999999" customHeight="1">
      <c r="AA947"/>
    </row>
    <row r="948" spans="27:27" ht="17.899999999999999" customHeight="1">
      <c r="AA948"/>
    </row>
    <row r="949" spans="27:27" ht="17.899999999999999" customHeight="1">
      <c r="AA949"/>
    </row>
    <row r="950" spans="27:27" ht="17.899999999999999" customHeight="1">
      <c r="AA950"/>
    </row>
    <row r="951" spans="27:27" ht="17.899999999999999" customHeight="1">
      <c r="AA951"/>
    </row>
    <row r="952" spans="27:27" ht="17.899999999999999" customHeight="1">
      <c r="AA952"/>
    </row>
    <row r="953" spans="27:27" ht="17.899999999999999" customHeight="1">
      <c r="AA953"/>
    </row>
    <row r="954" spans="27:27" ht="17.899999999999999" customHeight="1">
      <c r="AA954"/>
    </row>
    <row r="955" spans="27:27" ht="17.899999999999999" customHeight="1">
      <c r="AA955"/>
    </row>
    <row r="956" spans="27:27" ht="17.899999999999999" customHeight="1">
      <c r="AA956"/>
    </row>
    <row r="957" spans="27:27" ht="17.899999999999999" customHeight="1">
      <c r="AA957"/>
    </row>
    <row r="958" spans="27:27" ht="17.899999999999999" customHeight="1">
      <c r="AA958"/>
    </row>
    <row r="959" spans="27:27" ht="17.899999999999999" customHeight="1">
      <c r="AA959"/>
    </row>
    <row r="960" spans="27:27" ht="17.899999999999999" customHeight="1">
      <c r="AA960"/>
    </row>
    <row r="961" spans="27:27" ht="17.899999999999999" customHeight="1">
      <c r="AA961"/>
    </row>
    <row r="962" spans="27:27" ht="17.899999999999999" customHeight="1">
      <c r="AA962"/>
    </row>
    <row r="963" spans="27:27" ht="17.899999999999999" customHeight="1">
      <c r="AA963"/>
    </row>
    <row r="964" spans="27:27" ht="17.899999999999999" customHeight="1">
      <c r="AA964"/>
    </row>
    <row r="965" spans="27:27" ht="17.899999999999999" customHeight="1">
      <c r="AA965"/>
    </row>
    <row r="966" spans="27:27" ht="17.899999999999999" customHeight="1">
      <c r="AA966"/>
    </row>
    <row r="967" spans="27:27" ht="17.899999999999999" customHeight="1">
      <c r="AA967"/>
    </row>
    <row r="968" spans="27:27" ht="17.899999999999999" customHeight="1">
      <c r="AA968"/>
    </row>
    <row r="969" spans="27:27" ht="17.899999999999999" customHeight="1">
      <c r="AA969"/>
    </row>
    <row r="970" spans="27:27" ht="17.899999999999999" customHeight="1">
      <c r="AA970"/>
    </row>
    <row r="971" spans="27:27" ht="17.899999999999999" customHeight="1">
      <c r="AA971"/>
    </row>
    <row r="972" spans="27:27" ht="17.899999999999999" customHeight="1">
      <c r="AA972"/>
    </row>
    <row r="973" spans="27:27" ht="17.899999999999999" customHeight="1">
      <c r="AA973"/>
    </row>
    <row r="974" spans="27:27" ht="17.899999999999999" customHeight="1">
      <c r="AA974"/>
    </row>
    <row r="975" spans="27:27" ht="17.899999999999999" customHeight="1">
      <c r="AA975"/>
    </row>
    <row r="976" spans="27:27" ht="17.899999999999999" customHeight="1">
      <c r="AA976"/>
    </row>
    <row r="977" spans="27:27" ht="17.899999999999999" customHeight="1">
      <c r="AA977"/>
    </row>
    <row r="978" spans="27:27" ht="17.899999999999999" customHeight="1">
      <c r="AA978"/>
    </row>
    <row r="979" spans="27:27" ht="17.899999999999999" customHeight="1">
      <c r="AA979"/>
    </row>
    <row r="980" spans="27:27" ht="17.899999999999999" customHeight="1">
      <c r="AA980"/>
    </row>
    <row r="981" spans="27:27" ht="17.899999999999999" customHeight="1">
      <c r="AA981"/>
    </row>
    <row r="982" spans="27:27" ht="17.899999999999999" customHeight="1">
      <c r="AA982"/>
    </row>
    <row r="983" spans="27:27" ht="17.899999999999999" customHeight="1">
      <c r="AA983"/>
    </row>
    <row r="984" spans="27:27" ht="17.899999999999999" customHeight="1">
      <c r="AA984"/>
    </row>
    <row r="985" spans="27:27" ht="17.899999999999999" customHeight="1">
      <c r="AA985"/>
    </row>
    <row r="986" spans="27:27" ht="17.899999999999999" customHeight="1">
      <c r="AA986"/>
    </row>
    <row r="987" spans="27:27" ht="17.899999999999999" customHeight="1">
      <c r="AA987"/>
    </row>
    <row r="988" spans="27:27" ht="17.899999999999999" customHeight="1">
      <c r="AA988"/>
    </row>
    <row r="989" spans="27:27" ht="17.899999999999999" customHeight="1">
      <c r="AA989"/>
    </row>
    <row r="990" spans="27:27" ht="17.899999999999999" customHeight="1">
      <c r="AA990"/>
    </row>
    <row r="991" spans="27:27" ht="17.899999999999999" customHeight="1">
      <c r="AA991"/>
    </row>
    <row r="992" spans="27:27" ht="17.899999999999999" customHeight="1">
      <c r="AA992"/>
    </row>
    <row r="993" spans="27:27" ht="17.899999999999999" customHeight="1">
      <c r="AA993"/>
    </row>
    <row r="994" spans="27:27" ht="17.899999999999999" customHeight="1">
      <c r="AA994"/>
    </row>
    <row r="995" spans="27:27" ht="17.899999999999999" customHeight="1">
      <c r="AA995"/>
    </row>
    <row r="996" spans="27:27" ht="17.899999999999999" customHeight="1">
      <c r="AA996"/>
    </row>
    <row r="997" spans="27:27" ht="17.899999999999999" customHeight="1">
      <c r="AA997"/>
    </row>
    <row r="998" spans="27:27" ht="17.899999999999999" customHeight="1">
      <c r="AA998"/>
    </row>
    <row r="999" spans="27:27" ht="17.899999999999999" customHeight="1">
      <c r="AA999"/>
    </row>
    <row r="1000" spans="27:27" ht="17.899999999999999" customHeight="1">
      <c r="AA1000"/>
    </row>
    <row r="1001" spans="27:27" ht="17.899999999999999" customHeight="1">
      <c r="AA1001"/>
    </row>
    <row r="1002" spans="27:27" ht="17.899999999999999" customHeight="1">
      <c r="AA1002"/>
    </row>
    <row r="1003" spans="27:27" ht="17.899999999999999" customHeight="1">
      <c r="AA1003"/>
    </row>
    <row r="1004" spans="27:27" ht="17.899999999999999" customHeight="1">
      <c r="AA1004"/>
    </row>
    <row r="1005" spans="27:27" ht="17.899999999999999" customHeight="1">
      <c r="AA1005"/>
    </row>
    <row r="1006" spans="27:27" ht="17.899999999999999" customHeight="1">
      <c r="AA1006"/>
    </row>
    <row r="1007" spans="27:27" ht="17.899999999999999" customHeight="1">
      <c r="AA1007"/>
    </row>
    <row r="1008" spans="27:27" ht="17.899999999999999" customHeight="1">
      <c r="AA1008"/>
    </row>
    <row r="1009" spans="27:27" ht="17.899999999999999" customHeight="1">
      <c r="AA1009"/>
    </row>
    <row r="1010" spans="27:27" ht="17.899999999999999" customHeight="1">
      <c r="AA1010"/>
    </row>
    <row r="1011" spans="27:27" ht="17.899999999999999" customHeight="1">
      <c r="AA1011"/>
    </row>
    <row r="1012" spans="27:27" ht="17.899999999999999" customHeight="1">
      <c r="AA1012"/>
    </row>
    <row r="1013" spans="27:27" ht="17.899999999999999" customHeight="1">
      <c r="AA1013"/>
    </row>
    <row r="1014" spans="27:27" ht="17.899999999999999" customHeight="1">
      <c r="AA1014"/>
    </row>
    <row r="1015" spans="27:27" ht="17.899999999999999" customHeight="1">
      <c r="AA1015"/>
    </row>
    <row r="1016" spans="27:27" ht="17.899999999999999" customHeight="1">
      <c r="AA1016"/>
    </row>
    <row r="1017" spans="27:27" ht="17.899999999999999" customHeight="1">
      <c r="AA1017"/>
    </row>
    <row r="1018" spans="27:27" ht="17.899999999999999" customHeight="1">
      <c r="AA1018"/>
    </row>
    <row r="1019" spans="27:27" ht="17.899999999999999" customHeight="1">
      <c r="AA1019"/>
    </row>
    <row r="1020" spans="27:27" ht="17.899999999999999" customHeight="1">
      <c r="AA1020"/>
    </row>
    <row r="1021" spans="27:27" ht="17.899999999999999" customHeight="1">
      <c r="AA1021"/>
    </row>
    <row r="1022" spans="27:27" ht="17.899999999999999" customHeight="1">
      <c r="AA1022"/>
    </row>
    <row r="1023" spans="27:27" ht="17.899999999999999" customHeight="1">
      <c r="AA1023"/>
    </row>
    <row r="1024" spans="27:27" ht="17.899999999999999" customHeight="1">
      <c r="AA1024"/>
    </row>
    <row r="1025" spans="27:27" ht="17.899999999999999" customHeight="1">
      <c r="AA1025"/>
    </row>
    <row r="1026" spans="27:27" ht="17.899999999999999" customHeight="1">
      <c r="AA1026"/>
    </row>
    <row r="1027" spans="27:27" ht="17.899999999999999" customHeight="1">
      <c r="AA1027"/>
    </row>
    <row r="1028" spans="27:27" ht="17.899999999999999" customHeight="1">
      <c r="AA1028"/>
    </row>
    <row r="1029" spans="27:27" ht="17.899999999999999" customHeight="1">
      <c r="AA1029"/>
    </row>
    <row r="1030" spans="27:27" ht="17.899999999999999" customHeight="1">
      <c r="AA1030"/>
    </row>
    <row r="1031" spans="27:27" ht="17.899999999999999" customHeight="1">
      <c r="AA1031"/>
    </row>
    <row r="1032" spans="27:27" ht="17.899999999999999" customHeight="1">
      <c r="AA1032"/>
    </row>
    <row r="1033" spans="27:27" ht="17.899999999999999" customHeight="1">
      <c r="AA1033"/>
    </row>
    <row r="1034" spans="27:27" ht="17.899999999999999" customHeight="1">
      <c r="AA1034"/>
    </row>
    <row r="1035" spans="27:27" ht="17.899999999999999" customHeight="1">
      <c r="AA1035"/>
    </row>
    <row r="1036" spans="27:27" ht="17.899999999999999" customHeight="1">
      <c r="AA1036"/>
    </row>
    <row r="1037" spans="27:27" ht="17.899999999999999" customHeight="1">
      <c r="AA1037"/>
    </row>
    <row r="1038" spans="27:27" ht="17.899999999999999" customHeight="1">
      <c r="AA1038"/>
    </row>
    <row r="1039" spans="27:27" ht="17.899999999999999" customHeight="1">
      <c r="AA1039"/>
    </row>
    <row r="1040" spans="27:27" ht="17.899999999999999" customHeight="1">
      <c r="AA1040"/>
    </row>
    <row r="1041" spans="27:27" ht="17.899999999999999" customHeight="1">
      <c r="AA1041"/>
    </row>
    <row r="1042" spans="27:27" ht="17.899999999999999" customHeight="1">
      <c r="AA1042"/>
    </row>
    <row r="1043" spans="27:27" ht="17.899999999999999" customHeight="1">
      <c r="AA1043"/>
    </row>
    <row r="1044" spans="27:27" ht="17.899999999999999" customHeight="1">
      <c r="AA1044"/>
    </row>
    <row r="1045" spans="27:27" ht="17.899999999999999" customHeight="1">
      <c r="AA1045"/>
    </row>
    <row r="1046" spans="27:27" ht="17.899999999999999" customHeight="1">
      <c r="AA1046"/>
    </row>
    <row r="1047" spans="27:27" ht="17.899999999999999" customHeight="1">
      <c r="AA1047"/>
    </row>
    <row r="1048" spans="27:27" ht="17.899999999999999" customHeight="1">
      <c r="AA1048"/>
    </row>
    <row r="1049" spans="27:27" ht="17.899999999999999" customHeight="1">
      <c r="AA1049"/>
    </row>
    <row r="1050" spans="27:27" ht="17.899999999999999" customHeight="1">
      <c r="AA1050"/>
    </row>
    <row r="1051" spans="27:27" ht="17.899999999999999" customHeight="1">
      <c r="AA1051"/>
    </row>
    <row r="1052" spans="27:27" ht="17.899999999999999" customHeight="1">
      <c r="AA1052"/>
    </row>
    <row r="1053" spans="27:27" ht="17.899999999999999" customHeight="1">
      <c r="AA1053"/>
    </row>
    <row r="1054" spans="27:27" ht="17.899999999999999" customHeight="1">
      <c r="AA1054"/>
    </row>
    <row r="1055" spans="27:27" ht="17.899999999999999" customHeight="1">
      <c r="AA1055"/>
    </row>
    <row r="1056" spans="27:27" ht="17.899999999999999" customHeight="1">
      <c r="AA1056"/>
    </row>
    <row r="1057" spans="27:27" ht="17.899999999999999" customHeight="1">
      <c r="AA1057"/>
    </row>
    <row r="1058" spans="27:27" ht="17.899999999999999" customHeight="1">
      <c r="AA1058"/>
    </row>
    <row r="1059" spans="27:27" ht="17.899999999999999" customHeight="1">
      <c r="AA1059"/>
    </row>
    <row r="1060" spans="27:27" ht="17.899999999999999" customHeight="1">
      <c r="AA1060"/>
    </row>
    <row r="1061" spans="27:27" ht="17.899999999999999" customHeight="1">
      <c r="AA1061"/>
    </row>
    <row r="1062" spans="27:27" ht="17.899999999999999" customHeight="1">
      <c r="AA1062"/>
    </row>
    <row r="1063" spans="27:27" ht="17.899999999999999" customHeight="1">
      <c r="AA1063"/>
    </row>
    <row r="1064" spans="27:27" ht="17.899999999999999" customHeight="1">
      <c r="AA1064"/>
    </row>
    <row r="1065" spans="27:27" ht="17.899999999999999" customHeight="1">
      <c r="AA1065"/>
    </row>
    <row r="1066" spans="27:27" ht="17.899999999999999" customHeight="1">
      <c r="AA1066"/>
    </row>
    <row r="1067" spans="27:27" ht="17.899999999999999" customHeight="1">
      <c r="AA1067"/>
    </row>
    <row r="1068" spans="27:27" ht="17.899999999999999" customHeight="1">
      <c r="AA1068"/>
    </row>
    <row r="1069" spans="27:27" ht="17.899999999999999" customHeight="1">
      <c r="AA1069"/>
    </row>
    <row r="1070" spans="27:27" ht="17.899999999999999" customHeight="1">
      <c r="AA1070"/>
    </row>
    <row r="1071" spans="27:27" ht="17.899999999999999" customHeight="1">
      <c r="AA1071"/>
    </row>
    <row r="1072" spans="27:27" ht="17.899999999999999" customHeight="1">
      <c r="AA1072"/>
    </row>
    <row r="1073" spans="27:27" ht="17.899999999999999" customHeight="1">
      <c r="AA1073"/>
    </row>
    <row r="1074" spans="27:27" ht="17.899999999999999" customHeight="1">
      <c r="AA1074"/>
    </row>
    <row r="1075" spans="27:27" ht="17.899999999999999" customHeight="1">
      <c r="AA1075"/>
    </row>
    <row r="1076" spans="27:27" ht="17.899999999999999" customHeight="1">
      <c r="AA1076"/>
    </row>
    <row r="1077" spans="27:27" ht="17.899999999999999" customHeight="1">
      <c r="AA1077"/>
    </row>
    <row r="1078" spans="27:27" ht="17.899999999999999" customHeight="1">
      <c r="AA1078"/>
    </row>
    <row r="1079" spans="27:27" ht="17.899999999999999" customHeight="1">
      <c r="AA1079"/>
    </row>
    <row r="1080" spans="27:27" ht="17.899999999999999" customHeight="1">
      <c r="AA1080"/>
    </row>
    <row r="1081" spans="27:27" ht="17.899999999999999" customHeight="1">
      <c r="AA1081"/>
    </row>
    <row r="1082" spans="27:27" ht="17.899999999999999" customHeight="1">
      <c r="AA1082"/>
    </row>
    <row r="1083" spans="27:27" ht="17.899999999999999" customHeight="1">
      <c r="AA1083"/>
    </row>
    <row r="1084" spans="27:27" ht="17.899999999999999" customHeight="1">
      <c r="AA1084"/>
    </row>
    <row r="1085" spans="27:27" ht="17.899999999999999" customHeight="1">
      <c r="AA1085"/>
    </row>
    <row r="1086" spans="27:27" ht="17.899999999999999" customHeight="1">
      <c r="AA1086"/>
    </row>
    <row r="1087" spans="27:27" ht="17.899999999999999" customHeight="1">
      <c r="AA1087"/>
    </row>
    <row r="1088" spans="27:27" ht="17.899999999999999" customHeight="1">
      <c r="AA1088"/>
    </row>
    <row r="1089" spans="27:27" ht="17.899999999999999" customHeight="1">
      <c r="AA1089"/>
    </row>
    <row r="1090" spans="27:27" ht="17.899999999999999" customHeight="1">
      <c r="AA1090"/>
    </row>
    <row r="1091" spans="27:27" ht="17.899999999999999" customHeight="1">
      <c r="AA1091"/>
    </row>
    <row r="1092" spans="27:27" ht="17.899999999999999" customHeight="1">
      <c r="AA1092"/>
    </row>
    <row r="1093" spans="27:27" ht="17.899999999999999" customHeight="1">
      <c r="AA1093"/>
    </row>
    <row r="1094" spans="27:27" ht="17.899999999999999" customHeight="1">
      <c r="AA1094"/>
    </row>
    <row r="1095" spans="27:27" ht="17.899999999999999" customHeight="1">
      <c r="AA1095"/>
    </row>
    <row r="1096" spans="27:27" ht="17.899999999999999" customHeight="1">
      <c r="AA1096"/>
    </row>
    <row r="1097" spans="27:27" ht="17.899999999999999" customHeight="1">
      <c r="AA1097"/>
    </row>
    <row r="1098" spans="27:27" ht="17.899999999999999" customHeight="1">
      <c r="AA1098"/>
    </row>
    <row r="1099" spans="27:27" ht="17.899999999999999" customHeight="1">
      <c r="AA1099"/>
    </row>
    <row r="1100" spans="27:27" ht="17.899999999999999" customHeight="1">
      <c r="AA1100"/>
    </row>
    <row r="1101" spans="27:27" ht="17.899999999999999" customHeight="1">
      <c r="AA1101"/>
    </row>
    <row r="1102" spans="27:27" ht="17.899999999999999" customHeight="1">
      <c r="AA1102"/>
    </row>
    <row r="1103" spans="27:27" ht="17.899999999999999" customHeight="1">
      <c r="AA1103"/>
    </row>
    <row r="1104" spans="27:27" ht="17.899999999999999" customHeight="1">
      <c r="AA1104"/>
    </row>
    <row r="1105" spans="27:27" ht="17.899999999999999" customHeight="1">
      <c r="AA1105"/>
    </row>
    <row r="1106" spans="27:27" ht="17.899999999999999" customHeight="1">
      <c r="AA1106"/>
    </row>
    <row r="1107" spans="27:27" ht="17.899999999999999" customHeight="1">
      <c r="AA1107"/>
    </row>
    <row r="1108" spans="27:27" ht="17.899999999999999" customHeight="1">
      <c r="AA1108"/>
    </row>
    <row r="1109" spans="27:27" ht="17.899999999999999" customHeight="1">
      <c r="AA1109"/>
    </row>
    <row r="1110" spans="27:27" ht="17.899999999999999" customHeight="1">
      <c r="AA1110"/>
    </row>
    <row r="1111" spans="27:27" ht="17.899999999999999" customHeight="1">
      <c r="AA1111"/>
    </row>
    <row r="1112" spans="27:27" ht="17.899999999999999" customHeight="1">
      <c r="AA1112"/>
    </row>
    <row r="1113" spans="27:27" ht="17.899999999999999" customHeight="1">
      <c r="AA1113"/>
    </row>
    <row r="1114" spans="27:27" ht="17.899999999999999" customHeight="1">
      <c r="AA1114"/>
    </row>
    <row r="1115" spans="27:27" ht="17.899999999999999" customHeight="1">
      <c r="AA1115"/>
    </row>
    <row r="1116" spans="27:27" ht="17.899999999999999" customHeight="1">
      <c r="AA1116"/>
    </row>
    <row r="1117" spans="27:27" ht="17.899999999999999" customHeight="1">
      <c r="AA1117"/>
    </row>
    <row r="1118" spans="27:27" ht="17.899999999999999" customHeight="1">
      <c r="AA1118"/>
    </row>
    <row r="1119" spans="27:27" ht="17.899999999999999" customHeight="1">
      <c r="AA1119"/>
    </row>
    <row r="1120" spans="27:27" ht="17.899999999999999" customHeight="1">
      <c r="AA1120"/>
    </row>
    <row r="1121" spans="27:27" ht="17.899999999999999" customHeight="1">
      <c r="AA1121"/>
    </row>
    <row r="1122" spans="27:27" ht="17.899999999999999" customHeight="1">
      <c r="AA1122"/>
    </row>
    <row r="1123" spans="27:27" ht="17.899999999999999" customHeight="1">
      <c r="AA1123"/>
    </row>
    <row r="1124" spans="27:27" ht="17.899999999999999" customHeight="1">
      <c r="AA1124"/>
    </row>
    <row r="1125" spans="27:27" ht="17.899999999999999" customHeight="1">
      <c r="AA1125"/>
    </row>
    <row r="1126" spans="27:27" ht="17.899999999999999" customHeight="1">
      <c r="AA1126"/>
    </row>
    <row r="1127" spans="27:27" ht="17.899999999999999" customHeight="1">
      <c r="AA1127"/>
    </row>
    <row r="1128" spans="27:27" ht="17.899999999999999" customHeight="1">
      <c r="AA1128"/>
    </row>
    <row r="1129" spans="27:27" ht="17.899999999999999" customHeight="1">
      <c r="AA1129"/>
    </row>
    <row r="1130" spans="27:27" ht="17.899999999999999" customHeight="1">
      <c r="AA1130"/>
    </row>
    <row r="1131" spans="27:27" ht="17.899999999999999" customHeight="1">
      <c r="AA1131"/>
    </row>
    <row r="1132" spans="27:27" ht="17.899999999999999" customHeight="1">
      <c r="AA1132"/>
    </row>
    <row r="1133" spans="27:27" ht="17.899999999999999" customHeight="1">
      <c r="AA1133"/>
    </row>
    <row r="1134" spans="27:27" ht="17.899999999999999" customHeight="1">
      <c r="AA1134"/>
    </row>
    <row r="1135" spans="27:27" ht="17.899999999999999" customHeight="1">
      <c r="AA1135"/>
    </row>
    <row r="1136" spans="27:27" ht="17.899999999999999" customHeight="1">
      <c r="AA1136"/>
    </row>
    <row r="1137" spans="27:27" ht="17.899999999999999" customHeight="1">
      <c r="AA1137"/>
    </row>
    <row r="1138" spans="27:27" ht="17.899999999999999" customHeight="1">
      <c r="AA1138"/>
    </row>
    <row r="1139" spans="27:27" ht="17.899999999999999" customHeight="1">
      <c r="AA1139"/>
    </row>
    <row r="1140" spans="27:27" ht="17.899999999999999" customHeight="1">
      <c r="AA1140"/>
    </row>
    <row r="1141" spans="27:27" ht="17.899999999999999" customHeight="1">
      <c r="AA1141"/>
    </row>
    <row r="1142" spans="27:27" ht="17.899999999999999" customHeight="1">
      <c r="AA1142"/>
    </row>
    <row r="1143" spans="27:27" ht="17.899999999999999" customHeight="1">
      <c r="AA1143"/>
    </row>
    <row r="1144" spans="27:27" ht="17.899999999999999" customHeight="1">
      <c r="AA1144"/>
    </row>
    <row r="1145" spans="27:27" ht="17.899999999999999" customHeight="1">
      <c r="AA1145"/>
    </row>
    <row r="1146" spans="27:27" ht="17.899999999999999" customHeight="1">
      <c r="AA1146"/>
    </row>
    <row r="1147" spans="27:27" ht="17.899999999999999" customHeight="1">
      <c r="AA1147"/>
    </row>
    <row r="1148" spans="27:27" ht="17.899999999999999" customHeight="1">
      <c r="AA1148"/>
    </row>
    <row r="1149" spans="27:27" ht="17.899999999999999" customHeight="1">
      <c r="AA1149"/>
    </row>
    <row r="1150" spans="27:27" ht="17.899999999999999" customHeight="1">
      <c r="AA1150"/>
    </row>
    <row r="1151" spans="27:27" ht="17.899999999999999" customHeight="1">
      <c r="AA1151"/>
    </row>
    <row r="1152" spans="27:27" ht="17.899999999999999" customHeight="1">
      <c r="AA1152"/>
    </row>
    <row r="1153" spans="27:27" ht="17.899999999999999" customHeight="1">
      <c r="AA1153"/>
    </row>
    <row r="1154" spans="27:27" ht="17.899999999999999" customHeight="1">
      <c r="AA1154"/>
    </row>
    <row r="1155" spans="27:27" ht="17.899999999999999" customHeight="1">
      <c r="AA1155"/>
    </row>
    <row r="1156" spans="27:27" ht="17.899999999999999" customHeight="1">
      <c r="AA1156"/>
    </row>
    <row r="1157" spans="27:27" ht="17.899999999999999" customHeight="1">
      <c r="AA1157"/>
    </row>
    <row r="1158" spans="27:27" ht="17.899999999999999" customHeight="1">
      <c r="AA1158"/>
    </row>
    <row r="1159" spans="27:27" ht="17.899999999999999" customHeight="1">
      <c r="AA1159"/>
    </row>
    <row r="1160" spans="27:27" ht="17.899999999999999" customHeight="1">
      <c r="AA1160"/>
    </row>
    <row r="1161" spans="27:27" ht="17.899999999999999" customHeight="1">
      <c r="AA1161"/>
    </row>
    <row r="1162" spans="27:27" ht="17.899999999999999" customHeight="1">
      <c r="AA1162"/>
    </row>
    <row r="1163" spans="27:27" ht="17.899999999999999" customHeight="1">
      <c r="AA1163"/>
    </row>
    <row r="1164" spans="27:27" ht="17.899999999999999" customHeight="1">
      <c r="AA1164"/>
    </row>
    <row r="1165" spans="27:27" ht="17.899999999999999" customHeight="1">
      <c r="AA1165"/>
    </row>
    <row r="1166" spans="27:27" ht="17.899999999999999" customHeight="1">
      <c r="AA1166"/>
    </row>
    <row r="1167" spans="27:27" ht="17.899999999999999" customHeight="1">
      <c r="AA1167"/>
    </row>
    <row r="1168" spans="27:27" ht="17.899999999999999" customHeight="1">
      <c r="AA1168"/>
    </row>
    <row r="1169" spans="27:27" ht="17.899999999999999" customHeight="1">
      <c r="AA1169"/>
    </row>
    <row r="1170" spans="27:27" ht="17.899999999999999" customHeight="1">
      <c r="AA1170"/>
    </row>
    <row r="1171" spans="27:27" ht="17.899999999999999" customHeight="1">
      <c r="AA1171"/>
    </row>
    <row r="1172" spans="27:27" ht="17.899999999999999" customHeight="1">
      <c r="AA1172"/>
    </row>
    <row r="1173" spans="27:27" ht="17.899999999999999" customHeight="1">
      <c r="AA1173"/>
    </row>
    <row r="1174" spans="27:27" ht="17.899999999999999" customHeight="1">
      <c r="AA1174"/>
    </row>
    <row r="1175" spans="27:27" ht="17.899999999999999" customHeight="1">
      <c r="AA1175"/>
    </row>
    <row r="1176" spans="27:27" ht="17.899999999999999" customHeight="1">
      <c r="AA1176"/>
    </row>
    <row r="1177" spans="27:27" ht="17.899999999999999" customHeight="1">
      <c r="AA1177"/>
    </row>
    <row r="1178" spans="27:27" ht="17.899999999999999" customHeight="1">
      <c r="AA1178"/>
    </row>
    <row r="1179" spans="27:27" ht="17.899999999999999" customHeight="1">
      <c r="AA1179"/>
    </row>
    <row r="1180" spans="27:27" ht="17.899999999999999" customHeight="1">
      <c r="AA1180"/>
    </row>
    <row r="1181" spans="27:27" ht="17.899999999999999" customHeight="1">
      <c r="AA1181"/>
    </row>
    <row r="1182" spans="27:27" ht="17.899999999999999" customHeight="1">
      <c r="AA1182"/>
    </row>
    <row r="1183" spans="27:27" ht="17.899999999999999" customHeight="1">
      <c r="AA1183"/>
    </row>
    <row r="1184" spans="27:27" ht="17.899999999999999" customHeight="1">
      <c r="AA1184"/>
    </row>
    <row r="1185" spans="27:27" ht="17.899999999999999" customHeight="1">
      <c r="AA1185"/>
    </row>
    <row r="1186" spans="27:27" ht="17.899999999999999" customHeight="1">
      <c r="AA1186"/>
    </row>
    <row r="1187" spans="27:27" ht="17.899999999999999" customHeight="1">
      <c r="AA1187"/>
    </row>
    <row r="1188" spans="27:27" ht="17.899999999999999" customHeight="1">
      <c r="AA1188"/>
    </row>
    <row r="1189" spans="27:27" ht="17.899999999999999" customHeight="1">
      <c r="AA1189"/>
    </row>
    <row r="1190" spans="27:27" ht="17.899999999999999" customHeight="1">
      <c r="AA1190"/>
    </row>
    <row r="1191" spans="27:27" ht="17.899999999999999" customHeight="1">
      <c r="AA1191"/>
    </row>
    <row r="1192" spans="27:27" ht="17.899999999999999" customHeight="1">
      <c r="AA1192"/>
    </row>
    <row r="1193" spans="27:27" ht="17.899999999999999" customHeight="1">
      <c r="AA1193"/>
    </row>
    <row r="1194" spans="27:27" ht="17.899999999999999" customHeight="1">
      <c r="AA1194"/>
    </row>
    <row r="1195" spans="27:27" ht="17.899999999999999" customHeight="1">
      <c r="AA1195"/>
    </row>
    <row r="1196" spans="27:27" ht="17.899999999999999" customHeight="1">
      <c r="AA1196"/>
    </row>
    <row r="1197" spans="27:27" ht="17.899999999999999" customHeight="1">
      <c r="AA1197"/>
    </row>
    <row r="1198" spans="27:27" ht="17.899999999999999" customHeight="1">
      <c r="AA1198"/>
    </row>
    <row r="1199" spans="27:27" ht="17.899999999999999" customHeight="1">
      <c r="AA1199"/>
    </row>
    <row r="1200" spans="27:27" ht="17.899999999999999" customHeight="1">
      <c r="AA1200"/>
    </row>
    <row r="1201" spans="27:27" ht="17.899999999999999" customHeight="1">
      <c r="AA1201"/>
    </row>
    <row r="1202" spans="27:27" ht="17.899999999999999" customHeight="1">
      <c r="AA1202"/>
    </row>
    <row r="1203" spans="27:27" ht="17.899999999999999" customHeight="1">
      <c r="AA1203"/>
    </row>
    <row r="1204" spans="27:27" ht="17.899999999999999" customHeight="1">
      <c r="AA1204"/>
    </row>
    <row r="1205" spans="27:27" ht="17.899999999999999" customHeight="1">
      <c r="AA1205"/>
    </row>
    <row r="1206" spans="27:27" ht="17.899999999999999" customHeight="1">
      <c r="AA1206"/>
    </row>
    <row r="1207" spans="27:27" ht="17.899999999999999" customHeight="1">
      <c r="AA1207"/>
    </row>
    <row r="1208" spans="27:27" ht="17.899999999999999" customHeight="1">
      <c r="AA1208"/>
    </row>
    <row r="1209" spans="27:27" ht="17.899999999999999" customHeight="1">
      <c r="AA1209"/>
    </row>
    <row r="1210" spans="27:27" ht="17.899999999999999" customHeight="1">
      <c r="AA1210"/>
    </row>
    <row r="1211" spans="27:27" ht="17.899999999999999" customHeight="1">
      <c r="AA1211"/>
    </row>
    <row r="1212" spans="27:27" ht="17.899999999999999" customHeight="1">
      <c r="AA1212"/>
    </row>
    <row r="1213" spans="27:27" ht="17.899999999999999" customHeight="1">
      <c r="AA1213"/>
    </row>
    <row r="1214" spans="27:27" ht="17.899999999999999" customHeight="1">
      <c r="AA1214"/>
    </row>
    <row r="1215" spans="27:27" ht="17.899999999999999" customHeight="1">
      <c r="AA1215"/>
    </row>
    <row r="1216" spans="27:27" ht="17.899999999999999" customHeight="1">
      <c r="AA1216"/>
    </row>
    <row r="1217" spans="27:27" ht="17.899999999999999" customHeight="1">
      <c r="AA1217"/>
    </row>
    <row r="1218" spans="27:27" ht="17.899999999999999" customHeight="1">
      <c r="AA1218"/>
    </row>
    <row r="1219" spans="27:27" ht="17.899999999999999" customHeight="1">
      <c r="AA1219"/>
    </row>
    <row r="1220" spans="27:27" ht="17.899999999999999" customHeight="1">
      <c r="AA1220"/>
    </row>
    <row r="1221" spans="27:27" ht="17.899999999999999" customHeight="1">
      <c r="AA1221"/>
    </row>
    <row r="1222" spans="27:27" ht="17.899999999999999" customHeight="1">
      <c r="AA1222"/>
    </row>
    <row r="1223" spans="27:27" ht="17.899999999999999" customHeight="1">
      <c r="AA1223"/>
    </row>
    <row r="1224" spans="27:27" ht="17.899999999999999" customHeight="1">
      <c r="AA1224"/>
    </row>
    <row r="1225" spans="27:27" ht="17.899999999999999" customHeight="1">
      <c r="AA1225"/>
    </row>
    <row r="1226" spans="27:27" ht="17.899999999999999" customHeight="1">
      <c r="AA1226"/>
    </row>
    <row r="1227" spans="27:27" ht="17.899999999999999" customHeight="1">
      <c r="AA1227"/>
    </row>
    <row r="1228" spans="27:27" ht="17.899999999999999" customHeight="1">
      <c r="AA1228"/>
    </row>
    <row r="1229" spans="27:27" ht="17.899999999999999" customHeight="1">
      <c r="AA1229"/>
    </row>
    <row r="1230" spans="27:27" ht="17.899999999999999" customHeight="1">
      <c r="AA1230"/>
    </row>
    <row r="1231" spans="27:27" ht="17.899999999999999" customHeight="1">
      <c r="AA1231"/>
    </row>
    <row r="1232" spans="27:27" ht="17.899999999999999" customHeight="1">
      <c r="AA1232"/>
    </row>
    <row r="1233" spans="27:27" ht="17.899999999999999" customHeight="1">
      <c r="AA1233"/>
    </row>
    <row r="1234" spans="27:27" ht="17.899999999999999" customHeight="1">
      <c r="AA1234"/>
    </row>
    <row r="1235" spans="27:27" ht="17.899999999999999" customHeight="1">
      <c r="AA1235"/>
    </row>
    <row r="1236" spans="27:27" ht="17.899999999999999" customHeight="1">
      <c r="AA1236"/>
    </row>
    <row r="1237" spans="27:27" ht="17.899999999999999" customHeight="1">
      <c r="AA1237"/>
    </row>
    <row r="1238" spans="27:27" ht="17.899999999999999" customHeight="1">
      <c r="AA1238"/>
    </row>
    <row r="1239" spans="27:27" ht="17.899999999999999" customHeight="1">
      <c r="AA1239"/>
    </row>
    <row r="1240" spans="27:27" ht="17.899999999999999" customHeight="1">
      <c r="AA1240"/>
    </row>
    <row r="1241" spans="27:27" ht="17.899999999999999" customHeight="1">
      <c r="AA1241"/>
    </row>
    <row r="1242" spans="27:27" ht="17.899999999999999" customHeight="1">
      <c r="AA1242"/>
    </row>
    <row r="1243" spans="27:27" ht="17.899999999999999" customHeight="1">
      <c r="AA1243"/>
    </row>
    <row r="1244" spans="27:27" ht="17.899999999999999" customHeight="1">
      <c r="AA1244"/>
    </row>
    <row r="1245" spans="27:27" ht="17.899999999999999" customHeight="1">
      <c r="AA1245"/>
    </row>
    <row r="1246" spans="27:27" ht="17.899999999999999" customHeight="1">
      <c r="AA1246"/>
    </row>
    <row r="1247" spans="27:27" ht="17.899999999999999" customHeight="1">
      <c r="AA1247"/>
    </row>
    <row r="1248" spans="27:27" ht="17.899999999999999" customHeight="1">
      <c r="AA1248"/>
    </row>
    <row r="1249" spans="27:27" ht="17.899999999999999" customHeight="1">
      <c r="AA1249"/>
    </row>
    <row r="1250" spans="27:27" ht="17.899999999999999" customHeight="1">
      <c r="AA1250"/>
    </row>
    <row r="1251" spans="27:27" ht="17.899999999999999" customHeight="1">
      <c r="AA1251"/>
    </row>
    <row r="1252" spans="27:27" ht="17.899999999999999" customHeight="1">
      <c r="AA1252"/>
    </row>
    <row r="1253" spans="27:27" ht="17.899999999999999" customHeight="1">
      <c r="AA1253"/>
    </row>
    <row r="1254" spans="27:27" ht="17.899999999999999" customHeight="1">
      <c r="AA1254"/>
    </row>
    <row r="1255" spans="27:27" ht="17.899999999999999" customHeight="1">
      <c r="AA1255"/>
    </row>
    <row r="1256" spans="27:27" ht="17.899999999999999" customHeight="1">
      <c r="AA1256"/>
    </row>
    <row r="1257" spans="27:27" ht="17.899999999999999" customHeight="1">
      <c r="AA1257"/>
    </row>
    <row r="1258" spans="27:27" ht="17.899999999999999" customHeight="1">
      <c r="AA1258"/>
    </row>
    <row r="1259" spans="27:27" ht="17.899999999999999" customHeight="1">
      <c r="AA1259"/>
    </row>
    <row r="1260" spans="27:27" ht="17.899999999999999" customHeight="1">
      <c r="AA1260"/>
    </row>
    <row r="1261" spans="27:27" ht="17.899999999999999" customHeight="1">
      <c r="AA1261"/>
    </row>
    <row r="1262" spans="27:27" ht="17.899999999999999" customHeight="1">
      <c r="AA1262"/>
    </row>
    <row r="1263" spans="27:27" ht="17.899999999999999" customHeight="1">
      <c r="AA1263"/>
    </row>
    <row r="1264" spans="27:27" ht="17.899999999999999" customHeight="1">
      <c r="AA1264"/>
    </row>
    <row r="1265" spans="27:27" ht="17.899999999999999" customHeight="1">
      <c r="AA1265"/>
    </row>
    <row r="1266" spans="27:27" ht="17.899999999999999" customHeight="1">
      <c r="AA1266"/>
    </row>
    <row r="1267" spans="27:27" ht="17.899999999999999" customHeight="1">
      <c r="AA1267"/>
    </row>
    <row r="1268" spans="27:27" ht="17.899999999999999" customHeight="1">
      <c r="AA1268"/>
    </row>
    <row r="1269" spans="27:27" ht="17.899999999999999" customHeight="1">
      <c r="AA1269"/>
    </row>
    <row r="1270" spans="27:27" ht="17.899999999999999" customHeight="1">
      <c r="AA1270"/>
    </row>
    <row r="1271" spans="27:27" ht="17.899999999999999" customHeight="1">
      <c r="AA1271"/>
    </row>
    <row r="1272" spans="27:27" ht="17.899999999999999" customHeight="1">
      <c r="AA1272"/>
    </row>
    <row r="1273" spans="27:27" ht="17.899999999999999" customHeight="1">
      <c r="AA1273"/>
    </row>
    <row r="1274" spans="27:27" ht="17.899999999999999" customHeight="1">
      <c r="AA1274"/>
    </row>
    <row r="1275" spans="27:27" ht="17.899999999999999" customHeight="1">
      <c r="AA1275"/>
    </row>
    <row r="1276" spans="27:27" ht="17.899999999999999" customHeight="1">
      <c r="AA1276"/>
    </row>
    <row r="1277" spans="27:27" ht="17.899999999999999" customHeight="1">
      <c r="AA1277"/>
    </row>
    <row r="1278" spans="27:27" ht="17.899999999999999" customHeight="1">
      <c r="AA1278"/>
    </row>
    <row r="1279" spans="27:27" ht="17.899999999999999" customHeight="1">
      <c r="AA1279"/>
    </row>
    <row r="1280" spans="27:27" ht="17.899999999999999" customHeight="1">
      <c r="AA1280"/>
    </row>
    <row r="1281" spans="27:27" ht="17.899999999999999" customHeight="1">
      <c r="AA1281"/>
    </row>
    <row r="1282" spans="27:27" ht="17.899999999999999" customHeight="1">
      <c r="AA1282"/>
    </row>
    <row r="1283" spans="27:27" ht="17.899999999999999" customHeight="1">
      <c r="AA1283"/>
    </row>
    <row r="1284" spans="27:27" ht="17.899999999999999" customHeight="1">
      <c r="AA1284"/>
    </row>
    <row r="1285" spans="27:27" ht="17.899999999999999" customHeight="1">
      <c r="AA1285"/>
    </row>
    <row r="1286" spans="27:27" ht="17.899999999999999" customHeight="1">
      <c r="AA1286"/>
    </row>
    <row r="1287" spans="27:27" ht="17.899999999999999" customHeight="1">
      <c r="AA1287"/>
    </row>
    <row r="1288" spans="27:27" ht="17.899999999999999" customHeight="1">
      <c r="AA1288"/>
    </row>
    <row r="1289" spans="27:27" ht="17.899999999999999" customHeight="1">
      <c r="AA1289"/>
    </row>
    <row r="1290" spans="27:27" ht="17.899999999999999" customHeight="1">
      <c r="AA1290"/>
    </row>
    <row r="1291" spans="27:27" ht="17.899999999999999" customHeight="1">
      <c r="AA1291"/>
    </row>
    <row r="1292" spans="27:27" ht="17.899999999999999" customHeight="1">
      <c r="AA1292"/>
    </row>
    <row r="1293" spans="27:27" ht="17.899999999999999" customHeight="1">
      <c r="AA1293"/>
    </row>
    <row r="1294" spans="27:27" ht="17.899999999999999" customHeight="1">
      <c r="AA1294"/>
    </row>
    <row r="1295" spans="27:27" ht="17.899999999999999" customHeight="1">
      <c r="AA1295"/>
    </row>
    <row r="1296" spans="27:27" ht="17.899999999999999" customHeight="1">
      <c r="AA1296"/>
    </row>
    <row r="1297" spans="27:27" ht="17.899999999999999" customHeight="1">
      <c r="AA1297"/>
    </row>
    <row r="1298" spans="27:27" ht="17.899999999999999" customHeight="1">
      <c r="AA1298"/>
    </row>
    <row r="1299" spans="27:27" ht="17.899999999999999" customHeight="1">
      <c r="AA1299"/>
    </row>
    <row r="1300" spans="27:27" ht="17.899999999999999" customHeight="1">
      <c r="AA1300"/>
    </row>
    <row r="1301" spans="27:27" ht="17.899999999999999" customHeight="1">
      <c r="AA1301"/>
    </row>
    <row r="1302" spans="27:27" ht="17.899999999999999" customHeight="1">
      <c r="AA1302"/>
    </row>
    <row r="1303" spans="27:27" ht="17.899999999999999" customHeight="1">
      <c r="AA1303"/>
    </row>
    <row r="1304" spans="27:27" ht="17.899999999999999" customHeight="1">
      <c r="AA1304"/>
    </row>
    <row r="1305" spans="27:27" ht="17.899999999999999" customHeight="1">
      <c r="AA1305"/>
    </row>
    <row r="1306" spans="27:27" ht="17.899999999999999" customHeight="1">
      <c r="AA1306"/>
    </row>
    <row r="1307" spans="27:27" ht="17.899999999999999" customHeight="1">
      <c r="AA1307"/>
    </row>
    <row r="1308" spans="27:27" ht="17.899999999999999" customHeight="1">
      <c r="AA1308"/>
    </row>
    <row r="1309" spans="27:27" ht="17.899999999999999" customHeight="1">
      <c r="AA1309"/>
    </row>
    <row r="1310" spans="27:27" ht="17.899999999999999" customHeight="1">
      <c r="AA1310"/>
    </row>
    <row r="1311" spans="27:27" ht="17.899999999999999" customHeight="1">
      <c r="AA1311"/>
    </row>
    <row r="1312" spans="27:27" ht="17.899999999999999" customHeight="1">
      <c r="AA1312"/>
    </row>
    <row r="1313" spans="27:27" ht="17.899999999999999" customHeight="1">
      <c r="AA1313"/>
    </row>
    <row r="1314" spans="27:27" ht="17.899999999999999" customHeight="1">
      <c r="AA1314"/>
    </row>
    <row r="1315" spans="27:27" ht="17.899999999999999" customHeight="1">
      <c r="AA1315"/>
    </row>
    <row r="1316" spans="27:27" ht="17.899999999999999" customHeight="1">
      <c r="AA1316"/>
    </row>
    <row r="1317" spans="27:27" ht="17.899999999999999" customHeight="1">
      <c r="AA1317"/>
    </row>
    <row r="1318" spans="27:27" ht="17.899999999999999" customHeight="1">
      <c r="AA1318"/>
    </row>
    <row r="1319" spans="27:27" ht="17.899999999999999" customHeight="1">
      <c r="AA1319"/>
    </row>
    <row r="1320" spans="27:27" ht="17.899999999999999" customHeight="1">
      <c r="AA1320"/>
    </row>
    <row r="1321" spans="27:27" ht="17.899999999999999" customHeight="1">
      <c r="AA1321"/>
    </row>
    <row r="1322" spans="27:27" ht="17.899999999999999" customHeight="1">
      <c r="AA1322"/>
    </row>
    <row r="1323" spans="27:27" ht="17.899999999999999" customHeight="1">
      <c r="AA1323"/>
    </row>
    <row r="1324" spans="27:27" ht="17.899999999999999" customHeight="1">
      <c r="AA1324"/>
    </row>
    <row r="1325" spans="27:27" ht="17.899999999999999" customHeight="1">
      <c r="AA1325"/>
    </row>
    <row r="1326" spans="27:27" ht="17.899999999999999" customHeight="1">
      <c r="AA1326"/>
    </row>
    <row r="1327" spans="27:27" ht="17.899999999999999" customHeight="1">
      <c r="AA1327"/>
    </row>
    <row r="1328" spans="27:27" ht="17.899999999999999" customHeight="1">
      <c r="AA1328"/>
    </row>
    <row r="1329" spans="27:27" ht="17.899999999999999" customHeight="1">
      <c r="AA1329"/>
    </row>
    <row r="1330" spans="27:27" ht="17.899999999999999" customHeight="1">
      <c r="AA1330"/>
    </row>
    <row r="1331" spans="27:27" ht="17.899999999999999" customHeight="1">
      <c r="AA1331"/>
    </row>
    <row r="1332" spans="27:27" ht="17.899999999999999" customHeight="1">
      <c r="AA1332"/>
    </row>
    <row r="1333" spans="27:27" ht="17.899999999999999" customHeight="1">
      <c r="AA1333"/>
    </row>
    <row r="1334" spans="27:27" ht="17.899999999999999" customHeight="1">
      <c r="AA1334"/>
    </row>
    <row r="1335" spans="27:27" ht="17.899999999999999" customHeight="1">
      <c r="AA1335"/>
    </row>
    <row r="1336" spans="27:27" ht="17.899999999999999" customHeight="1">
      <c r="AA1336"/>
    </row>
    <row r="1337" spans="27:27" ht="17.899999999999999" customHeight="1">
      <c r="AA1337"/>
    </row>
    <row r="1338" spans="27:27" ht="17.899999999999999" customHeight="1">
      <c r="AA1338"/>
    </row>
    <row r="1339" spans="27:27" ht="17.899999999999999" customHeight="1">
      <c r="AA1339"/>
    </row>
    <row r="1340" spans="27:27" ht="17.899999999999999" customHeight="1">
      <c r="AA1340"/>
    </row>
    <row r="1341" spans="27:27" ht="17.899999999999999" customHeight="1">
      <c r="AA1341"/>
    </row>
    <row r="1342" spans="27:27" ht="17.899999999999999" customHeight="1">
      <c r="AA1342"/>
    </row>
    <row r="1343" spans="27:27" ht="17.899999999999999" customHeight="1">
      <c r="AA1343"/>
    </row>
    <row r="1344" spans="27:27" ht="17.899999999999999" customHeight="1">
      <c r="AA1344"/>
    </row>
    <row r="1345" spans="27:27" ht="17.899999999999999" customHeight="1">
      <c r="AA1345"/>
    </row>
    <row r="1346" spans="27:27" ht="17.899999999999999" customHeight="1">
      <c r="AA1346"/>
    </row>
    <row r="1347" spans="27:27" ht="17.899999999999999" customHeight="1">
      <c r="AA1347"/>
    </row>
    <row r="1348" spans="27:27" ht="17.899999999999999" customHeight="1">
      <c r="AA1348"/>
    </row>
    <row r="1349" spans="27:27" ht="17.899999999999999" customHeight="1">
      <c r="AA1349"/>
    </row>
    <row r="1350" spans="27:27" ht="17.899999999999999" customHeight="1">
      <c r="AA1350"/>
    </row>
    <row r="1351" spans="27:27" ht="17.899999999999999" customHeight="1">
      <c r="AA1351"/>
    </row>
    <row r="1352" spans="27:27" ht="17.899999999999999" customHeight="1">
      <c r="AA1352"/>
    </row>
    <row r="1353" spans="27:27" ht="17.899999999999999" customHeight="1">
      <c r="AA1353"/>
    </row>
    <row r="1354" spans="27:27" ht="17.899999999999999" customHeight="1">
      <c r="AA1354"/>
    </row>
    <row r="1355" spans="27:27" ht="17.899999999999999" customHeight="1">
      <c r="AA1355"/>
    </row>
    <row r="1356" spans="27:27" ht="17.899999999999999" customHeight="1">
      <c r="AA1356"/>
    </row>
    <row r="1357" spans="27:27" ht="17.899999999999999" customHeight="1">
      <c r="AA1357"/>
    </row>
    <row r="1358" spans="27:27" ht="17.899999999999999" customHeight="1">
      <c r="AA1358"/>
    </row>
    <row r="1359" spans="27:27" ht="17.899999999999999" customHeight="1">
      <c r="AA1359"/>
    </row>
    <row r="1360" spans="27:27" ht="17.899999999999999" customHeight="1">
      <c r="AA1360"/>
    </row>
    <row r="1361" spans="27:27" ht="17.899999999999999" customHeight="1">
      <c r="AA1361"/>
    </row>
    <row r="1362" spans="27:27" ht="17.899999999999999" customHeight="1">
      <c r="AA1362"/>
    </row>
    <row r="1363" spans="27:27" ht="17.899999999999999" customHeight="1">
      <c r="AA1363"/>
    </row>
    <row r="1364" spans="27:27" ht="17.899999999999999" customHeight="1">
      <c r="AA1364"/>
    </row>
    <row r="1365" spans="27:27" ht="17.899999999999999" customHeight="1">
      <c r="AA1365"/>
    </row>
    <row r="1366" spans="27:27" ht="17.899999999999999" customHeight="1">
      <c r="AA1366"/>
    </row>
    <row r="1367" spans="27:27" ht="17.899999999999999" customHeight="1">
      <c r="AA1367"/>
    </row>
    <row r="1368" spans="27:27" ht="17.899999999999999" customHeight="1">
      <c r="AA1368"/>
    </row>
    <row r="1369" spans="27:27" ht="17.899999999999999" customHeight="1">
      <c r="AA1369"/>
    </row>
    <row r="1370" spans="27:27" ht="17.899999999999999" customHeight="1">
      <c r="AA1370"/>
    </row>
    <row r="1371" spans="27:27" ht="17.899999999999999" customHeight="1">
      <c r="AA1371"/>
    </row>
    <row r="1372" spans="27:27" ht="17.899999999999999" customHeight="1">
      <c r="AA1372"/>
    </row>
    <row r="1373" spans="27:27" ht="17.899999999999999" customHeight="1">
      <c r="AA1373"/>
    </row>
    <row r="1374" spans="27:27" ht="17.899999999999999" customHeight="1">
      <c r="AA1374"/>
    </row>
    <row r="1375" spans="27:27" ht="17.899999999999999" customHeight="1">
      <c r="AA1375"/>
    </row>
    <row r="1376" spans="27:27" ht="17.899999999999999" customHeight="1">
      <c r="AA1376"/>
    </row>
    <row r="1377" spans="27:27" ht="17.899999999999999" customHeight="1">
      <c r="AA1377"/>
    </row>
    <row r="1378" spans="27:27" ht="17.899999999999999" customHeight="1">
      <c r="AA1378"/>
    </row>
    <row r="1379" spans="27:27" ht="17.899999999999999" customHeight="1">
      <c r="AA1379"/>
    </row>
    <row r="1380" spans="27:27" ht="17.899999999999999" customHeight="1">
      <c r="AA1380"/>
    </row>
    <row r="1381" spans="27:27" ht="17.899999999999999" customHeight="1">
      <c r="AA1381"/>
    </row>
    <row r="1382" spans="27:27" ht="17.899999999999999" customHeight="1">
      <c r="AA1382"/>
    </row>
    <row r="1383" spans="27:27" ht="17.899999999999999" customHeight="1">
      <c r="AA1383"/>
    </row>
    <row r="1384" spans="27:27" ht="17.899999999999999" customHeight="1">
      <c r="AA1384"/>
    </row>
    <row r="1385" spans="27:27" ht="17.899999999999999" customHeight="1">
      <c r="AA1385"/>
    </row>
    <row r="1386" spans="27:27" ht="17.899999999999999" customHeight="1">
      <c r="AA1386"/>
    </row>
    <row r="1387" spans="27:27" ht="17.899999999999999" customHeight="1">
      <c r="AA1387"/>
    </row>
    <row r="1388" spans="27:27" ht="17.899999999999999" customHeight="1">
      <c r="AA1388"/>
    </row>
    <row r="1389" spans="27:27" ht="17.899999999999999" customHeight="1">
      <c r="AA1389"/>
    </row>
    <row r="1390" spans="27:27" ht="17.899999999999999" customHeight="1">
      <c r="AA1390"/>
    </row>
    <row r="1391" spans="27:27" ht="17.899999999999999" customHeight="1">
      <c r="AA1391"/>
    </row>
    <row r="1392" spans="27:27" ht="17.899999999999999" customHeight="1">
      <c r="AA1392"/>
    </row>
    <row r="1393" spans="27:27" ht="17.899999999999999" customHeight="1">
      <c r="AA1393"/>
    </row>
    <row r="1394" spans="27:27" ht="17.899999999999999" customHeight="1">
      <c r="AA1394"/>
    </row>
    <row r="1395" spans="27:27" ht="17.899999999999999" customHeight="1">
      <c r="AA1395"/>
    </row>
    <row r="1396" spans="27:27" ht="17.899999999999999" customHeight="1">
      <c r="AA1396"/>
    </row>
    <row r="1397" spans="27:27" ht="17.899999999999999" customHeight="1">
      <c r="AA1397"/>
    </row>
    <row r="1398" spans="27:27" ht="17.899999999999999" customHeight="1">
      <c r="AA1398"/>
    </row>
    <row r="1399" spans="27:27" ht="17.899999999999999" customHeight="1">
      <c r="AA1399"/>
    </row>
    <row r="1400" spans="27:27" ht="17.899999999999999" customHeight="1">
      <c r="AA1400"/>
    </row>
    <row r="1401" spans="27:27" ht="17.899999999999999" customHeight="1">
      <c r="AA1401"/>
    </row>
    <row r="1402" spans="27:27" ht="17.899999999999999" customHeight="1">
      <c r="AA1402"/>
    </row>
    <row r="1403" spans="27:27" ht="17.899999999999999" customHeight="1">
      <c r="AA1403"/>
    </row>
    <row r="1404" spans="27:27" ht="17.899999999999999" customHeight="1">
      <c r="AA1404"/>
    </row>
    <row r="1405" spans="27:27" ht="17.899999999999999" customHeight="1">
      <c r="AA1405"/>
    </row>
    <row r="1406" spans="27:27" ht="17.899999999999999" customHeight="1">
      <c r="AA1406"/>
    </row>
    <row r="1407" spans="27:27" ht="17.899999999999999" customHeight="1">
      <c r="AA1407"/>
    </row>
    <row r="1408" spans="27:27" ht="17.899999999999999" customHeight="1">
      <c r="AA1408"/>
    </row>
    <row r="1409" spans="27:27" ht="17.899999999999999" customHeight="1">
      <c r="AA1409"/>
    </row>
    <row r="1410" spans="27:27" ht="17.899999999999999" customHeight="1">
      <c r="AA1410"/>
    </row>
    <row r="1411" spans="27:27" ht="17.899999999999999" customHeight="1">
      <c r="AA1411"/>
    </row>
    <row r="1412" spans="27:27" ht="17.899999999999999" customHeight="1">
      <c r="AA1412"/>
    </row>
    <row r="1413" spans="27:27" ht="17.899999999999999" customHeight="1">
      <c r="AA1413"/>
    </row>
    <row r="1414" spans="27:27" ht="17.899999999999999" customHeight="1">
      <c r="AA1414"/>
    </row>
    <row r="1415" spans="27:27" ht="17.899999999999999" customHeight="1">
      <c r="AA1415"/>
    </row>
    <row r="1416" spans="27:27" ht="17.899999999999999" customHeight="1">
      <c r="AA1416"/>
    </row>
    <row r="1417" spans="27:27" ht="17.899999999999999" customHeight="1">
      <c r="AA1417"/>
    </row>
    <row r="1418" spans="27:27" ht="17.899999999999999" customHeight="1">
      <c r="AA1418"/>
    </row>
    <row r="1419" spans="27:27" ht="17.899999999999999" customHeight="1">
      <c r="AA1419"/>
    </row>
    <row r="1420" spans="27:27" ht="17.899999999999999" customHeight="1">
      <c r="AA1420"/>
    </row>
    <row r="1421" spans="27:27" ht="17.899999999999999" customHeight="1">
      <c r="AA1421"/>
    </row>
    <row r="1422" spans="27:27" ht="17.899999999999999" customHeight="1">
      <c r="AA1422"/>
    </row>
    <row r="1423" spans="27:27" ht="17.899999999999999" customHeight="1">
      <c r="AA1423"/>
    </row>
    <row r="1424" spans="27:27" ht="17.899999999999999" customHeight="1">
      <c r="AA1424"/>
    </row>
    <row r="1425" spans="27:27" ht="17.899999999999999" customHeight="1">
      <c r="AA1425"/>
    </row>
    <row r="1426" spans="27:27" ht="17.899999999999999" customHeight="1">
      <c r="AA1426"/>
    </row>
    <row r="1427" spans="27:27" ht="17.899999999999999" customHeight="1">
      <c r="AA1427"/>
    </row>
    <row r="1428" spans="27:27" ht="17.899999999999999" customHeight="1">
      <c r="AA1428"/>
    </row>
    <row r="1429" spans="27:27" ht="17.899999999999999" customHeight="1">
      <c r="AA1429"/>
    </row>
    <row r="1430" spans="27:27" ht="17.899999999999999" customHeight="1">
      <c r="AA1430"/>
    </row>
    <row r="1431" spans="27:27" ht="17.899999999999999" customHeight="1">
      <c r="AA1431"/>
    </row>
    <row r="1432" spans="27:27" ht="17.899999999999999" customHeight="1">
      <c r="AA1432"/>
    </row>
    <row r="1433" spans="27:27" ht="17.899999999999999" customHeight="1">
      <c r="AA1433"/>
    </row>
    <row r="1434" spans="27:27" ht="17.899999999999999" customHeight="1">
      <c r="AA1434"/>
    </row>
    <row r="1435" spans="27:27" ht="17.899999999999999" customHeight="1">
      <c r="AA1435"/>
    </row>
    <row r="1436" spans="27:27" ht="17.899999999999999" customHeight="1">
      <c r="AA1436"/>
    </row>
    <row r="1437" spans="27:27" ht="17.899999999999999" customHeight="1">
      <c r="AA1437"/>
    </row>
    <row r="1438" spans="27:27" ht="17.899999999999999" customHeight="1">
      <c r="AA1438"/>
    </row>
    <row r="1439" spans="27:27" ht="17.899999999999999" customHeight="1">
      <c r="AA1439"/>
    </row>
    <row r="1440" spans="27:27" ht="17.899999999999999" customHeight="1">
      <c r="AA1440"/>
    </row>
    <row r="1441" spans="27:27" ht="17.899999999999999" customHeight="1">
      <c r="AA1441"/>
    </row>
    <row r="1442" spans="27:27" ht="17.899999999999999" customHeight="1">
      <c r="AA1442"/>
    </row>
    <row r="1443" spans="27:27" ht="17.899999999999999" customHeight="1">
      <c r="AA1443"/>
    </row>
    <row r="1444" spans="27:27" ht="17.899999999999999" customHeight="1">
      <c r="AA1444"/>
    </row>
    <row r="1445" spans="27:27" ht="17.899999999999999" customHeight="1">
      <c r="AA1445"/>
    </row>
    <row r="1446" spans="27:27" ht="17.899999999999999" customHeight="1">
      <c r="AA1446"/>
    </row>
    <row r="1447" spans="27:27" ht="17.899999999999999" customHeight="1">
      <c r="AA1447"/>
    </row>
    <row r="1448" spans="27:27" ht="17.899999999999999" customHeight="1">
      <c r="AA1448"/>
    </row>
    <row r="1449" spans="27:27" ht="17.899999999999999" customHeight="1">
      <c r="AA1449"/>
    </row>
    <row r="1450" spans="27:27" ht="17.899999999999999" customHeight="1">
      <c r="AA1450"/>
    </row>
    <row r="1451" spans="27:27" ht="17.899999999999999" customHeight="1">
      <c r="AA1451"/>
    </row>
    <row r="1452" spans="27:27" ht="17.899999999999999" customHeight="1">
      <c r="AA1452"/>
    </row>
    <row r="1453" spans="27:27" ht="17.899999999999999" customHeight="1">
      <c r="AA1453"/>
    </row>
    <row r="1454" spans="27:27" ht="17.899999999999999" customHeight="1">
      <c r="AA1454"/>
    </row>
    <row r="1455" spans="27:27" ht="17.899999999999999" customHeight="1">
      <c r="AA1455"/>
    </row>
    <row r="1456" spans="27:27" ht="17.899999999999999" customHeight="1">
      <c r="AA1456"/>
    </row>
    <row r="1457" spans="27:27" ht="17.899999999999999" customHeight="1">
      <c r="AA1457"/>
    </row>
    <row r="1458" spans="27:27" ht="17.899999999999999" customHeight="1">
      <c r="AA1458"/>
    </row>
    <row r="1459" spans="27:27" ht="17.899999999999999" customHeight="1">
      <c r="AA1459"/>
    </row>
    <row r="1460" spans="27:27" ht="17.899999999999999" customHeight="1">
      <c r="AA1460"/>
    </row>
    <row r="1461" spans="27:27" ht="17.899999999999999" customHeight="1">
      <c r="AA1461"/>
    </row>
    <row r="1462" spans="27:27" ht="17.899999999999999" customHeight="1">
      <c r="AA1462"/>
    </row>
    <row r="1463" spans="27:27" ht="17.899999999999999" customHeight="1">
      <c r="AA1463"/>
    </row>
    <row r="1464" spans="27:27" ht="17.899999999999999" customHeight="1">
      <c r="AA1464"/>
    </row>
    <row r="1465" spans="27:27" ht="17.899999999999999" customHeight="1">
      <c r="AA1465"/>
    </row>
    <row r="1466" spans="27:27" ht="17.899999999999999" customHeight="1">
      <c r="AA1466"/>
    </row>
    <row r="1467" spans="27:27" ht="17.899999999999999" customHeight="1">
      <c r="AA1467"/>
    </row>
    <row r="1468" spans="27:27" ht="17.899999999999999" customHeight="1">
      <c r="AA1468"/>
    </row>
    <row r="1469" spans="27:27" ht="17.899999999999999" customHeight="1">
      <c r="AA1469"/>
    </row>
    <row r="1470" spans="27:27" ht="17.899999999999999" customHeight="1">
      <c r="AA1470"/>
    </row>
    <row r="1471" spans="27:27" ht="17.899999999999999" customHeight="1">
      <c r="AA1471"/>
    </row>
    <row r="1472" spans="27:27" ht="17.899999999999999" customHeight="1">
      <c r="AA1472"/>
    </row>
    <row r="1473" spans="27:27" ht="17.899999999999999" customHeight="1">
      <c r="AA1473"/>
    </row>
    <row r="1474" spans="27:27" ht="17.899999999999999" customHeight="1">
      <c r="AA1474"/>
    </row>
    <row r="1475" spans="27:27" ht="17.899999999999999" customHeight="1">
      <c r="AA1475"/>
    </row>
    <row r="1476" spans="27:27" ht="17.899999999999999" customHeight="1">
      <c r="AA1476"/>
    </row>
    <row r="1477" spans="27:27" ht="17.899999999999999" customHeight="1">
      <c r="AA1477"/>
    </row>
    <row r="1478" spans="27:27" ht="17.899999999999999" customHeight="1">
      <c r="AA1478"/>
    </row>
    <row r="1479" spans="27:27" ht="17.899999999999999" customHeight="1">
      <c r="AA1479"/>
    </row>
    <row r="1480" spans="27:27" ht="17.899999999999999" customHeight="1">
      <c r="AA1480"/>
    </row>
    <row r="1481" spans="27:27" ht="17.899999999999999" customHeight="1">
      <c r="AA1481"/>
    </row>
    <row r="1482" spans="27:27" ht="17.899999999999999" customHeight="1">
      <c r="AA1482"/>
    </row>
    <row r="1483" spans="27:27" ht="17.899999999999999" customHeight="1">
      <c r="AA1483"/>
    </row>
    <row r="1484" spans="27:27" ht="17.899999999999999" customHeight="1">
      <c r="AA1484"/>
    </row>
    <row r="1485" spans="27:27" ht="17.899999999999999" customHeight="1">
      <c r="AA1485"/>
    </row>
    <row r="1486" spans="27:27" ht="17.899999999999999" customHeight="1">
      <c r="AA1486"/>
    </row>
    <row r="1487" spans="27:27" ht="17.899999999999999" customHeight="1">
      <c r="AA1487"/>
    </row>
    <row r="1488" spans="27:27" ht="17.899999999999999" customHeight="1">
      <c r="AA1488"/>
    </row>
    <row r="1489" spans="27:27" ht="17.899999999999999" customHeight="1">
      <c r="AA1489"/>
    </row>
    <row r="1490" spans="27:27" ht="17.899999999999999" customHeight="1">
      <c r="AA1490"/>
    </row>
    <row r="1491" spans="27:27" ht="17.899999999999999" customHeight="1">
      <c r="AA1491"/>
    </row>
    <row r="1492" spans="27:27" ht="17.899999999999999" customHeight="1">
      <c r="AA1492"/>
    </row>
    <row r="1493" spans="27:27" ht="17.899999999999999" customHeight="1">
      <c r="AA1493"/>
    </row>
    <row r="1494" spans="27:27" ht="17.899999999999999" customHeight="1">
      <c r="AA1494"/>
    </row>
    <row r="1495" spans="27:27" ht="17.899999999999999" customHeight="1">
      <c r="AA1495"/>
    </row>
    <row r="1496" spans="27:27" ht="17.899999999999999" customHeight="1">
      <c r="AA1496"/>
    </row>
    <row r="1497" spans="27:27" ht="17.899999999999999" customHeight="1">
      <c r="AA1497"/>
    </row>
    <row r="1498" spans="27:27" ht="17.899999999999999" customHeight="1">
      <c r="AA1498"/>
    </row>
    <row r="1499" spans="27:27" ht="17.899999999999999" customHeight="1">
      <c r="AA1499"/>
    </row>
    <row r="1500" spans="27:27" ht="17.899999999999999" customHeight="1">
      <c r="AA1500"/>
    </row>
    <row r="1501" spans="27:27" ht="17.899999999999999" customHeight="1">
      <c r="AA1501"/>
    </row>
    <row r="1502" spans="27:27" ht="17.899999999999999" customHeight="1">
      <c r="AA1502"/>
    </row>
    <row r="1503" spans="27:27" ht="17.899999999999999" customHeight="1">
      <c r="AA1503"/>
    </row>
    <row r="1504" spans="27:27" ht="17.899999999999999" customHeight="1">
      <c r="AA1504"/>
    </row>
    <row r="1505" spans="27:27" ht="17.899999999999999" customHeight="1">
      <c r="AA1505"/>
    </row>
    <row r="1506" spans="27:27" ht="17.899999999999999" customHeight="1">
      <c r="AA1506"/>
    </row>
    <row r="1507" spans="27:27" ht="17.899999999999999" customHeight="1">
      <c r="AA1507"/>
    </row>
    <row r="1508" spans="27:27" ht="17.899999999999999" customHeight="1">
      <c r="AA1508"/>
    </row>
    <row r="1509" spans="27:27" ht="17.899999999999999" customHeight="1">
      <c r="AA1509"/>
    </row>
    <row r="1510" spans="27:27" ht="17.899999999999999" customHeight="1">
      <c r="AA1510"/>
    </row>
    <row r="1511" spans="27:27" ht="17.899999999999999" customHeight="1">
      <c r="AA1511"/>
    </row>
    <row r="1512" spans="27:27" ht="17.899999999999999" customHeight="1">
      <c r="AA1512"/>
    </row>
    <row r="1513" spans="27:27" ht="17.899999999999999" customHeight="1">
      <c r="AA1513"/>
    </row>
    <row r="1514" spans="27:27" ht="17.899999999999999" customHeight="1">
      <c r="AA1514"/>
    </row>
    <row r="1515" spans="27:27" ht="17.899999999999999" customHeight="1">
      <c r="AA1515"/>
    </row>
    <row r="1516" spans="27:27" ht="17.899999999999999" customHeight="1">
      <c r="AA1516"/>
    </row>
    <row r="1517" spans="27:27" ht="17.899999999999999" customHeight="1">
      <c r="AA1517"/>
    </row>
    <row r="1518" spans="27:27" ht="17.899999999999999" customHeight="1">
      <c r="AA1518"/>
    </row>
    <row r="1519" spans="27:27" ht="17.899999999999999" customHeight="1">
      <c r="AA1519"/>
    </row>
    <row r="1520" spans="27:27" ht="17.899999999999999" customHeight="1">
      <c r="AA1520"/>
    </row>
    <row r="1521" spans="27:27" ht="17.899999999999999" customHeight="1">
      <c r="AA1521"/>
    </row>
    <row r="1522" spans="27:27" ht="17.899999999999999" customHeight="1">
      <c r="AA1522"/>
    </row>
    <row r="1523" spans="27:27" ht="17.899999999999999" customHeight="1">
      <c r="AA1523"/>
    </row>
    <row r="1524" spans="27:27" ht="17.899999999999999" customHeight="1">
      <c r="AA1524"/>
    </row>
    <row r="1525" spans="27:27" ht="17.899999999999999" customHeight="1">
      <c r="AA1525"/>
    </row>
    <row r="1526" spans="27:27" ht="17.899999999999999" customHeight="1">
      <c r="AA1526"/>
    </row>
    <row r="1527" spans="27:27" ht="17.899999999999999" customHeight="1">
      <c r="AA1527"/>
    </row>
    <row r="1528" spans="27:27" ht="17.899999999999999" customHeight="1">
      <c r="AA1528"/>
    </row>
    <row r="1529" spans="27:27" ht="17.899999999999999" customHeight="1">
      <c r="AA1529"/>
    </row>
    <row r="1530" spans="27:27" ht="17.899999999999999" customHeight="1">
      <c r="AA1530"/>
    </row>
    <row r="1531" spans="27:27" ht="17.899999999999999" customHeight="1">
      <c r="AA1531"/>
    </row>
    <row r="1532" spans="27:27" ht="17.899999999999999" customHeight="1">
      <c r="AA1532"/>
    </row>
    <row r="1533" spans="27:27" ht="17.899999999999999" customHeight="1">
      <c r="AA1533"/>
    </row>
    <row r="1534" spans="27:27" ht="17.899999999999999" customHeight="1">
      <c r="AA1534"/>
    </row>
    <row r="1535" spans="27:27" ht="17.899999999999999" customHeight="1">
      <c r="AA1535"/>
    </row>
    <row r="1536" spans="27:27" ht="17.899999999999999" customHeight="1">
      <c r="AA1536"/>
    </row>
    <row r="1537" spans="27:27" ht="17.899999999999999" customHeight="1">
      <c r="AA1537"/>
    </row>
    <row r="1538" spans="27:27" ht="17.899999999999999" customHeight="1">
      <c r="AA1538"/>
    </row>
    <row r="1539" spans="27:27" ht="17.899999999999999" customHeight="1">
      <c r="AA1539"/>
    </row>
    <row r="1540" spans="27:27" ht="17.899999999999999" customHeight="1">
      <c r="AA1540"/>
    </row>
    <row r="1541" spans="27:27" ht="17.899999999999999" customHeight="1">
      <c r="AA1541"/>
    </row>
    <row r="1542" spans="27:27" ht="17.899999999999999" customHeight="1">
      <c r="AA1542"/>
    </row>
    <row r="1543" spans="27:27" ht="17.899999999999999" customHeight="1">
      <c r="AA1543"/>
    </row>
    <row r="1544" spans="27:27" ht="17.899999999999999" customHeight="1">
      <c r="AA1544"/>
    </row>
    <row r="1545" spans="27:27" ht="17.899999999999999" customHeight="1">
      <c r="AA1545"/>
    </row>
    <row r="1546" spans="27:27" ht="17.899999999999999" customHeight="1">
      <c r="AA1546"/>
    </row>
    <row r="1547" spans="27:27" ht="17.899999999999999" customHeight="1">
      <c r="AA1547"/>
    </row>
    <row r="1548" spans="27:27" ht="17.899999999999999" customHeight="1">
      <c r="AA1548"/>
    </row>
    <row r="1549" spans="27:27" ht="17.899999999999999" customHeight="1">
      <c r="AA1549"/>
    </row>
    <row r="1550" spans="27:27" ht="17.899999999999999" customHeight="1">
      <c r="AA1550"/>
    </row>
    <row r="1551" spans="27:27" ht="17.899999999999999" customHeight="1">
      <c r="AA1551"/>
    </row>
    <row r="1552" spans="27:27" ht="17.899999999999999" customHeight="1">
      <c r="AA1552"/>
    </row>
    <row r="1553" spans="27:27" ht="17.899999999999999" customHeight="1">
      <c r="AA1553"/>
    </row>
    <row r="1554" spans="27:27" ht="17.899999999999999" customHeight="1">
      <c r="AA1554"/>
    </row>
    <row r="1555" spans="27:27" ht="17.899999999999999" customHeight="1">
      <c r="AA1555"/>
    </row>
    <row r="1556" spans="27:27" ht="17.899999999999999" customHeight="1">
      <c r="AA1556"/>
    </row>
    <row r="1557" spans="27:27" ht="17.899999999999999" customHeight="1">
      <c r="AA1557"/>
    </row>
    <row r="1558" spans="27:27" ht="17.899999999999999" customHeight="1">
      <c r="AA1558"/>
    </row>
    <row r="1559" spans="27:27" ht="17.899999999999999" customHeight="1">
      <c r="AA1559"/>
    </row>
    <row r="1560" spans="27:27" ht="17.899999999999999" customHeight="1">
      <c r="AA1560"/>
    </row>
    <row r="1561" spans="27:27" ht="17.899999999999999" customHeight="1">
      <c r="AA1561"/>
    </row>
    <row r="1562" spans="27:27" ht="17.899999999999999" customHeight="1">
      <c r="AA1562"/>
    </row>
    <row r="1563" spans="27:27" ht="17.899999999999999" customHeight="1">
      <c r="AA1563"/>
    </row>
    <row r="1564" spans="27:27" ht="17.899999999999999" customHeight="1">
      <c r="AA1564"/>
    </row>
    <row r="1565" spans="27:27" ht="17.899999999999999" customHeight="1">
      <c r="AA1565"/>
    </row>
    <row r="1566" spans="27:27" ht="17.899999999999999" customHeight="1">
      <c r="AA1566"/>
    </row>
    <row r="1567" spans="27:27" ht="17.899999999999999" customHeight="1">
      <c r="AA1567"/>
    </row>
    <row r="1568" spans="27:27" ht="17.899999999999999" customHeight="1">
      <c r="AA1568"/>
    </row>
    <row r="1569" spans="27:27" ht="17.899999999999999" customHeight="1">
      <c r="AA1569"/>
    </row>
    <row r="1570" spans="27:27" ht="17.899999999999999" customHeight="1">
      <c r="AA1570"/>
    </row>
    <row r="1571" spans="27:27" ht="17.899999999999999" customHeight="1">
      <c r="AA1571"/>
    </row>
    <row r="1572" spans="27:27" ht="17.899999999999999" customHeight="1">
      <c r="AA1572"/>
    </row>
    <row r="1573" spans="27:27" ht="17.899999999999999" customHeight="1">
      <c r="AA1573"/>
    </row>
    <row r="1574" spans="27:27" ht="17.899999999999999" customHeight="1">
      <c r="AA1574"/>
    </row>
    <row r="1575" spans="27:27" ht="17.899999999999999" customHeight="1">
      <c r="AA1575"/>
    </row>
    <row r="1576" spans="27:27" ht="17.899999999999999" customHeight="1">
      <c r="AA1576"/>
    </row>
    <row r="1577" spans="27:27" ht="17.899999999999999" customHeight="1">
      <c r="AA1577"/>
    </row>
    <row r="1578" spans="27:27" ht="17.899999999999999" customHeight="1">
      <c r="AA1578"/>
    </row>
    <row r="1579" spans="27:27" ht="17.899999999999999" customHeight="1">
      <c r="AA1579"/>
    </row>
    <row r="1580" spans="27:27" ht="17.899999999999999" customHeight="1">
      <c r="AA1580"/>
    </row>
    <row r="1581" spans="27:27" ht="17.899999999999999" customHeight="1">
      <c r="AA1581"/>
    </row>
    <row r="1582" spans="27:27" ht="17.899999999999999" customHeight="1">
      <c r="AA1582"/>
    </row>
    <row r="1583" spans="27:27" ht="17.899999999999999" customHeight="1">
      <c r="AA1583"/>
    </row>
    <row r="1584" spans="27:27" ht="17.899999999999999" customHeight="1">
      <c r="AA1584"/>
    </row>
    <row r="1585" spans="27:27" ht="17.899999999999999" customHeight="1">
      <c r="AA1585"/>
    </row>
    <row r="1586" spans="27:27" ht="17.899999999999999" customHeight="1">
      <c r="AA1586"/>
    </row>
    <row r="1587" spans="27:27" ht="17.899999999999999" customHeight="1">
      <c r="AA1587"/>
    </row>
    <row r="1588" spans="27:27" ht="17.899999999999999" customHeight="1">
      <c r="AA1588"/>
    </row>
    <row r="1589" spans="27:27" ht="17.899999999999999" customHeight="1">
      <c r="AA1589"/>
    </row>
    <row r="1590" spans="27:27" ht="17.899999999999999" customHeight="1">
      <c r="AA1590"/>
    </row>
    <row r="1591" spans="27:27" ht="17.899999999999999" customHeight="1">
      <c r="AA1591"/>
    </row>
    <row r="1592" spans="27:27" ht="17.899999999999999" customHeight="1">
      <c r="AA1592"/>
    </row>
    <row r="1593" spans="27:27" ht="17.899999999999999" customHeight="1">
      <c r="AA1593"/>
    </row>
    <row r="1594" spans="27:27" ht="17.899999999999999" customHeight="1">
      <c r="AA1594"/>
    </row>
    <row r="1595" spans="27:27" ht="17.899999999999999" customHeight="1">
      <c r="AA1595"/>
    </row>
    <row r="1596" spans="27:27" ht="17.899999999999999" customHeight="1">
      <c r="AA1596"/>
    </row>
    <row r="1597" spans="27:27" ht="17.899999999999999" customHeight="1">
      <c r="AA1597"/>
    </row>
    <row r="1598" spans="27:27" ht="17.899999999999999" customHeight="1">
      <c r="AA1598"/>
    </row>
    <row r="1599" spans="27:27" ht="17.899999999999999" customHeight="1">
      <c r="AA1599"/>
    </row>
    <row r="1600" spans="27:27" ht="17.899999999999999" customHeight="1">
      <c r="AA1600"/>
    </row>
    <row r="1601" spans="27:27" ht="17.899999999999999" customHeight="1">
      <c r="AA1601"/>
    </row>
    <row r="1602" spans="27:27" ht="17.899999999999999" customHeight="1">
      <c r="AA1602"/>
    </row>
    <row r="1603" spans="27:27" ht="17.899999999999999" customHeight="1">
      <c r="AA1603"/>
    </row>
    <row r="1604" spans="27:27" ht="17.899999999999999" customHeight="1">
      <c r="AA1604"/>
    </row>
    <row r="1605" spans="27:27" ht="17.899999999999999" customHeight="1">
      <c r="AA1605"/>
    </row>
    <row r="1606" spans="27:27" ht="17.899999999999999" customHeight="1">
      <c r="AA1606"/>
    </row>
    <row r="1607" spans="27:27" ht="17.899999999999999" customHeight="1">
      <c r="AA1607"/>
    </row>
    <row r="1608" spans="27:27" ht="17.899999999999999" customHeight="1">
      <c r="AA1608"/>
    </row>
    <row r="1609" spans="27:27" ht="17.899999999999999" customHeight="1">
      <c r="AA1609"/>
    </row>
    <row r="1610" spans="27:27" ht="17.899999999999999" customHeight="1">
      <c r="AA1610"/>
    </row>
    <row r="1611" spans="27:27" ht="17.899999999999999" customHeight="1">
      <c r="AA1611"/>
    </row>
    <row r="1612" spans="27:27" ht="17.899999999999999" customHeight="1">
      <c r="AA1612"/>
    </row>
    <row r="1613" spans="27:27" ht="17.899999999999999" customHeight="1">
      <c r="AA1613"/>
    </row>
    <row r="1614" spans="27:27" ht="17.899999999999999" customHeight="1">
      <c r="AA1614"/>
    </row>
    <row r="1615" spans="27:27" ht="17.899999999999999" customHeight="1">
      <c r="AA1615"/>
    </row>
    <row r="1616" spans="27:27" ht="17.899999999999999" customHeight="1">
      <c r="AA1616"/>
    </row>
    <row r="1617" spans="27:27" ht="17.899999999999999" customHeight="1">
      <c r="AA1617"/>
    </row>
    <row r="1618" spans="27:27" ht="17.899999999999999" customHeight="1">
      <c r="AA1618"/>
    </row>
    <row r="1619" spans="27:27" ht="17.899999999999999" customHeight="1">
      <c r="AA1619"/>
    </row>
    <row r="1620" spans="27:27" ht="17.899999999999999" customHeight="1">
      <c r="AA1620"/>
    </row>
    <row r="1621" spans="27:27" ht="17.899999999999999" customHeight="1">
      <c r="AA1621"/>
    </row>
    <row r="1622" spans="27:27" ht="17.899999999999999" customHeight="1">
      <c r="AA1622"/>
    </row>
    <row r="1623" spans="27:27" ht="17.899999999999999" customHeight="1">
      <c r="AA1623"/>
    </row>
    <row r="1624" spans="27:27" ht="17.899999999999999" customHeight="1">
      <c r="AA1624"/>
    </row>
    <row r="1625" spans="27:27" ht="17.899999999999999" customHeight="1">
      <c r="AA1625"/>
    </row>
    <row r="1626" spans="27:27" ht="17.899999999999999" customHeight="1">
      <c r="AA1626"/>
    </row>
    <row r="1627" spans="27:27" ht="17.899999999999999" customHeight="1">
      <c r="AA1627"/>
    </row>
    <row r="1628" spans="27:27" ht="17.899999999999999" customHeight="1">
      <c r="AA1628"/>
    </row>
    <row r="1629" spans="27:27" ht="17.899999999999999" customHeight="1">
      <c r="AA1629"/>
    </row>
    <row r="1630" spans="27:27" ht="17.899999999999999" customHeight="1">
      <c r="AA1630"/>
    </row>
    <row r="1631" spans="27:27" ht="17.899999999999999" customHeight="1">
      <c r="AA1631"/>
    </row>
    <row r="1632" spans="27:27" ht="17.899999999999999" customHeight="1">
      <c r="AA1632"/>
    </row>
    <row r="1633" spans="27:27" ht="17.899999999999999" customHeight="1">
      <c r="AA1633"/>
    </row>
    <row r="1634" spans="27:27" ht="17.899999999999999" customHeight="1">
      <c r="AA1634"/>
    </row>
    <row r="1635" spans="27:27" ht="17.899999999999999" customHeight="1">
      <c r="AA1635"/>
    </row>
    <row r="1636" spans="27:27" ht="17.899999999999999" customHeight="1">
      <c r="AA1636"/>
    </row>
    <row r="1637" spans="27:27" ht="17.899999999999999" customHeight="1">
      <c r="AA1637"/>
    </row>
    <row r="1638" spans="27:27" ht="17.899999999999999" customHeight="1">
      <c r="AA1638"/>
    </row>
    <row r="1639" spans="27:27" ht="17.899999999999999" customHeight="1">
      <c r="AA1639"/>
    </row>
    <row r="1640" spans="27:27" ht="17.899999999999999" customHeight="1">
      <c r="AA1640"/>
    </row>
    <row r="1641" spans="27:27" ht="17.899999999999999" customHeight="1">
      <c r="AA1641"/>
    </row>
    <row r="1642" spans="27:27" ht="17.899999999999999" customHeight="1">
      <c r="AA1642"/>
    </row>
    <row r="1643" spans="27:27" ht="17.899999999999999" customHeight="1">
      <c r="AA1643"/>
    </row>
    <row r="1644" spans="27:27" ht="17.899999999999999" customHeight="1">
      <c r="AA1644"/>
    </row>
    <row r="1645" spans="27:27" ht="17.899999999999999" customHeight="1">
      <c r="AA1645"/>
    </row>
    <row r="1646" spans="27:27" ht="17.899999999999999" customHeight="1">
      <c r="AA1646"/>
    </row>
    <row r="1647" spans="27:27" ht="17.899999999999999" customHeight="1">
      <c r="AA1647"/>
    </row>
    <row r="1648" spans="27:27" ht="17.899999999999999" customHeight="1">
      <c r="AA1648"/>
    </row>
    <row r="1649" spans="27:27" ht="17.899999999999999" customHeight="1">
      <c r="AA1649"/>
    </row>
    <row r="1650" spans="27:27" ht="17.899999999999999" customHeight="1">
      <c r="AA1650"/>
    </row>
    <row r="1651" spans="27:27" ht="17.899999999999999" customHeight="1">
      <c r="AA1651"/>
    </row>
    <row r="1652" spans="27:27" ht="17.899999999999999" customHeight="1">
      <c r="AA1652"/>
    </row>
    <row r="1653" spans="27:27" ht="17.899999999999999" customHeight="1">
      <c r="AA1653"/>
    </row>
    <row r="1654" spans="27:27" ht="17.899999999999999" customHeight="1">
      <c r="AA1654"/>
    </row>
    <row r="1655" spans="27:27" ht="17.899999999999999" customHeight="1">
      <c r="AA1655"/>
    </row>
    <row r="1656" spans="27:27" ht="17.899999999999999" customHeight="1">
      <c r="AA1656"/>
    </row>
    <row r="1657" spans="27:27" ht="17.899999999999999" customHeight="1">
      <c r="AA1657"/>
    </row>
    <row r="1658" spans="27:27" ht="17.899999999999999" customHeight="1">
      <c r="AA1658"/>
    </row>
    <row r="1659" spans="27:27" ht="17.899999999999999" customHeight="1">
      <c r="AA1659"/>
    </row>
    <row r="1660" spans="27:27" ht="17.899999999999999" customHeight="1">
      <c r="AA1660"/>
    </row>
    <row r="1661" spans="27:27" ht="17.899999999999999" customHeight="1">
      <c r="AA1661"/>
    </row>
    <row r="1662" spans="27:27" ht="17.899999999999999" customHeight="1">
      <c r="AA1662"/>
    </row>
    <row r="1663" spans="27:27" ht="17.899999999999999" customHeight="1">
      <c r="AA1663"/>
    </row>
    <row r="1664" spans="27:27" ht="17.899999999999999" customHeight="1">
      <c r="AA1664"/>
    </row>
    <row r="1665" spans="27:27" ht="17.899999999999999" customHeight="1">
      <c r="AA1665"/>
    </row>
    <row r="1666" spans="27:27" ht="17.899999999999999" customHeight="1">
      <c r="AA1666"/>
    </row>
    <row r="1667" spans="27:27" ht="17.899999999999999" customHeight="1">
      <c r="AA1667"/>
    </row>
    <row r="1668" spans="27:27" ht="17.899999999999999" customHeight="1">
      <c r="AA1668"/>
    </row>
    <row r="1669" spans="27:27" ht="17.899999999999999" customHeight="1">
      <c r="AA1669"/>
    </row>
    <row r="1670" spans="27:27" ht="17.899999999999999" customHeight="1">
      <c r="AA1670"/>
    </row>
    <row r="1671" spans="27:27" ht="17.899999999999999" customHeight="1">
      <c r="AA1671"/>
    </row>
    <row r="1672" spans="27:27" ht="17.899999999999999" customHeight="1">
      <c r="AA1672"/>
    </row>
    <row r="1673" spans="27:27" ht="17.899999999999999" customHeight="1">
      <c r="AA1673"/>
    </row>
    <row r="1674" spans="27:27" ht="17.899999999999999" customHeight="1">
      <c r="AA1674"/>
    </row>
    <row r="1675" spans="27:27" ht="17.899999999999999" customHeight="1">
      <c r="AA1675"/>
    </row>
    <row r="1676" spans="27:27" ht="17.899999999999999" customHeight="1">
      <c r="AA1676"/>
    </row>
    <row r="1677" spans="27:27" ht="17.899999999999999" customHeight="1">
      <c r="AA1677"/>
    </row>
    <row r="1678" spans="27:27" ht="17.899999999999999" customHeight="1">
      <c r="AA1678"/>
    </row>
    <row r="1679" spans="27:27" ht="17.899999999999999" customHeight="1">
      <c r="AA1679"/>
    </row>
    <row r="1680" spans="27:27" ht="17.899999999999999" customHeight="1">
      <c r="AA1680"/>
    </row>
    <row r="1681" spans="27:27" ht="17.899999999999999" customHeight="1">
      <c r="AA1681"/>
    </row>
    <row r="1682" spans="27:27" ht="17.899999999999999" customHeight="1">
      <c r="AA1682"/>
    </row>
    <row r="1683" spans="27:27" ht="17.899999999999999" customHeight="1">
      <c r="AA1683"/>
    </row>
    <row r="1684" spans="27:27" ht="17.899999999999999" customHeight="1">
      <c r="AA1684"/>
    </row>
    <row r="1685" spans="27:27" ht="17.899999999999999" customHeight="1">
      <c r="AA1685"/>
    </row>
    <row r="1686" spans="27:27" ht="17.899999999999999" customHeight="1">
      <c r="AA1686"/>
    </row>
    <row r="1687" spans="27:27" ht="17.899999999999999" customHeight="1">
      <c r="AA1687"/>
    </row>
    <row r="1688" spans="27:27" ht="17.899999999999999" customHeight="1">
      <c r="AA1688"/>
    </row>
    <row r="1689" spans="27:27" ht="17.899999999999999" customHeight="1">
      <c r="AA1689"/>
    </row>
    <row r="1690" spans="27:27" ht="17.899999999999999" customHeight="1">
      <c r="AA1690"/>
    </row>
    <row r="1691" spans="27:27" ht="17.899999999999999" customHeight="1">
      <c r="AA1691"/>
    </row>
    <row r="1692" spans="27:27" ht="17.899999999999999" customHeight="1">
      <c r="AA1692"/>
    </row>
    <row r="1693" spans="27:27" ht="17.899999999999999" customHeight="1">
      <c r="AA1693"/>
    </row>
    <row r="1694" spans="27:27" ht="17.899999999999999" customHeight="1">
      <c r="AA1694"/>
    </row>
    <row r="1695" spans="27:27" ht="17.899999999999999" customHeight="1">
      <c r="AA1695"/>
    </row>
    <row r="1696" spans="27:27" ht="17.899999999999999" customHeight="1">
      <c r="AA1696"/>
    </row>
    <row r="1697" spans="27:27" ht="17.899999999999999" customHeight="1">
      <c r="AA1697"/>
    </row>
    <row r="1698" spans="27:27" ht="17.899999999999999" customHeight="1">
      <c r="AA1698"/>
    </row>
    <row r="1699" spans="27:27" ht="17.899999999999999" customHeight="1">
      <c r="AA1699"/>
    </row>
    <row r="1700" spans="27:27" ht="17.899999999999999" customHeight="1">
      <c r="AA1700"/>
    </row>
    <row r="1701" spans="27:27" ht="17.899999999999999" customHeight="1">
      <c r="AA1701"/>
    </row>
    <row r="1702" spans="27:27" ht="17.899999999999999" customHeight="1">
      <c r="AA1702"/>
    </row>
    <row r="1703" spans="27:27" ht="17.899999999999999" customHeight="1">
      <c r="AA1703"/>
    </row>
    <row r="1704" spans="27:27" ht="17.899999999999999" customHeight="1">
      <c r="AA1704"/>
    </row>
    <row r="1705" spans="27:27" ht="17.899999999999999" customHeight="1">
      <c r="AA1705"/>
    </row>
    <row r="1706" spans="27:27" ht="17.899999999999999" customHeight="1">
      <c r="AA1706"/>
    </row>
    <row r="1707" spans="27:27" ht="17.899999999999999" customHeight="1">
      <c r="AA1707"/>
    </row>
    <row r="1708" spans="27:27" ht="17.899999999999999" customHeight="1">
      <c r="AA1708"/>
    </row>
    <row r="1709" spans="27:27" ht="17.899999999999999" customHeight="1">
      <c r="AA1709"/>
    </row>
    <row r="1710" spans="27:27" ht="17.899999999999999" customHeight="1">
      <c r="AA1710"/>
    </row>
    <row r="1711" spans="27:27" ht="17.899999999999999" customHeight="1">
      <c r="AA1711"/>
    </row>
    <row r="1712" spans="27:27" ht="17.899999999999999" customHeight="1">
      <c r="AA1712"/>
    </row>
    <row r="1713" spans="27:27" ht="17.899999999999999" customHeight="1">
      <c r="AA1713"/>
    </row>
    <row r="1714" spans="27:27" ht="17.899999999999999" customHeight="1">
      <c r="AA1714"/>
    </row>
    <row r="1715" spans="27:27" ht="17.899999999999999" customHeight="1">
      <c r="AA1715"/>
    </row>
    <row r="1716" spans="27:27" ht="17.899999999999999" customHeight="1">
      <c r="AA1716"/>
    </row>
    <row r="1717" spans="27:27" ht="17.899999999999999" customHeight="1">
      <c r="AA1717"/>
    </row>
    <row r="1718" spans="27:27" ht="17.899999999999999" customHeight="1">
      <c r="AA1718"/>
    </row>
    <row r="1719" spans="27:27" ht="17.899999999999999" customHeight="1">
      <c r="AA1719"/>
    </row>
    <row r="1720" spans="27:27" ht="17.899999999999999" customHeight="1">
      <c r="AA1720"/>
    </row>
    <row r="1721" spans="27:27" ht="17.899999999999999" customHeight="1">
      <c r="AA1721"/>
    </row>
    <row r="1722" spans="27:27" ht="17.899999999999999" customHeight="1">
      <c r="AA1722"/>
    </row>
    <row r="1723" spans="27:27" ht="17.899999999999999" customHeight="1">
      <c r="AA1723"/>
    </row>
    <row r="1724" spans="27:27" ht="17.899999999999999" customHeight="1">
      <c r="AA1724"/>
    </row>
    <row r="1725" spans="27:27" ht="17.899999999999999" customHeight="1">
      <c r="AA1725"/>
    </row>
    <row r="1726" spans="27:27" ht="17.899999999999999" customHeight="1">
      <c r="AA1726"/>
    </row>
    <row r="1727" spans="27:27" ht="17.899999999999999" customHeight="1">
      <c r="AA1727"/>
    </row>
    <row r="1728" spans="27:27" ht="17.899999999999999" customHeight="1">
      <c r="AA1728"/>
    </row>
    <row r="1729" spans="27:27" ht="17.899999999999999" customHeight="1">
      <c r="AA1729"/>
    </row>
    <row r="1730" spans="27:27" ht="17.899999999999999" customHeight="1">
      <c r="AA1730"/>
    </row>
    <row r="1731" spans="27:27" ht="17.899999999999999" customHeight="1">
      <c r="AA1731"/>
    </row>
    <row r="1732" spans="27:27" ht="17.899999999999999" customHeight="1">
      <c r="AA1732"/>
    </row>
    <row r="1733" spans="27:27" ht="17.899999999999999" customHeight="1">
      <c r="AA1733"/>
    </row>
    <row r="1734" spans="27:27" ht="17.899999999999999" customHeight="1">
      <c r="AA1734"/>
    </row>
    <row r="1735" spans="27:27" ht="17.899999999999999" customHeight="1">
      <c r="AA1735"/>
    </row>
    <row r="1736" spans="27:27" ht="17.899999999999999" customHeight="1">
      <c r="AA1736"/>
    </row>
    <row r="1737" spans="27:27" ht="17.899999999999999" customHeight="1">
      <c r="AA1737"/>
    </row>
    <row r="1738" spans="27:27" ht="17.899999999999999" customHeight="1">
      <c r="AA1738"/>
    </row>
    <row r="1739" spans="27:27" ht="17.899999999999999" customHeight="1">
      <c r="AA1739"/>
    </row>
    <row r="1740" spans="27:27" ht="17.899999999999999" customHeight="1">
      <c r="AA1740"/>
    </row>
    <row r="1741" spans="27:27" ht="17.899999999999999" customHeight="1">
      <c r="AA1741"/>
    </row>
    <row r="1742" spans="27:27" ht="17.899999999999999" customHeight="1">
      <c r="AA1742"/>
    </row>
    <row r="1743" spans="27:27" ht="17.899999999999999" customHeight="1">
      <c r="AA1743"/>
    </row>
    <row r="1744" spans="27:27" ht="17.899999999999999" customHeight="1">
      <c r="AA1744"/>
    </row>
    <row r="1745" spans="27:27" ht="17.899999999999999" customHeight="1">
      <c r="AA1745"/>
    </row>
    <row r="1746" spans="27:27" ht="17.899999999999999" customHeight="1">
      <c r="AA1746"/>
    </row>
    <row r="1747" spans="27:27" ht="17.899999999999999" customHeight="1">
      <c r="AA1747"/>
    </row>
    <row r="1748" spans="27:27" ht="17.899999999999999" customHeight="1">
      <c r="AA1748"/>
    </row>
    <row r="1749" spans="27:27" ht="17.899999999999999" customHeight="1">
      <c r="AA1749"/>
    </row>
    <row r="1750" spans="27:27" ht="17.899999999999999" customHeight="1">
      <c r="AA1750"/>
    </row>
    <row r="1751" spans="27:27" ht="17.899999999999999" customHeight="1">
      <c r="AA1751"/>
    </row>
    <row r="1752" spans="27:27" ht="17.899999999999999" customHeight="1">
      <c r="AA1752"/>
    </row>
    <row r="1753" spans="27:27" ht="17.899999999999999" customHeight="1">
      <c r="AA1753"/>
    </row>
    <row r="1754" spans="27:27" ht="17.899999999999999" customHeight="1">
      <c r="AA1754"/>
    </row>
    <row r="1755" spans="27:27" ht="17.899999999999999" customHeight="1">
      <c r="AA1755"/>
    </row>
    <row r="1756" spans="27:27" ht="17.899999999999999" customHeight="1">
      <c r="AA1756"/>
    </row>
    <row r="1757" spans="27:27" ht="17.899999999999999" customHeight="1">
      <c r="AA1757"/>
    </row>
    <row r="1758" spans="27:27" ht="17.899999999999999" customHeight="1">
      <c r="AA1758"/>
    </row>
    <row r="1759" spans="27:27" ht="17.899999999999999" customHeight="1">
      <c r="AA1759"/>
    </row>
    <row r="1760" spans="27:27" ht="17.899999999999999" customHeight="1">
      <c r="AA1760"/>
    </row>
    <row r="1761" spans="27:27" ht="17.899999999999999" customHeight="1">
      <c r="AA1761"/>
    </row>
    <row r="1762" spans="27:27" ht="17.899999999999999" customHeight="1">
      <c r="AA1762"/>
    </row>
    <row r="1763" spans="27:27" ht="17.899999999999999" customHeight="1">
      <c r="AA1763"/>
    </row>
    <row r="1764" spans="27:27" ht="17.899999999999999" customHeight="1">
      <c r="AA1764"/>
    </row>
    <row r="1765" spans="27:27" ht="17.899999999999999" customHeight="1">
      <c r="AA1765"/>
    </row>
    <row r="1766" spans="27:27" ht="17.899999999999999" customHeight="1">
      <c r="AA1766"/>
    </row>
    <row r="1767" spans="27:27" ht="17.899999999999999" customHeight="1">
      <c r="AA1767"/>
    </row>
    <row r="1768" spans="27:27" ht="17.899999999999999" customHeight="1">
      <c r="AA1768"/>
    </row>
    <row r="1769" spans="27:27" ht="17.899999999999999" customHeight="1">
      <c r="AA1769"/>
    </row>
    <row r="1770" spans="27:27" ht="17.899999999999999" customHeight="1">
      <c r="AA1770"/>
    </row>
    <row r="1771" spans="27:27" ht="17.899999999999999" customHeight="1">
      <c r="AA1771"/>
    </row>
    <row r="1772" spans="27:27" ht="17.899999999999999" customHeight="1">
      <c r="AA1772"/>
    </row>
    <row r="1773" spans="27:27" ht="17.899999999999999" customHeight="1">
      <c r="AA1773"/>
    </row>
    <row r="1774" spans="27:27" ht="17.899999999999999" customHeight="1">
      <c r="AA1774"/>
    </row>
    <row r="1775" spans="27:27" ht="17.899999999999999" customHeight="1">
      <c r="AA1775"/>
    </row>
    <row r="1776" spans="27:27" ht="17.899999999999999" customHeight="1">
      <c r="AA1776"/>
    </row>
    <row r="1777" spans="27:27" ht="17.899999999999999" customHeight="1">
      <c r="AA1777"/>
    </row>
    <row r="1778" spans="27:27" ht="17.899999999999999" customHeight="1">
      <c r="AA1778"/>
    </row>
    <row r="1779" spans="27:27" ht="17.899999999999999" customHeight="1">
      <c r="AA1779"/>
    </row>
    <row r="1780" spans="27:27" ht="17.899999999999999" customHeight="1">
      <c r="AA1780"/>
    </row>
    <row r="1781" spans="27:27" ht="17.899999999999999" customHeight="1">
      <c r="AA1781"/>
    </row>
    <row r="1782" spans="27:27" ht="17.899999999999999" customHeight="1">
      <c r="AA1782"/>
    </row>
    <row r="1783" spans="27:27" ht="17.899999999999999" customHeight="1">
      <c r="AA1783"/>
    </row>
    <row r="1784" spans="27:27" ht="17.899999999999999" customHeight="1">
      <c r="AA1784"/>
    </row>
    <row r="1785" spans="27:27" ht="17.899999999999999" customHeight="1">
      <c r="AA1785"/>
    </row>
    <row r="1786" spans="27:27" ht="17.899999999999999" customHeight="1">
      <c r="AA1786"/>
    </row>
    <row r="1787" spans="27:27" ht="17.899999999999999" customHeight="1">
      <c r="AA1787"/>
    </row>
    <row r="1788" spans="27:27" ht="17.899999999999999" customHeight="1">
      <c r="AA1788"/>
    </row>
    <row r="1789" spans="27:27" ht="17.899999999999999" customHeight="1">
      <c r="AA1789"/>
    </row>
    <row r="1790" spans="27:27" ht="17.899999999999999" customHeight="1">
      <c r="AA1790"/>
    </row>
    <row r="1791" spans="27:27" ht="17.899999999999999" customHeight="1">
      <c r="AA1791"/>
    </row>
    <row r="1792" spans="27:27" ht="17.899999999999999" customHeight="1">
      <c r="AA1792"/>
    </row>
    <row r="1793" spans="27:27" ht="17.899999999999999" customHeight="1">
      <c r="AA1793"/>
    </row>
    <row r="1794" spans="27:27" ht="17.899999999999999" customHeight="1">
      <c r="AA1794"/>
    </row>
    <row r="1795" spans="27:27" ht="17.899999999999999" customHeight="1">
      <c r="AA1795"/>
    </row>
    <row r="1796" spans="27:27" ht="17.899999999999999" customHeight="1">
      <c r="AA1796"/>
    </row>
    <row r="1797" spans="27:27" ht="17.899999999999999" customHeight="1">
      <c r="AA1797"/>
    </row>
    <row r="1798" spans="27:27" ht="17.899999999999999" customHeight="1">
      <c r="AA1798"/>
    </row>
    <row r="1799" spans="27:27" ht="17.899999999999999" customHeight="1">
      <c r="AA1799"/>
    </row>
    <row r="1800" spans="27:27" ht="17.899999999999999" customHeight="1">
      <c r="AA1800"/>
    </row>
    <row r="1801" spans="27:27" ht="17.899999999999999" customHeight="1">
      <c r="AA1801"/>
    </row>
    <row r="1802" spans="27:27" ht="17.899999999999999" customHeight="1">
      <c r="AA1802"/>
    </row>
    <row r="1803" spans="27:27" ht="17.899999999999999" customHeight="1">
      <c r="AA1803"/>
    </row>
    <row r="1804" spans="27:27" ht="17.899999999999999" customHeight="1">
      <c r="AA1804"/>
    </row>
    <row r="1805" spans="27:27" ht="17.899999999999999" customHeight="1">
      <c r="AA1805"/>
    </row>
    <row r="1806" spans="27:27" ht="17.899999999999999" customHeight="1">
      <c r="AA1806"/>
    </row>
    <row r="1807" spans="27:27" ht="17.899999999999999" customHeight="1">
      <c r="AA1807"/>
    </row>
    <row r="1808" spans="27:27" ht="17.899999999999999" customHeight="1">
      <c r="AA1808"/>
    </row>
    <row r="1809" spans="27:27" ht="17.899999999999999" customHeight="1">
      <c r="AA1809"/>
    </row>
    <row r="1810" spans="27:27" ht="17.899999999999999" customHeight="1">
      <c r="AA1810"/>
    </row>
    <row r="1811" spans="27:27" ht="17.899999999999999" customHeight="1">
      <c r="AA1811"/>
    </row>
    <row r="1812" spans="27:27" ht="17.899999999999999" customHeight="1">
      <c r="AA1812"/>
    </row>
    <row r="1813" spans="27:27" ht="17.899999999999999" customHeight="1">
      <c r="AA1813"/>
    </row>
    <row r="1814" spans="27:27" ht="17.899999999999999" customHeight="1">
      <c r="AA1814"/>
    </row>
    <row r="1815" spans="27:27" ht="17.899999999999999" customHeight="1">
      <c r="AA1815"/>
    </row>
    <row r="1816" spans="27:27" ht="17.899999999999999" customHeight="1">
      <c r="AA1816"/>
    </row>
    <row r="1817" spans="27:27" ht="17.899999999999999" customHeight="1">
      <c r="AA1817"/>
    </row>
    <row r="1818" spans="27:27" ht="17.899999999999999" customHeight="1">
      <c r="AA1818"/>
    </row>
    <row r="1819" spans="27:27" ht="17.899999999999999" customHeight="1">
      <c r="AA1819"/>
    </row>
    <row r="1820" spans="27:27" ht="17.899999999999999" customHeight="1">
      <c r="AA1820"/>
    </row>
    <row r="1821" spans="27:27" ht="17.899999999999999" customHeight="1">
      <c r="AA1821"/>
    </row>
    <row r="1822" spans="27:27" ht="17.899999999999999" customHeight="1">
      <c r="AA1822"/>
    </row>
    <row r="1823" spans="27:27" ht="17.899999999999999" customHeight="1">
      <c r="AA1823"/>
    </row>
    <row r="1824" spans="27:27" ht="17.899999999999999" customHeight="1">
      <c r="AA1824"/>
    </row>
    <row r="1825" spans="27:27" ht="17.899999999999999" customHeight="1">
      <c r="AA1825"/>
    </row>
    <row r="1826" spans="27:27" ht="17.899999999999999" customHeight="1">
      <c r="AA1826"/>
    </row>
    <row r="1827" spans="27:27" ht="17.899999999999999" customHeight="1">
      <c r="AA1827"/>
    </row>
    <row r="1828" spans="27:27" ht="17.899999999999999" customHeight="1">
      <c r="AA1828"/>
    </row>
    <row r="1829" spans="27:27" ht="17.899999999999999" customHeight="1">
      <c r="AA1829"/>
    </row>
    <row r="1830" spans="27:27" ht="17.899999999999999" customHeight="1">
      <c r="AA1830"/>
    </row>
    <row r="1831" spans="27:27" ht="17.899999999999999" customHeight="1">
      <c r="AA1831"/>
    </row>
    <row r="1832" spans="27:27" ht="17.899999999999999" customHeight="1">
      <c r="AA1832"/>
    </row>
    <row r="1833" spans="27:27" ht="17.899999999999999" customHeight="1">
      <c r="AA1833"/>
    </row>
    <row r="1834" spans="27:27" ht="17.899999999999999" customHeight="1">
      <c r="AA1834"/>
    </row>
    <row r="1835" spans="27:27" ht="17.899999999999999" customHeight="1">
      <c r="AA1835"/>
    </row>
    <row r="1836" spans="27:27" ht="17.899999999999999" customHeight="1">
      <c r="AA1836"/>
    </row>
    <row r="1837" spans="27:27" ht="17.899999999999999" customHeight="1">
      <c r="AA1837"/>
    </row>
    <row r="1838" spans="27:27" ht="17.899999999999999" customHeight="1">
      <c r="AA1838"/>
    </row>
    <row r="1839" spans="27:27" ht="17.899999999999999" customHeight="1">
      <c r="AA1839"/>
    </row>
    <row r="1840" spans="27:27" ht="17.899999999999999" customHeight="1">
      <c r="AA1840"/>
    </row>
    <row r="1841" spans="27:27" ht="17.899999999999999" customHeight="1">
      <c r="AA1841"/>
    </row>
    <row r="1842" spans="27:27" ht="17.899999999999999" customHeight="1">
      <c r="AA1842"/>
    </row>
    <row r="1843" spans="27:27" ht="17.899999999999999" customHeight="1">
      <c r="AA1843"/>
    </row>
    <row r="1844" spans="27:27" ht="17.899999999999999" customHeight="1">
      <c r="AA1844"/>
    </row>
    <row r="1845" spans="27:27" ht="17.899999999999999" customHeight="1">
      <c r="AA1845"/>
    </row>
    <row r="1846" spans="27:27" ht="17.899999999999999" customHeight="1">
      <c r="AA1846"/>
    </row>
    <row r="1847" spans="27:27" ht="17.899999999999999" customHeight="1">
      <c r="AA1847"/>
    </row>
    <row r="1848" spans="27:27" ht="17.899999999999999" customHeight="1">
      <c r="AA1848"/>
    </row>
    <row r="1849" spans="27:27" ht="17.899999999999999" customHeight="1">
      <c r="AA1849"/>
    </row>
    <row r="1850" spans="27:27" ht="17.899999999999999" customHeight="1">
      <c r="AA1850"/>
    </row>
    <row r="1851" spans="27:27" ht="17.899999999999999" customHeight="1">
      <c r="AA1851"/>
    </row>
    <row r="1852" spans="27:27" ht="17.899999999999999" customHeight="1">
      <c r="AA1852"/>
    </row>
    <row r="1853" spans="27:27" ht="17.899999999999999" customHeight="1">
      <c r="AA1853"/>
    </row>
    <row r="1854" spans="27:27" ht="17.899999999999999" customHeight="1">
      <c r="AA1854"/>
    </row>
    <row r="1855" spans="27:27" ht="17.899999999999999" customHeight="1">
      <c r="AA1855"/>
    </row>
    <row r="1856" spans="27:27" ht="17.899999999999999" customHeight="1">
      <c r="AA1856"/>
    </row>
    <row r="1857" spans="27:27" ht="17.899999999999999" customHeight="1">
      <c r="AA1857"/>
    </row>
    <row r="1858" spans="27:27" ht="17.899999999999999" customHeight="1">
      <c r="AA1858"/>
    </row>
    <row r="1859" spans="27:27" ht="17.899999999999999" customHeight="1">
      <c r="AA1859"/>
    </row>
    <row r="1860" spans="27:27" ht="17.899999999999999" customHeight="1">
      <c r="AA1860"/>
    </row>
    <row r="1861" spans="27:27" ht="17.899999999999999" customHeight="1">
      <c r="AA1861"/>
    </row>
    <row r="1862" spans="27:27" ht="17.899999999999999" customHeight="1">
      <c r="AA1862"/>
    </row>
    <row r="1863" spans="27:27" ht="17.899999999999999" customHeight="1">
      <c r="AA1863"/>
    </row>
    <row r="1864" spans="27:27" ht="17.899999999999999" customHeight="1">
      <c r="AA1864"/>
    </row>
    <row r="1865" spans="27:27" ht="17.899999999999999" customHeight="1">
      <c r="AA1865"/>
    </row>
    <row r="1866" spans="27:27" ht="17.899999999999999" customHeight="1">
      <c r="AA1866"/>
    </row>
    <row r="1867" spans="27:27" ht="17.899999999999999" customHeight="1">
      <c r="AA1867"/>
    </row>
    <row r="1868" spans="27:27" ht="17.899999999999999" customHeight="1">
      <c r="AA1868"/>
    </row>
    <row r="1869" spans="27:27" ht="17.899999999999999" customHeight="1">
      <c r="AA1869"/>
    </row>
    <row r="1870" spans="27:27" ht="17.899999999999999" customHeight="1">
      <c r="AA1870"/>
    </row>
    <row r="1871" spans="27:27" ht="17.899999999999999" customHeight="1">
      <c r="AA1871"/>
    </row>
    <row r="1872" spans="27:27" ht="17.899999999999999" customHeight="1">
      <c r="AA1872"/>
    </row>
    <row r="1873" spans="27:27" ht="17.899999999999999" customHeight="1">
      <c r="AA1873"/>
    </row>
    <row r="1874" spans="27:27" ht="17.899999999999999" customHeight="1">
      <c r="AA1874"/>
    </row>
    <row r="1875" spans="27:27" ht="17.899999999999999" customHeight="1">
      <c r="AA1875"/>
    </row>
    <row r="1876" spans="27:27" ht="17.899999999999999" customHeight="1">
      <c r="AA1876"/>
    </row>
    <row r="1877" spans="27:27" ht="17.899999999999999" customHeight="1">
      <c r="AA1877"/>
    </row>
    <row r="1878" spans="27:27" ht="17.899999999999999" customHeight="1">
      <c r="AA1878"/>
    </row>
    <row r="1879" spans="27:27" ht="17.899999999999999" customHeight="1">
      <c r="AA1879"/>
    </row>
    <row r="1880" spans="27:27" ht="17.899999999999999" customHeight="1">
      <c r="AA1880"/>
    </row>
    <row r="1881" spans="27:27" ht="17.899999999999999" customHeight="1">
      <c r="AA1881"/>
    </row>
    <row r="1882" spans="27:27" ht="17.899999999999999" customHeight="1">
      <c r="AA1882"/>
    </row>
    <row r="1883" spans="27:27" ht="17.899999999999999" customHeight="1">
      <c r="AA1883"/>
    </row>
    <row r="1884" spans="27:27" ht="17.899999999999999" customHeight="1">
      <c r="AA1884"/>
    </row>
    <row r="1885" spans="27:27" ht="17.899999999999999" customHeight="1">
      <c r="AA1885"/>
    </row>
    <row r="1886" spans="27:27" ht="17.899999999999999" customHeight="1">
      <c r="AA1886"/>
    </row>
    <row r="1887" spans="27:27" ht="17.899999999999999" customHeight="1">
      <c r="AA1887"/>
    </row>
    <row r="1888" spans="27:27" ht="17.899999999999999" customHeight="1">
      <c r="AA1888"/>
    </row>
    <row r="1889" spans="27:27" ht="17.899999999999999" customHeight="1">
      <c r="AA1889"/>
    </row>
    <row r="1890" spans="27:27" ht="17.899999999999999" customHeight="1">
      <c r="AA1890"/>
    </row>
    <row r="1891" spans="27:27" ht="17.899999999999999" customHeight="1">
      <c r="AA1891"/>
    </row>
    <row r="1892" spans="27:27" ht="17.899999999999999" customHeight="1">
      <c r="AA1892"/>
    </row>
    <row r="1893" spans="27:27" ht="17.899999999999999" customHeight="1">
      <c r="AA1893"/>
    </row>
    <row r="1894" spans="27:27" ht="17.899999999999999" customHeight="1">
      <c r="AA1894"/>
    </row>
    <row r="1895" spans="27:27" ht="17.899999999999999" customHeight="1">
      <c r="AA1895"/>
    </row>
    <row r="1896" spans="27:27" ht="17.899999999999999" customHeight="1">
      <c r="AA1896"/>
    </row>
    <row r="1897" spans="27:27" ht="17.899999999999999" customHeight="1">
      <c r="AA1897"/>
    </row>
    <row r="1898" spans="27:27" ht="17.899999999999999" customHeight="1">
      <c r="AA1898"/>
    </row>
    <row r="1899" spans="27:27" ht="17.899999999999999" customHeight="1">
      <c r="AA1899"/>
    </row>
    <row r="1900" spans="27:27" ht="17.899999999999999" customHeight="1">
      <c r="AA1900"/>
    </row>
    <row r="1901" spans="27:27" ht="17.899999999999999" customHeight="1">
      <c r="AA1901"/>
    </row>
    <row r="1902" spans="27:27" ht="17.899999999999999" customHeight="1">
      <c r="AA1902"/>
    </row>
    <row r="1903" spans="27:27" ht="17.899999999999999" customHeight="1">
      <c r="AA1903"/>
    </row>
    <row r="1904" spans="27:27" ht="17.899999999999999" customHeight="1">
      <c r="AA1904"/>
    </row>
    <row r="1905" spans="27:27" ht="17.899999999999999" customHeight="1">
      <c r="AA1905"/>
    </row>
    <row r="1906" spans="27:27" ht="17.899999999999999" customHeight="1">
      <c r="AA1906"/>
    </row>
    <row r="1907" spans="27:27" ht="17.899999999999999" customHeight="1">
      <c r="AA1907"/>
    </row>
    <row r="1908" spans="27:27" ht="17.899999999999999" customHeight="1">
      <c r="AA1908"/>
    </row>
    <row r="1909" spans="27:27" ht="17.899999999999999" customHeight="1">
      <c r="AA1909"/>
    </row>
    <row r="1910" spans="27:27" ht="17.899999999999999" customHeight="1">
      <c r="AA1910"/>
    </row>
    <row r="1911" spans="27:27" ht="17.899999999999999" customHeight="1">
      <c r="AA1911"/>
    </row>
    <row r="1912" spans="27:27" ht="17.899999999999999" customHeight="1">
      <c r="AA1912"/>
    </row>
    <row r="1913" spans="27:27" ht="17.899999999999999" customHeight="1">
      <c r="AA1913"/>
    </row>
    <row r="1914" spans="27:27" ht="17.899999999999999" customHeight="1">
      <c r="AA1914"/>
    </row>
    <row r="1915" spans="27:27" ht="17.899999999999999" customHeight="1">
      <c r="AA1915"/>
    </row>
    <row r="1916" spans="27:27" ht="17.899999999999999" customHeight="1">
      <c r="AA1916"/>
    </row>
    <row r="1917" spans="27:27" ht="17.899999999999999" customHeight="1">
      <c r="AA1917"/>
    </row>
    <row r="1918" spans="27:27" ht="17.899999999999999" customHeight="1">
      <c r="AA1918"/>
    </row>
    <row r="1919" spans="27:27" ht="17.899999999999999" customHeight="1">
      <c r="AA1919"/>
    </row>
    <row r="1920" spans="27:27" ht="17.899999999999999" customHeight="1">
      <c r="AA1920"/>
    </row>
    <row r="1921" spans="27:27" ht="17.899999999999999" customHeight="1">
      <c r="AA1921"/>
    </row>
    <row r="1922" spans="27:27" ht="17.899999999999999" customHeight="1">
      <c r="AA1922"/>
    </row>
    <row r="1923" spans="27:27" ht="17.899999999999999" customHeight="1">
      <c r="AA1923"/>
    </row>
    <row r="1924" spans="27:27" ht="17.899999999999999" customHeight="1">
      <c r="AA1924"/>
    </row>
    <row r="1925" spans="27:27" ht="17.899999999999999" customHeight="1">
      <c r="AA1925"/>
    </row>
    <row r="1926" spans="27:27" ht="17.899999999999999" customHeight="1">
      <c r="AA1926"/>
    </row>
    <row r="1927" spans="27:27" ht="17.899999999999999" customHeight="1">
      <c r="AA1927"/>
    </row>
    <row r="1928" spans="27:27" ht="17.899999999999999" customHeight="1">
      <c r="AA1928"/>
    </row>
    <row r="1929" spans="27:27" ht="17.899999999999999" customHeight="1">
      <c r="AA1929"/>
    </row>
    <row r="1930" spans="27:27" ht="17.899999999999999" customHeight="1">
      <c r="AA1930"/>
    </row>
    <row r="1931" spans="27:27" ht="17.899999999999999" customHeight="1">
      <c r="AA1931"/>
    </row>
    <row r="1932" spans="27:27" ht="17.899999999999999" customHeight="1">
      <c r="AA1932"/>
    </row>
    <row r="1933" spans="27:27" ht="17.899999999999999" customHeight="1">
      <c r="AA1933"/>
    </row>
    <row r="1934" spans="27:27" ht="17.899999999999999" customHeight="1">
      <c r="AA1934"/>
    </row>
    <row r="1935" spans="27:27" ht="17.899999999999999" customHeight="1">
      <c r="AA1935"/>
    </row>
    <row r="1936" spans="27:27" ht="17.899999999999999" customHeight="1">
      <c r="AA1936"/>
    </row>
    <row r="1937" spans="27:27" ht="17.899999999999999" customHeight="1">
      <c r="AA1937"/>
    </row>
    <row r="1938" spans="27:27" ht="17.899999999999999" customHeight="1">
      <c r="AA1938"/>
    </row>
    <row r="1939" spans="27:27" ht="17.899999999999999" customHeight="1">
      <c r="AA1939"/>
    </row>
    <row r="1940" spans="27:27" ht="17.899999999999999" customHeight="1">
      <c r="AA1940"/>
    </row>
    <row r="1941" spans="27:27" ht="17.899999999999999" customHeight="1">
      <c r="AA1941"/>
    </row>
    <row r="1942" spans="27:27" ht="17.899999999999999" customHeight="1">
      <c r="AA1942"/>
    </row>
    <row r="1943" spans="27:27" ht="17.899999999999999" customHeight="1">
      <c r="AA1943"/>
    </row>
    <row r="1944" spans="27:27" ht="17.899999999999999" customHeight="1">
      <c r="AA1944"/>
    </row>
    <row r="1945" spans="27:27" ht="17.899999999999999" customHeight="1">
      <c r="AA1945"/>
    </row>
    <row r="1946" spans="27:27" ht="17.899999999999999" customHeight="1">
      <c r="AA1946"/>
    </row>
    <row r="1947" spans="27:27" ht="17.899999999999999" customHeight="1">
      <c r="AA1947"/>
    </row>
    <row r="1948" spans="27:27" ht="17.899999999999999" customHeight="1">
      <c r="AA1948"/>
    </row>
    <row r="1949" spans="27:27" ht="17.899999999999999" customHeight="1">
      <c r="AA1949"/>
    </row>
    <row r="1950" spans="27:27" ht="17.899999999999999" customHeight="1">
      <c r="AA1950"/>
    </row>
    <row r="1951" spans="27:27" ht="17.899999999999999" customHeight="1">
      <c r="AA1951"/>
    </row>
    <row r="1952" spans="27:27" ht="17.899999999999999" customHeight="1">
      <c r="AA1952"/>
    </row>
    <row r="1953" spans="27:27" ht="17.899999999999999" customHeight="1">
      <c r="AA1953"/>
    </row>
    <row r="1954" spans="27:27" ht="17.899999999999999" customHeight="1">
      <c r="AA1954"/>
    </row>
    <row r="1955" spans="27:27" ht="17.899999999999999" customHeight="1">
      <c r="AA1955"/>
    </row>
    <row r="1956" spans="27:27" ht="17.899999999999999" customHeight="1">
      <c r="AA1956"/>
    </row>
    <row r="1957" spans="27:27" ht="17.899999999999999" customHeight="1">
      <c r="AA1957"/>
    </row>
    <row r="1958" spans="27:27" ht="17.899999999999999" customHeight="1">
      <c r="AA1958"/>
    </row>
    <row r="1959" spans="27:27" ht="17.899999999999999" customHeight="1">
      <c r="AA1959"/>
    </row>
    <row r="1960" spans="27:27" ht="17.899999999999999" customHeight="1">
      <c r="AA1960"/>
    </row>
    <row r="1961" spans="27:27" ht="17.899999999999999" customHeight="1">
      <c r="AA1961"/>
    </row>
    <row r="1962" spans="27:27" ht="17.899999999999999" customHeight="1">
      <c r="AA1962"/>
    </row>
    <row r="1963" spans="27:27" ht="17.899999999999999" customHeight="1">
      <c r="AA1963"/>
    </row>
    <row r="1964" spans="27:27" ht="17.899999999999999" customHeight="1">
      <c r="AA1964"/>
    </row>
    <row r="1965" spans="27:27" ht="17.899999999999999" customHeight="1">
      <c r="AA1965"/>
    </row>
    <row r="1966" spans="27:27" ht="17.899999999999999" customHeight="1">
      <c r="AA1966"/>
    </row>
    <row r="1967" spans="27:27" ht="17.899999999999999" customHeight="1">
      <c r="AA1967"/>
    </row>
    <row r="1968" spans="27:27" ht="17.899999999999999" customHeight="1">
      <c r="AA1968"/>
    </row>
    <row r="1969" spans="27:27" ht="17.899999999999999" customHeight="1">
      <c r="AA1969"/>
    </row>
    <row r="1970" spans="27:27" ht="17.899999999999999" customHeight="1">
      <c r="AA1970"/>
    </row>
    <row r="1971" spans="27:27" ht="17.899999999999999" customHeight="1">
      <c r="AA1971"/>
    </row>
    <row r="1972" spans="27:27" ht="17.899999999999999" customHeight="1">
      <c r="AA1972"/>
    </row>
    <row r="1973" spans="27:27" ht="17.899999999999999" customHeight="1">
      <c r="AA1973"/>
    </row>
    <row r="1974" spans="27:27" ht="17.899999999999999" customHeight="1">
      <c r="AA1974"/>
    </row>
    <row r="1975" spans="27:27" ht="17.899999999999999" customHeight="1">
      <c r="AA1975"/>
    </row>
    <row r="1976" spans="27:27" ht="17.899999999999999" customHeight="1">
      <c r="AA1976"/>
    </row>
    <row r="1977" spans="27:27" ht="17.899999999999999" customHeight="1">
      <c r="AA1977"/>
    </row>
    <row r="1978" spans="27:27" ht="17.899999999999999" customHeight="1">
      <c r="AA1978"/>
    </row>
    <row r="1979" spans="27:27" ht="17.899999999999999" customHeight="1">
      <c r="AA1979"/>
    </row>
    <row r="1980" spans="27:27" ht="17.899999999999999" customHeight="1">
      <c r="AA1980"/>
    </row>
    <row r="1981" spans="27:27" ht="17.899999999999999" customHeight="1">
      <c r="AA1981"/>
    </row>
    <row r="1982" spans="27:27" ht="17.899999999999999" customHeight="1">
      <c r="AA1982"/>
    </row>
    <row r="1983" spans="27:27" ht="17.899999999999999" customHeight="1">
      <c r="AA1983"/>
    </row>
    <row r="1984" spans="27:27" ht="17.899999999999999" customHeight="1">
      <c r="AA1984"/>
    </row>
    <row r="1985" spans="27:27" ht="17.899999999999999" customHeight="1">
      <c r="AA1985"/>
    </row>
    <row r="1986" spans="27:27" ht="17.899999999999999" customHeight="1">
      <c r="AA1986"/>
    </row>
    <row r="1987" spans="27:27" ht="17.899999999999999" customHeight="1">
      <c r="AA1987"/>
    </row>
    <row r="1988" spans="27:27" ht="17.899999999999999" customHeight="1">
      <c r="AA1988"/>
    </row>
    <row r="1989" spans="27:27" ht="17.899999999999999" customHeight="1">
      <c r="AA1989"/>
    </row>
    <row r="1990" spans="27:27" ht="17.899999999999999" customHeight="1">
      <c r="AA1990"/>
    </row>
    <row r="1991" spans="27:27" ht="17.899999999999999" customHeight="1">
      <c r="AA1991"/>
    </row>
    <row r="1992" spans="27:27" ht="17.899999999999999" customHeight="1">
      <c r="AA1992"/>
    </row>
    <row r="1993" spans="27:27" ht="17.899999999999999" customHeight="1">
      <c r="AA1993"/>
    </row>
    <row r="1994" spans="27:27" ht="17.899999999999999" customHeight="1">
      <c r="AA1994"/>
    </row>
    <row r="1995" spans="27:27" ht="17.899999999999999" customHeight="1">
      <c r="AA1995"/>
    </row>
    <row r="1996" spans="27:27" ht="17.899999999999999" customHeight="1">
      <c r="AA1996"/>
    </row>
    <row r="1997" spans="27:27" ht="17.899999999999999" customHeight="1">
      <c r="AA1997"/>
    </row>
    <row r="1998" spans="27:27" ht="17.899999999999999" customHeight="1">
      <c r="AA1998"/>
    </row>
    <row r="1999" spans="27:27" ht="17.899999999999999" customHeight="1">
      <c r="AA1999"/>
    </row>
    <row r="2000" spans="27:27" ht="17.899999999999999" customHeight="1">
      <c r="AA2000"/>
    </row>
    <row r="2001" spans="27:27" ht="17.899999999999999" customHeight="1">
      <c r="AA2001"/>
    </row>
    <row r="2002" spans="27:27" ht="17.899999999999999" customHeight="1">
      <c r="AA2002"/>
    </row>
    <row r="2003" spans="27:27" ht="17.899999999999999" customHeight="1">
      <c r="AA2003"/>
    </row>
    <row r="2004" spans="27:27" ht="17.899999999999999" customHeight="1">
      <c r="AA2004"/>
    </row>
    <row r="2005" spans="27:27" ht="17.899999999999999" customHeight="1">
      <c r="AA2005"/>
    </row>
    <row r="2006" spans="27:27" ht="17.899999999999999" customHeight="1">
      <c r="AA2006"/>
    </row>
    <row r="2007" spans="27:27" ht="17.899999999999999" customHeight="1">
      <c r="AA2007"/>
    </row>
    <row r="2008" spans="27:27" ht="17.899999999999999" customHeight="1">
      <c r="AA2008"/>
    </row>
    <row r="2009" spans="27:27" ht="17.899999999999999" customHeight="1">
      <c r="AA2009"/>
    </row>
    <row r="2010" spans="27:27" ht="17.899999999999999" customHeight="1">
      <c r="AA2010"/>
    </row>
    <row r="2011" spans="27:27" ht="17.899999999999999" customHeight="1">
      <c r="AA2011"/>
    </row>
    <row r="2012" spans="27:27" ht="17.899999999999999" customHeight="1">
      <c r="AA2012"/>
    </row>
    <row r="2013" spans="27:27" ht="17.899999999999999" customHeight="1">
      <c r="AA2013"/>
    </row>
    <row r="2014" spans="27:27" ht="17.899999999999999" customHeight="1">
      <c r="AA2014"/>
    </row>
    <row r="2015" spans="27:27" ht="17.899999999999999" customHeight="1">
      <c r="AA2015"/>
    </row>
    <row r="2016" spans="27:27" ht="17.899999999999999" customHeight="1">
      <c r="AA2016"/>
    </row>
    <row r="2017" spans="27:27" ht="17.899999999999999" customHeight="1">
      <c r="AA2017"/>
    </row>
    <row r="2018" spans="27:27" ht="17.899999999999999" customHeight="1">
      <c r="AA2018"/>
    </row>
    <row r="2019" spans="27:27" ht="17.899999999999999" customHeight="1">
      <c r="AA2019"/>
    </row>
    <row r="2020" spans="27:27" ht="17.899999999999999" customHeight="1">
      <c r="AA2020"/>
    </row>
    <row r="2021" spans="27:27" ht="17.899999999999999" customHeight="1">
      <c r="AA2021"/>
    </row>
    <row r="2022" spans="27:27" ht="17.899999999999999" customHeight="1">
      <c r="AA2022"/>
    </row>
    <row r="2023" spans="27:27" ht="17.899999999999999" customHeight="1">
      <c r="AA2023"/>
    </row>
    <row r="2024" spans="27:27" ht="17.899999999999999" customHeight="1">
      <c r="AA2024"/>
    </row>
    <row r="2025" spans="27:27" ht="17.899999999999999" customHeight="1">
      <c r="AA2025"/>
    </row>
    <row r="2026" spans="27:27" ht="17.899999999999999" customHeight="1">
      <c r="AA2026"/>
    </row>
    <row r="2027" spans="27:27" ht="17.899999999999999" customHeight="1">
      <c r="AA2027"/>
    </row>
    <row r="2028" spans="27:27" ht="17.899999999999999" customHeight="1">
      <c r="AA2028"/>
    </row>
    <row r="2029" spans="27:27" ht="17.899999999999999" customHeight="1">
      <c r="AA2029"/>
    </row>
    <row r="2030" spans="27:27" ht="17.899999999999999" customHeight="1">
      <c r="AA2030"/>
    </row>
    <row r="2031" spans="27:27" ht="17.899999999999999" customHeight="1">
      <c r="AA2031"/>
    </row>
    <row r="2032" spans="27:27" ht="17.899999999999999" customHeight="1">
      <c r="AA2032"/>
    </row>
    <row r="2033" spans="27:27" ht="17.899999999999999" customHeight="1">
      <c r="AA2033"/>
    </row>
    <row r="2034" spans="27:27" ht="17.899999999999999" customHeight="1">
      <c r="AA2034"/>
    </row>
    <row r="2035" spans="27:27" ht="17.899999999999999" customHeight="1">
      <c r="AA2035"/>
    </row>
    <row r="2036" spans="27:27" ht="17.899999999999999" customHeight="1">
      <c r="AA2036"/>
    </row>
    <row r="2037" spans="27:27" ht="17.899999999999999" customHeight="1">
      <c r="AA2037"/>
    </row>
    <row r="2038" spans="27:27" ht="17.899999999999999" customHeight="1">
      <c r="AA2038"/>
    </row>
    <row r="2039" spans="27:27" ht="17.899999999999999" customHeight="1">
      <c r="AA2039"/>
    </row>
    <row r="2040" spans="27:27" ht="17.899999999999999" customHeight="1">
      <c r="AA2040"/>
    </row>
    <row r="2041" spans="27:27" ht="17.899999999999999" customHeight="1">
      <c r="AA2041"/>
    </row>
    <row r="2042" spans="27:27" ht="17.899999999999999" customHeight="1">
      <c r="AA2042"/>
    </row>
    <row r="2043" spans="27:27" ht="17.899999999999999" customHeight="1">
      <c r="AA2043"/>
    </row>
    <row r="2044" spans="27:27" ht="17.899999999999999" customHeight="1">
      <c r="AA2044"/>
    </row>
    <row r="2045" spans="27:27" ht="17.899999999999999" customHeight="1">
      <c r="AA2045"/>
    </row>
    <row r="2046" spans="27:27" ht="17.899999999999999" customHeight="1">
      <c r="AA2046"/>
    </row>
    <row r="2047" spans="27:27" ht="17.899999999999999" customHeight="1">
      <c r="AA2047"/>
    </row>
    <row r="2048" spans="27:27" ht="17.899999999999999" customHeight="1">
      <c r="AA2048"/>
    </row>
    <row r="2049" spans="27:27" ht="17.899999999999999" customHeight="1">
      <c r="AA2049"/>
    </row>
    <row r="2050" spans="27:27" ht="17.899999999999999" customHeight="1">
      <c r="AA2050"/>
    </row>
    <row r="2051" spans="27:27" ht="17.899999999999999" customHeight="1">
      <c r="AA2051"/>
    </row>
    <row r="2052" spans="27:27" ht="17.899999999999999" customHeight="1">
      <c r="AA2052"/>
    </row>
    <row r="2053" spans="27:27" ht="17.899999999999999" customHeight="1">
      <c r="AA2053"/>
    </row>
    <row r="2054" spans="27:27" ht="17.899999999999999" customHeight="1">
      <c r="AA2054"/>
    </row>
    <row r="2055" spans="27:27" ht="17.899999999999999" customHeight="1">
      <c r="AA2055"/>
    </row>
    <row r="2056" spans="27:27" ht="17.899999999999999" customHeight="1">
      <c r="AA2056"/>
    </row>
    <row r="2057" spans="27:27" ht="17.899999999999999" customHeight="1">
      <c r="AA2057"/>
    </row>
    <row r="2058" spans="27:27" ht="17.899999999999999" customHeight="1">
      <c r="AA2058"/>
    </row>
    <row r="2059" spans="27:27" ht="17.899999999999999" customHeight="1">
      <c r="AA2059"/>
    </row>
    <row r="2060" spans="27:27" ht="17.899999999999999" customHeight="1">
      <c r="AA2060"/>
    </row>
    <row r="2061" spans="27:27" ht="17.899999999999999" customHeight="1">
      <c r="AA2061"/>
    </row>
    <row r="2062" spans="27:27" ht="17.899999999999999" customHeight="1">
      <c r="AA2062"/>
    </row>
    <row r="2063" spans="27:27" ht="17.899999999999999" customHeight="1">
      <c r="AA2063"/>
    </row>
    <row r="2064" spans="27:27" ht="17.899999999999999" customHeight="1">
      <c r="AA2064"/>
    </row>
    <row r="2065" spans="27:27" ht="17.899999999999999" customHeight="1">
      <c r="AA2065"/>
    </row>
    <row r="2066" spans="27:27" ht="17.899999999999999" customHeight="1">
      <c r="AA2066"/>
    </row>
    <row r="2067" spans="27:27" ht="17.899999999999999" customHeight="1">
      <c r="AA2067"/>
    </row>
    <row r="2068" spans="27:27" ht="17.899999999999999" customHeight="1">
      <c r="AA2068"/>
    </row>
    <row r="2069" spans="27:27" ht="17.899999999999999" customHeight="1">
      <c r="AA2069"/>
    </row>
    <row r="2070" spans="27:27" ht="17.899999999999999" customHeight="1">
      <c r="AA2070"/>
    </row>
    <row r="2071" spans="27:27" ht="17.899999999999999" customHeight="1">
      <c r="AA2071"/>
    </row>
    <row r="2072" spans="27:27" ht="17.899999999999999" customHeight="1">
      <c r="AA2072"/>
    </row>
    <row r="2073" spans="27:27" ht="17.899999999999999" customHeight="1">
      <c r="AA2073"/>
    </row>
    <row r="2074" spans="27:27" ht="17.899999999999999" customHeight="1">
      <c r="AA2074"/>
    </row>
    <row r="2075" spans="27:27" ht="17.899999999999999" customHeight="1">
      <c r="AA2075"/>
    </row>
    <row r="2076" spans="27:27" ht="17.899999999999999" customHeight="1">
      <c r="AA2076"/>
    </row>
    <row r="2077" spans="27:27" ht="17.899999999999999" customHeight="1">
      <c r="AA2077"/>
    </row>
    <row r="2078" spans="27:27" ht="17.899999999999999" customHeight="1">
      <c r="AA2078"/>
    </row>
    <row r="2079" spans="27:27" ht="17.899999999999999" customHeight="1">
      <c r="AA2079"/>
    </row>
    <row r="2080" spans="27:27" ht="17.899999999999999" customHeight="1">
      <c r="AA2080"/>
    </row>
    <row r="2081" spans="27:27" ht="17.899999999999999" customHeight="1">
      <c r="AA2081"/>
    </row>
    <row r="2082" spans="27:27" ht="17.899999999999999" customHeight="1">
      <c r="AA2082"/>
    </row>
    <row r="2083" spans="27:27" ht="17.899999999999999" customHeight="1">
      <c r="AA2083"/>
    </row>
    <row r="2084" spans="27:27" ht="17.899999999999999" customHeight="1">
      <c r="AA2084"/>
    </row>
    <row r="2085" spans="27:27" ht="17.899999999999999" customHeight="1">
      <c r="AA2085"/>
    </row>
    <row r="2086" spans="27:27" ht="17.899999999999999" customHeight="1">
      <c r="AA2086"/>
    </row>
    <row r="2087" spans="27:27" ht="17.899999999999999" customHeight="1">
      <c r="AA2087"/>
    </row>
    <row r="2088" spans="27:27" ht="17.899999999999999" customHeight="1">
      <c r="AA2088"/>
    </row>
    <row r="2089" spans="27:27" ht="17.899999999999999" customHeight="1">
      <c r="AA2089"/>
    </row>
    <row r="2090" spans="27:27" ht="17.899999999999999" customHeight="1">
      <c r="AA2090"/>
    </row>
    <row r="2091" spans="27:27" ht="17.899999999999999" customHeight="1">
      <c r="AA2091"/>
    </row>
    <row r="2092" spans="27:27" ht="17.899999999999999" customHeight="1">
      <c r="AA2092"/>
    </row>
    <row r="2093" spans="27:27" ht="17.899999999999999" customHeight="1">
      <c r="AA2093"/>
    </row>
    <row r="2094" spans="27:27" ht="17.899999999999999" customHeight="1">
      <c r="AA2094"/>
    </row>
    <row r="2095" spans="27:27" ht="17.899999999999999" customHeight="1">
      <c r="AA2095"/>
    </row>
    <row r="2096" spans="27:27" ht="17.899999999999999" customHeight="1">
      <c r="AA2096"/>
    </row>
    <row r="2097" spans="27:27" ht="17.899999999999999" customHeight="1">
      <c r="AA2097"/>
    </row>
    <row r="2098" spans="27:27" ht="17.899999999999999" customHeight="1">
      <c r="AA2098"/>
    </row>
    <row r="2099" spans="27:27" ht="17.899999999999999" customHeight="1">
      <c r="AA2099"/>
    </row>
    <row r="2100" spans="27:27" ht="17.899999999999999" customHeight="1">
      <c r="AA2100"/>
    </row>
    <row r="2101" spans="27:27" ht="17.899999999999999" customHeight="1">
      <c r="AA2101"/>
    </row>
    <row r="2102" spans="27:27" ht="17.899999999999999" customHeight="1">
      <c r="AA2102"/>
    </row>
    <row r="2103" spans="27:27" ht="17.899999999999999" customHeight="1">
      <c r="AA2103"/>
    </row>
    <row r="2104" spans="27:27" ht="17.899999999999999" customHeight="1">
      <c r="AA2104"/>
    </row>
    <row r="2105" spans="27:27" ht="17.899999999999999" customHeight="1">
      <c r="AA2105"/>
    </row>
    <row r="2106" spans="27:27" ht="17.899999999999999" customHeight="1">
      <c r="AA2106"/>
    </row>
    <row r="2107" spans="27:27" ht="17.899999999999999" customHeight="1">
      <c r="AA2107"/>
    </row>
    <row r="2108" spans="27:27" ht="17.899999999999999" customHeight="1">
      <c r="AA2108"/>
    </row>
    <row r="2109" spans="27:27" ht="17.899999999999999" customHeight="1">
      <c r="AA2109"/>
    </row>
    <row r="2110" spans="27:27" ht="17.899999999999999" customHeight="1">
      <c r="AA2110"/>
    </row>
    <row r="2111" spans="27:27" ht="17.899999999999999" customHeight="1">
      <c r="AA2111"/>
    </row>
    <row r="2112" spans="27:27" ht="17.899999999999999" customHeight="1">
      <c r="AA2112"/>
    </row>
    <row r="2113" spans="27:27" ht="17.899999999999999" customHeight="1">
      <c r="AA2113"/>
    </row>
    <row r="2114" spans="27:27" ht="17.899999999999999" customHeight="1">
      <c r="AA2114"/>
    </row>
    <row r="2115" spans="27:27" ht="17.899999999999999" customHeight="1">
      <c r="AA2115"/>
    </row>
    <row r="2116" spans="27:27" ht="17.899999999999999" customHeight="1">
      <c r="AA2116"/>
    </row>
    <row r="2117" spans="27:27" ht="17.899999999999999" customHeight="1">
      <c r="AA2117"/>
    </row>
    <row r="2118" spans="27:27" ht="17.899999999999999" customHeight="1">
      <c r="AA2118"/>
    </row>
    <row r="2119" spans="27:27" ht="17.899999999999999" customHeight="1">
      <c r="AA2119"/>
    </row>
    <row r="2120" spans="27:27" ht="17.899999999999999" customHeight="1">
      <c r="AA2120"/>
    </row>
    <row r="2121" spans="27:27" ht="17.899999999999999" customHeight="1">
      <c r="AA2121"/>
    </row>
    <row r="2122" spans="27:27" ht="17.899999999999999" customHeight="1">
      <c r="AA2122"/>
    </row>
    <row r="2123" spans="27:27" ht="17.899999999999999" customHeight="1">
      <c r="AA2123"/>
    </row>
    <row r="2124" spans="27:27" ht="17.899999999999999" customHeight="1">
      <c r="AA2124"/>
    </row>
    <row r="2125" spans="27:27" ht="17.899999999999999" customHeight="1">
      <c r="AA2125"/>
    </row>
    <row r="2126" spans="27:27" ht="17.899999999999999" customHeight="1">
      <c r="AA2126"/>
    </row>
    <row r="2127" spans="27:27" ht="17.899999999999999" customHeight="1">
      <c r="AA2127"/>
    </row>
    <row r="2128" spans="27:27" ht="17.899999999999999" customHeight="1">
      <c r="AA2128"/>
    </row>
    <row r="2129" spans="27:27" ht="17.899999999999999" customHeight="1">
      <c r="AA2129"/>
    </row>
    <row r="2130" spans="27:27" ht="17.899999999999999" customHeight="1">
      <c r="AA2130"/>
    </row>
    <row r="2131" spans="27:27" ht="17.899999999999999" customHeight="1">
      <c r="AA2131"/>
    </row>
    <row r="2132" spans="27:27" ht="17.899999999999999" customHeight="1">
      <c r="AA2132"/>
    </row>
    <row r="2133" spans="27:27" ht="17.899999999999999" customHeight="1">
      <c r="AA2133"/>
    </row>
    <row r="2134" spans="27:27" ht="17.899999999999999" customHeight="1">
      <c r="AA2134"/>
    </row>
    <row r="2135" spans="27:27" ht="17.899999999999999" customHeight="1">
      <c r="AA2135"/>
    </row>
    <row r="2136" spans="27:27" ht="17.899999999999999" customHeight="1">
      <c r="AA2136"/>
    </row>
    <row r="2137" spans="27:27" ht="17.899999999999999" customHeight="1">
      <c r="AA2137"/>
    </row>
    <row r="2138" spans="27:27" ht="17.899999999999999" customHeight="1">
      <c r="AA2138"/>
    </row>
    <row r="2139" spans="27:27" ht="17.899999999999999" customHeight="1">
      <c r="AA2139"/>
    </row>
    <row r="2140" spans="27:27" ht="17.899999999999999" customHeight="1">
      <c r="AA2140"/>
    </row>
    <row r="2141" spans="27:27" ht="17.899999999999999" customHeight="1">
      <c r="AA2141"/>
    </row>
    <row r="2142" spans="27:27" ht="17.899999999999999" customHeight="1">
      <c r="AA2142"/>
    </row>
    <row r="2143" spans="27:27" ht="17.899999999999999" customHeight="1">
      <c r="AA2143"/>
    </row>
    <row r="2144" spans="27:27" ht="17.899999999999999" customHeight="1">
      <c r="AA2144"/>
    </row>
    <row r="2145" spans="27:27" ht="17.899999999999999" customHeight="1">
      <c r="AA2145"/>
    </row>
    <row r="2146" spans="27:27" ht="17.899999999999999" customHeight="1">
      <c r="AA2146"/>
    </row>
    <row r="2147" spans="27:27" ht="17.899999999999999" customHeight="1">
      <c r="AA2147"/>
    </row>
    <row r="2148" spans="27:27" ht="17.899999999999999" customHeight="1">
      <c r="AA2148"/>
    </row>
    <row r="2149" spans="27:27" ht="17.899999999999999" customHeight="1">
      <c r="AA2149"/>
    </row>
    <row r="2150" spans="27:27" ht="17.899999999999999" customHeight="1">
      <c r="AA2150"/>
    </row>
    <row r="2151" spans="27:27" ht="17.899999999999999" customHeight="1">
      <c r="AA2151"/>
    </row>
    <row r="2152" spans="27:27" ht="17.899999999999999" customHeight="1">
      <c r="AA2152"/>
    </row>
    <row r="2153" spans="27:27" ht="17.899999999999999" customHeight="1">
      <c r="AA2153"/>
    </row>
    <row r="2154" spans="27:27" ht="17.899999999999999" customHeight="1">
      <c r="AA2154"/>
    </row>
    <row r="2155" spans="27:27" ht="17.899999999999999" customHeight="1">
      <c r="AA2155"/>
    </row>
    <row r="2156" spans="27:27" ht="17.899999999999999" customHeight="1">
      <c r="AA2156"/>
    </row>
    <row r="2157" spans="27:27" ht="17.899999999999999" customHeight="1">
      <c r="AA2157"/>
    </row>
    <row r="2158" spans="27:27" ht="17.899999999999999" customHeight="1">
      <c r="AA2158"/>
    </row>
    <row r="2159" spans="27:27" ht="17.899999999999999" customHeight="1">
      <c r="AA2159"/>
    </row>
    <row r="2160" spans="27:27" ht="17.899999999999999" customHeight="1">
      <c r="AA2160"/>
    </row>
    <row r="2161" spans="27:27" ht="17.899999999999999" customHeight="1">
      <c r="AA2161"/>
    </row>
    <row r="2162" spans="27:27" ht="17.899999999999999" customHeight="1">
      <c r="AA2162"/>
    </row>
    <row r="2163" spans="27:27" ht="17.899999999999999" customHeight="1">
      <c r="AA2163"/>
    </row>
    <row r="2164" spans="27:27" ht="17.899999999999999" customHeight="1">
      <c r="AA2164"/>
    </row>
    <row r="2165" spans="27:27" ht="17.899999999999999" customHeight="1">
      <c r="AA2165"/>
    </row>
    <row r="2166" spans="27:27" ht="17.899999999999999" customHeight="1">
      <c r="AA2166"/>
    </row>
    <row r="2167" spans="27:27" ht="17.899999999999999" customHeight="1">
      <c r="AA2167"/>
    </row>
    <row r="2168" spans="27:27" ht="17.899999999999999" customHeight="1">
      <c r="AA2168"/>
    </row>
    <row r="2169" spans="27:27" ht="17.899999999999999" customHeight="1">
      <c r="AA2169"/>
    </row>
    <row r="2170" spans="27:27" ht="17.899999999999999" customHeight="1">
      <c r="AA2170"/>
    </row>
    <row r="2171" spans="27:27" ht="17.899999999999999" customHeight="1">
      <c r="AA2171"/>
    </row>
    <row r="2172" spans="27:27" ht="17.899999999999999" customHeight="1">
      <c r="AA2172"/>
    </row>
    <row r="2173" spans="27:27" ht="17.899999999999999" customHeight="1">
      <c r="AA2173"/>
    </row>
    <row r="2174" spans="27:27" ht="17.899999999999999" customHeight="1">
      <c r="AA2174"/>
    </row>
    <row r="2175" spans="27:27" ht="17.899999999999999" customHeight="1">
      <c r="AA2175"/>
    </row>
    <row r="2176" spans="27:27" ht="17.899999999999999" customHeight="1">
      <c r="AA2176"/>
    </row>
    <row r="2177" spans="27:27" ht="17.899999999999999" customHeight="1">
      <c r="AA2177"/>
    </row>
    <row r="2178" spans="27:27" ht="17.899999999999999" customHeight="1">
      <c r="AA2178"/>
    </row>
    <row r="2179" spans="27:27" ht="17.899999999999999" customHeight="1">
      <c r="AA2179"/>
    </row>
    <row r="2180" spans="27:27" ht="17.899999999999999" customHeight="1">
      <c r="AA2180"/>
    </row>
    <row r="2181" spans="27:27" ht="17.899999999999999" customHeight="1">
      <c r="AA2181"/>
    </row>
    <row r="2182" spans="27:27" ht="17.899999999999999" customHeight="1">
      <c r="AA2182"/>
    </row>
    <row r="2183" spans="27:27" ht="17.899999999999999" customHeight="1">
      <c r="AA2183"/>
    </row>
    <row r="2184" spans="27:27" ht="17.899999999999999" customHeight="1">
      <c r="AA2184"/>
    </row>
    <row r="2185" spans="27:27" ht="17.899999999999999" customHeight="1">
      <c r="AA2185"/>
    </row>
    <row r="2186" spans="27:27" ht="17.899999999999999" customHeight="1">
      <c r="AA2186"/>
    </row>
    <row r="2187" spans="27:27" ht="17.899999999999999" customHeight="1">
      <c r="AA2187"/>
    </row>
    <row r="2188" spans="27:27" ht="17.899999999999999" customHeight="1">
      <c r="AA2188"/>
    </row>
    <row r="2189" spans="27:27" ht="17.899999999999999" customHeight="1">
      <c r="AA2189"/>
    </row>
    <row r="2190" spans="27:27" ht="17.899999999999999" customHeight="1">
      <c r="AA2190"/>
    </row>
    <row r="2191" spans="27:27" ht="17.899999999999999" customHeight="1">
      <c r="AA2191"/>
    </row>
    <row r="2192" spans="27:27" ht="17.899999999999999" customHeight="1">
      <c r="AA2192"/>
    </row>
    <row r="2193" spans="27:27" ht="17.899999999999999" customHeight="1">
      <c r="AA2193"/>
    </row>
    <row r="2194" spans="27:27" ht="17.899999999999999" customHeight="1">
      <c r="AA2194"/>
    </row>
    <row r="2195" spans="27:27" ht="17.899999999999999" customHeight="1">
      <c r="AA2195"/>
    </row>
    <row r="2196" spans="27:27" ht="17.899999999999999" customHeight="1">
      <c r="AA2196"/>
    </row>
    <row r="2197" spans="27:27" ht="17.899999999999999" customHeight="1">
      <c r="AA2197"/>
    </row>
    <row r="2198" spans="27:27" ht="17.899999999999999" customHeight="1">
      <c r="AA2198"/>
    </row>
    <row r="2199" spans="27:27" ht="17.899999999999999" customHeight="1">
      <c r="AA2199"/>
    </row>
    <row r="2200" spans="27:27" ht="17.899999999999999" customHeight="1">
      <c r="AA2200"/>
    </row>
    <row r="2201" spans="27:27" ht="17.899999999999999" customHeight="1">
      <c r="AA2201"/>
    </row>
    <row r="2202" spans="27:27" ht="17.899999999999999" customHeight="1">
      <c r="AA2202"/>
    </row>
    <row r="2203" spans="27:27" ht="17.899999999999999" customHeight="1">
      <c r="AA2203"/>
    </row>
    <row r="2204" spans="27:27" ht="17.899999999999999" customHeight="1">
      <c r="AA2204"/>
    </row>
    <row r="2205" spans="27:27" ht="17.899999999999999" customHeight="1">
      <c r="AA2205"/>
    </row>
    <row r="2206" spans="27:27" ht="17.899999999999999" customHeight="1">
      <c r="AA2206"/>
    </row>
    <row r="2207" spans="27:27" ht="17.899999999999999" customHeight="1">
      <c r="AA2207"/>
    </row>
    <row r="2208" spans="27:27" ht="17.899999999999999" customHeight="1">
      <c r="AA2208"/>
    </row>
    <row r="2209" spans="27:27" ht="17.899999999999999" customHeight="1">
      <c r="AA2209"/>
    </row>
    <row r="2210" spans="27:27" ht="17.899999999999999" customHeight="1">
      <c r="AA2210"/>
    </row>
    <row r="2211" spans="27:27" ht="17.899999999999999" customHeight="1">
      <c r="AA2211"/>
    </row>
    <row r="2212" spans="27:27" ht="17.899999999999999" customHeight="1">
      <c r="AA2212"/>
    </row>
    <row r="2213" spans="27:27" ht="17.899999999999999" customHeight="1">
      <c r="AA2213"/>
    </row>
    <row r="2214" spans="27:27" ht="17.899999999999999" customHeight="1">
      <c r="AA2214"/>
    </row>
    <row r="2215" spans="27:27" ht="17.899999999999999" customHeight="1">
      <c r="AA2215"/>
    </row>
    <row r="2216" spans="27:27" ht="17.899999999999999" customHeight="1">
      <c r="AA2216"/>
    </row>
    <row r="2217" spans="27:27" ht="17.899999999999999" customHeight="1">
      <c r="AA2217"/>
    </row>
    <row r="2218" spans="27:27" ht="17.899999999999999" customHeight="1">
      <c r="AA2218"/>
    </row>
    <row r="2219" spans="27:27" ht="17.899999999999999" customHeight="1">
      <c r="AA2219"/>
    </row>
    <row r="2220" spans="27:27" ht="17.899999999999999" customHeight="1">
      <c r="AA2220"/>
    </row>
    <row r="2221" spans="27:27" ht="17.899999999999999" customHeight="1">
      <c r="AA2221"/>
    </row>
    <row r="2222" spans="27:27" ht="17.899999999999999" customHeight="1">
      <c r="AA2222"/>
    </row>
    <row r="2223" spans="27:27" ht="17.899999999999999" customHeight="1">
      <c r="AA2223"/>
    </row>
    <row r="2224" spans="27:27" ht="17.899999999999999" customHeight="1">
      <c r="AA2224"/>
    </row>
    <row r="2225" spans="27:27" ht="17.899999999999999" customHeight="1">
      <c r="AA2225"/>
    </row>
    <row r="2226" spans="27:27" ht="17.899999999999999" customHeight="1">
      <c r="AA2226"/>
    </row>
    <row r="2227" spans="27:27" ht="17.899999999999999" customHeight="1">
      <c r="AA2227"/>
    </row>
    <row r="2228" spans="27:27" ht="17.899999999999999" customHeight="1">
      <c r="AA2228"/>
    </row>
    <row r="2229" spans="27:27" ht="17.899999999999999" customHeight="1">
      <c r="AA2229"/>
    </row>
    <row r="2230" spans="27:27" ht="17.899999999999999" customHeight="1">
      <c r="AA2230"/>
    </row>
    <row r="2231" spans="27:27" ht="17.899999999999999" customHeight="1">
      <c r="AA2231"/>
    </row>
    <row r="2232" spans="27:27" ht="17.899999999999999" customHeight="1">
      <c r="AA2232"/>
    </row>
    <row r="2233" spans="27:27" ht="17.899999999999999" customHeight="1">
      <c r="AA2233"/>
    </row>
    <row r="2234" spans="27:27" ht="17.899999999999999" customHeight="1">
      <c r="AA2234"/>
    </row>
    <row r="2235" spans="27:27" ht="17.899999999999999" customHeight="1">
      <c r="AA2235"/>
    </row>
    <row r="2236" spans="27:27" ht="17.899999999999999" customHeight="1">
      <c r="AA2236"/>
    </row>
    <row r="2237" spans="27:27" ht="17.899999999999999" customHeight="1">
      <c r="AA2237"/>
    </row>
    <row r="2238" spans="27:27" ht="17.899999999999999" customHeight="1">
      <c r="AA2238"/>
    </row>
    <row r="2239" spans="27:27" ht="17.899999999999999" customHeight="1">
      <c r="AA2239"/>
    </row>
    <row r="2240" spans="27:27" ht="17.899999999999999" customHeight="1">
      <c r="AA2240"/>
    </row>
    <row r="2241" spans="27:27" ht="17.899999999999999" customHeight="1">
      <c r="AA2241"/>
    </row>
    <row r="2242" spans="27:27" ht="17.899999999999999" customHeight="1">
      <c r="AA2242"/>
    </row>
    <row r="2243" spans="27:27" ht="17.899999999999999" customHeight="1">
      <c r="AA2243"/>
    </row>
    <row r="2244" spans="27:27" ht="17.899999999999999" customHeight="1">
      <c r="AA2244"/>
    </row>
    <row r="2245" spans="27:27" ht="17.899999999999999" customHeight="1">
      <c r="AA2245"/>
    </row>
    <row r="2246" spans="27:27" ht="17.899999999999999" customHeight="1">
      <c r="AA2246"/>
    </row>
    <row r="2247" spans="27:27" ht="17.899999999999999" customHeight="1">
      <c r="AA2247"/>
    </row>
    <row r="2248" spans="27:27" ht="17.899999999999999" customHeight="1">
      <c r="AA2248"/>
    </row>
    <row r="2249" spans="27:27" ht="17.899999999999999" customHeight="1">
      <c r="AA2249"/>
    </row>
    <row r="2250" spans="27:27" ht="17.899999999999999" customHeight="1">
      <c r="AA2250"/>
    </row>
    <row r="2251" spans="27:27" ht="17.899999999999999" customHeight="1">
      <c r="AA2251"/>
    </row>
    <row r="2252" spans="27:27" ht="17.899999999999999" customHeight="1">
      <c r="AA2252"/>
    </row>
    <row r="2253" spans="27:27" ht="17.899999999999999" customHeight="1">
      <c r="AA2253"/>
    </row>
    <row r="2254" spans="27:27" ht="17.899999999999999" customHeight="1">
      <c r="AA2254"/>
    </row>
    <row r="2255" spans="27:27" ht="17.899999999999999" customHeight="1">
      <c r="AA2255"/>
    </row>
    <row r="2256" spans="27:27" ht="17.899999999999999" customHeight="1">
      <c r="AA2256"/>
    </row>
    <row r="2257" spans="27:27" ht="17.899999999999999" customHeight="1">
      <c r="AA2257"/>
    </row>
    <row r="2258" spans="27:27" ht="17.899999999999999" customHeight="1">
      <c r="AA2258"/>
    </row>
    <row r="2259" spans="27:27" ht="17.899999999999999" customHeight="1">
      <c r="AA2259"/>
    </row>
    <row r="2260" spans="27:27" ht="17.899999999999999" customHeight="1">
      <c r="AA2260"/>
    </row>
    <row r="2261" spans="27:27" ht="17.899999999999999" customHeight="1">
      <c r="AA2261"/>
    </row>
    <row r="2262" spans="27:27" ht="17.899999999999999" customHeight="1">
      <c r="AA2262"/>
    </row>
    <row r="2263" spans="27:27" ht="17.899999999999999" customHeight="1">
      <c r="AA2263"/>
    </row>
    <row r="2264" spans="27:27" ht="17.899999999999999" customHeight="1">
      <c r="AA2264"/>
    </row>
    <row r="2265" spans="27:27" ht="17.899999999999999" customHeight="1">
      <c r="AA2265"/>
    </row>
    <row r="2266" spans="27:27" ht="17.899999999999999" customHeight="1">
      <c r="AA2266"/>
    </row>
    <row r="2267" spans="27:27" ht="17.899999999999999" customHeight="1">
      <c r="AA2267"/>
    </row>
    <row r="2268" spans="27:27" ht="17.899999999999999" customHeight="1">
      <c r="AA2268"/>
    </row>
    <row r="2269" spans="27:27" ht="17.899999999999999" customHeight="1">
      <c r="AA2269"/>
    </row>
    <row r="2270" spans="27:27" ht="17.899999999999999" customHeight="1">
      <c r="AA2270"/>
    </row>
    <row r="2271" spans="27:27" ht="17.899999999999999" customHeight="1">
      <c r="AA2271"/>
    </row>
    <row r="2272" spans="27:27" ht="17.899999999999999" customHeight="1">
      <c r="AA2272"/>
    </row>
    <row r="2273" spans="27:27" ht="17.899999999999999" customHeight="1">
      <c r="AA2273"/>
    </row>
    <row r="2274" spans="27:27" ht="17.899999999999999" customHeight="1">
      <c r="AA2274"/>
    </row>
    <row r="2275" spans="27:27" ht="17.899999999999999" customHeight="1">
      <c r="AA2275"/>
    </row>
    <row r="2276" spans="27:27" ht="17.899999999999999" customHeight="1">
      <c r="AA2276"/>
    </row>
    <row r="2277" spans="27:27" ht="17.899999999999999" customHeight="1">
      <c r="AA2277"/>
    </row>
    <row r="2278" spans="27:27" ht="17.899999999999999" customHeight="1">
      <c r="AA2278"/>
    </row>
    <row r="2279" spans="27:27" ht="17.899999999999999" customHeight="1">
      <c r="AA2279"/>
    </row>
    <row r="2280" spans="27:27" ht="17.899999999999999" customHeight="1">
      <c r="AA2280"/>
    </row>
    <row r="2281" spans="27:27" ht="17.899999999999999" customHeight="1">
      <c r="AA2281"/>
    </row>
    <row r="2282" spans="27:27" ht="17.899999999999999" customHeight="1">
      <c r="AA2282"/>
    </row>
    <row r="2283" spans="27:27" ht="17.899999999999999" customHeight="1">
      <c r="AA2283"/>
    </row>
    <row r="2284" spans="27:27" ht="17.899999999999999" customHeight="1">
      <c r="AA2284"/>
    </row>
    <row r="2285" spans="27:27" ht="17.899999999999999" customHeight="1">
      <c r="AA2285"/>
    </row>
    <row r="2286" spans="27:27" ht="17.899999999999999" customHeight="1">
      <c r="AA2286"/>
    </row>
    <row r="2287" spans="27:27" ht="17.899999999999999" customHeight="1">
      <c r="AA2287"/>
    </row>
    <row r="2288" spans="27:27" ht="17.899999999999999" customHeight="1">
      <c r="AA2288"/>
    </row>
    <row r="2289" spans="27:27" ht="17.899999999999999" customHeight="1">
      <c r="AA2289"/>
    </row>
    <row r="2290" spans="27:27" ht="17.899999999999999" customHeight="1">
      <c r="AA2290"/>
    </row>
    <row r="2291" spans="27:27" ht="17.899999999999999" customHeight="1">
      <c r="AA2291"/>
    </row>
    <row r="2292" spans="27:27" ht="17.899999999999999" customHeight="1">
      <c r="AA2292"/>
    </row>
    <row r="2293" spans="27:27" ht="17.899999999999999" customHeight="1">
      <c r="AA2293"/>
    </row>
    <row r="2294" spans="27:27" ht="17.899999999999999" customHeight="1">
      <c r="AA2294"/>
    </row>
    <row r="2295" spans="27:27" ht="17.899999999999999" customHeight="1">
      <c r="AA2295"/>
    </row>
    <row r="2296" spans="27:27" ht="17.899999999999999" customHeight="1">
      <c r="AA2296"/>
    </row>
    <row r="2297" spans="27:27" ht="17.899999999999999" customHeight="1">
      <c r="AA2297"/>
    </row>
    <row r="2298" spans="27:27" ht="17.899999999999999" customHeight="1">
      <c r="AA2298"/>
    </row>
    <row r="2299" spans="27:27" ht="17.899999999999999" customHeight="1">
      <c r="AA2299"/>
    </row>
    <row r="2300" spans="27:27" ht="17.899999999999999" customHeight="1">
      <c r="AA2300"/>
    </row>
    <row r="2301" spans="27:27" ht="17.899999999999999" customHeight="1">
      <c r="AA2301"/>
    </row>
    <row r="2302" spans="27:27" ht="17.899999999999999" customHeight="1">
      <c r="AA2302"/>
    </row>
    <row r="2303" spans="27:27" ht="17.899999999999999" customHeight="1">
      <c r="AA2303"/>
    </row>
    <row r="2304" spans="27:27" ht="17.899999999999999" customHeight="1">
      <c r="AA2304"/>
    </row>
    <row r="2305" spans="27:27" ht="17.899999999999999" customHeight="1">
      <c r="AA2305"/>
    </row>
    <row r="2306" spans="27:27" ht="17.899999999999999" customHeight="1">
      <c r="AA2306"/>
    </row>
    <row r="2307" spans="27:27" ht="17.899999999999999" customHeight="1">
      <c r="AA2307"/>
    </row>
    <row r="2308" spans="27:27" ht="17.899999999999999" customHeight="1">
      <c r="AA2308"/>
    </row>
    <row r="2309" spans="27:27" ht="17.899999999999999" customHeight="1">
      <c r="AA2309"/>
    </row>
    <row r="2310" spans="27:27" ht="17.899999999999999" customHeight="1">
      <c r="AA2310"/>
    </row>
    <row r="2311" spans="27:27" ht="17.899999999999999" customHeight="1">
      <c r="AA2311"/>
    </row>
    <row r="2312" spans="27:27" ht="17.899999999999999" customHeight="1">
      <c r="AA2312"/>
    </row>
    <row r="2313" spans="27:27" ht="17.899999999999999" customHeight="1">
      <c r="AA2313"/>
    </row>
    <row r="2314" spans="27:27" ht="17.899999999999999" customHeight="1">
      <c r="AA2314"/>
    </row>
    <row r="2315" spans="27:27" ht="17.899999999999999" customHeight="1">
      <c r="AA2315"/>
    </row>
    <row r="2316" spans="27:27" ht="17.899999999999999" customHeight="1">
      <c r="AA2316"/>
    </row>
    <row r="2317" spans="27:27" ht="17.899999999999999" customHeight="1">
      <c r="AA2317"/>
    </row>
    <row r="2318" spans="27:27" ht="17.899999999999999" customHeight="1">
      <c r="AA2318"/>
    </row>
    <row r="2319" spans="27:27" ht="17.899999999999999" customHeight="1">
      <c r="AA2319"/>
    </row>
    <row r="2320" spans="27:27" ht="17.899999999999999" customHeight="1">
      <c r="AA2320"/>
    </row>
    <row r="2321" spans="27:27" ht="17.899999999999999" customHeight="1">
      <c r="AA2321"/>
    </row>
    <row r="2322" spans="27:27" ht="17.899999999999999" customHeight="1">
      <c r="AA2322"/>
    </row>
    <row r="2323" spans="27:27" ht="17.899999999999999" customHeight="1">
      <c r="AA2323"/>
    </row>
    <row r="2324" spans="27:27" ht="17.899999999999999" customHeight="1">
      <c r="AA2324"/>
    </row>
    <row r="2325" spans="27:27" ht="17.899999999999999" customHeight="1">
      <c r="AA2325"/>
    </row>
    <row r="2326" spans="27:27" ht="17.899999999999999" customHeight="1">
      <c r="AA2326"/>
    </row>
    <row r="2327" spans="27:27" ht="17.899999999999999" customHeight="1">
      <c r="AA2327"/>
    </row>
    <row r="2328" spans="27:27" ht="17.899999999999999" customHeight="1">
      <c r="AA2328"/>
    </row>
    <row r="2329" spans="27:27" ht="17.899999999999999" customHeight="1">
      <c r="AA2329"/>
    </row>
    <row r="2330" spans="27:27" ht="17.899999999999999" customHeight="1">
      <c r="AA2330"/>
    </row>
    <row r="2331" spans="27:27" ht="17.899999999999999" customHeight="1">
      <c r="AA2331"/>
    </row>
    <row r="2332" spans="27:27" ht="17.899999999999999" customHeight="1">
      <c r="AA2332"/>
    </row>
    <row r="2333" spans="27:27" ht="17.899999999999999" customHeight="1">
      <c r="AA2333"/>
    </row>
    <row r="2334" spans="27:27" ht="17.899999999999999" customHeight="1">
      <c r="AA2334"/>
    </row>
    <row r="2335" spans="27:27" ht="17.899999999999999" customHeight="1">
      <c r="AA2335"/>
    </row>
    <row r="2336" spans="27:27" ht="17.899999999999999" customHeight="1">
      <c r="AA2336"/>
    </row>
    <row r="2337" spans="27:27" ht="17.899999999999999" customHeight="1">
      <c r="AA2337"/>
    </row>
    <row r="2338" spans="27:27" ht="17.899999999999999" customHeight="1">
      <c r="AA2338"/>
    </row>
    <row r="2339" spans="27:27" ht="17.899999999999999" customHeight="1">
      <c r="AA2339"/>
    </row>
    <row r="2340" spans="27:27" ht="17.899999999999999" customHeight="1">
      <c r="AA2340"/>
    </row>
    <row r="2341" spans="27:27" ht="17.899999999999999" customHeight="1">
      <c r="AA2341"/>
    </row>
    <row r="2342" spans="27:27" ht="17.899999999999999" customHeight="1">
      <c r="AA2342"/>
    </row>
    <row r="2343" spans="27:27" ht="17.899999999999999" customHeight="1">
      <c r="AA2343"/>
    </row>
    <row r="2344" spans="27:27" ht="17.899999999999999" customHeight="1">
      <c r="AA2344"/>
    </row>
    <row r="2345" spans="27:27" ht="17.899999999999999" customHeight="1">
      <c r="AA2345"/>
    </row>
    <row r="2346" spans="27:27" ht="17.899999999999999" customHeight="1">
      <c r="AA2346"/>
    </row>
    <row r="2347" spans="27:27" ht="17.899999999999999" customHeight="1">
      <c r="AA2347"/>
    </row>
    <row r="2348" spans="27:27" ht="17.899999999999999" customHeight="1">
      <c r="AA2348"/>
    </row>
    <row r="2349" spans="27:27" ht="17.899999999999999" customHeight="1">
      <c r="AA2349"/>
    </row>
    <row r="2350" spans="27:27" ht="17.899999999999999" customHeight="1">
      <c r="AA2350"/>
    </row>
    <row r="2351" spans="27:27" ht="17.899999999999999" customHeight="1">
      <c r="AA2351"/>
    </row>
    <row r="2352" spans="27:27" ht="17.899999999999999" customHeight="1">
      <c r="AA2352"/>
    </row>
    <row r="2353" spans="27:27" ht="17.899999999999999" customHeight="1">
      <c r="AA2353"/>
    </row>
    <row r="2354" spans="27:27" ht="17.899999999999999" customHeight="1">
      <c r="AA2354"/>
    </row>
    <row r="2355" spans="27:27" ht="17.899999999999999" customHeight="1">
      <c r="AA2355"/>
    </row>
    <row r="2356" spans="27:27" ht="17.899999999999999" customHeight="1">
      <c r="AA2356"/>
    </row>
    <row r="2357" spans="27:27" ht="17.899999999999999" customHeight="1">
      <c r="AA2357"/>
    </row>
    <row r="2358" spans="27:27" ht="17.899999999999999" customHeight="1">
      <c r="AA2358"/>
    </row>
    <row r="2359" spans="27:27" ht="17.899999999999999" customHeight="1">
      <c r="AA2359"/>
    </row>
    <row r="2360" spans="27:27" ht="17.899999999999999" customHeight="1">
      <c r="AA2360"/>
    </row>
    <row r="2361" spans="27:27" ht="17.899999999999999" customHeight="1">
      <c r="AA2361"/>
    </row>
    <row r="2362" spans="27:27" ht="17.899999999999999" customHeight="1">
      <c r="AA2362"/>
    </row>
    <row r="2363" spans="27:27" ht="17.899999999999999" customHeight="1">
      <c r="AA2363"/>
    </row>
    <row r="2364" spans="27:27" ht="17.899999999999999" customHeight="1">
      <c r="AA2364"/>
    </row>
    <row r="2365" spans="27:27" ht="17.899999999999999" customHeight="1">
      <c r="AA2365"/>
    </row>
    <row r="2366" spans="27:27" ht="17.899999999999999" customHeight="1">
      <c r="AA2366"/>
    </row>
    <row r="2367" spans="27:27" ht="17.899999999999999" customHeight="1">
      <c r="AA2367"/>
    </row>
    <row r="2368" spans="27:27" ht="17.899999999999999" customHeight="1">
      <c r="AA2368"/>
    </row>
    <row r="2369" spans="27:27" ht="17.899999999999999" customHeight="1">
      <c r="AA2369"/>
    </row>
    <row r="2370" spans="27:27" ht="17.899999999999999" customHeight="1">
      <c r="AA2370"/>
    </row>
    <row r="2371" spans="27:27" ht="17.899999999999999" customHeight="1">
      <c r="AA2371"/>
    </row>
    <row r="2372" spans="27:27" ht="17.899999999999999" customHeight="1">
      <c r="AA2372"/>
    </row>
    <row r="2373" spans="27:27" ht="17.899999999999999" customHeight="1">
      <c r="AA2373"/>
    </row>
    <row r="2374" spans="27:27" ht="17.899999999999999" customHeight="1">
      <c r="AA2374"/>
    </row>
    <row r="2375" spans="27:27" ht="17.899999999999999" customHeight="1">
      <c r="AA2375"/>
    </row>
    <row r="2376" spans="27:27" ht="17.899999999999999" customHeight="1">
      <c r="AA2376"/>
    </row>
    <row r="2377" spans="27:27" ht="17.899999999999999" customHeight="1">
      <c r="AA2377"/>
    </row>
    <row r="2378" spans="27:27" ht="17.899999999999999" customHeight="1">
      <c r="AA2378"/>
    </row>
    <row r="2379" spans="27:27" ht="17.899999999999999" customHeight="1">
      <c r="AA2379"/>
    </row>
    <row r="2380" spans="27:27" ht="17.899999999999999" customHeight="1">
      <c r="AA2380"/>
    </row>
    <row r="2381" spans="27:27" ht="17.899999999999999" customHeight="1">
      <c r="AA2381"/>
    </row>
    <row r="2382" spans="27:27" ht="17.899999999999999" customHeight="1">
      <c r="AA2382"/>
    </row>
    <row r="2383" spans="27:27" ht="17.899999999999999" customHeight="1">
      <c r="AA2383"/>
    </row>
    <row r="2384" spans="27:27" ht="17.899999999999999" customHeight="1">
      <c r="AA2384"/>
    </row>
    <row r="2385" spans="27:27" ht="17.899999999999999" customHeight="1">
      <c r="AA2385"/>
    </row>
    <row r="2386" spans="27:27" ht="17.899999999999999" customHeight="1">
      <c r="AA2386"/>
    </row>
    <row r="2387" spans="27:27" ht="17.899999999999999" customHeight="1">
      <c r="AA2387"/>
    </row>
    <row r="2388" spans="27:27" ht="17.899999999999999" customHeight="1">
      <c r="AA2388"/>
    </row>
    <row r="2389" spans="27:27" ht="17.899999999999999" customHeight="1">
      <c r="AA2389"/>
    </row>
    <row r="2390" spans="27:27" ht="17.899999999999999" customHeight="1">
      <c r="AA2390"/>
    </row>
    <row r="2391" spans="27:27" ht="17.899999999999999" customHeight="1">
      <c r="AA2391"/>
    </row>
    <row r="2392" spans="27:27" ht="17.899999999999999" customHeight="1">
      <c r="AA2392"/>
    </row>
    <row r="2393" spans="27:27" ht="17.899999999999999" customHeight="1">
      <c r="AA2393"/>
    </row>
    <row r="2394" spans="27:27" ht="17.899999999999999" customHeight="1">
      <c r="AA2394"/>
    </row>
    <row r="2395" spans="27:27" ht="17.899999999999999" customHeight="1">
      <c r="AA2395"/>
    </row>
    <row r="2396" spans="27:27" ht="17.899999999999999" customHeight="1">
      <c r="AA2396"/>
    </row>
    <row r="2397" spans="27:27" ht="17.899999999999999" customHeight="1">
      <c r="AA2397"/>
    </row>
    <row r="2398" spans="27:27" ht="17.899999999999999" customHeight="1">
      <c r="AA2398"/>
    </row>
    <row r="2399" spans="27:27" ht="17.899999999999999" customHeight="1">
      <c r="AA2399"/>
    </row>
    <row r="2400" spans="27:27" ht="17.899999999999999" customHeight="1">
      <c r="AA2400"/>
    </row>
    <row r="2401" spans="27:27" ht="17.899999999999999" customHeight="1">
      <c r="AA2401"/>
    </row>
    <row r="2402" spans="27:27" ht="17.899999999999999" customHeight="1">
      <c r="AA2402"/>
    </row>
    <row r="2403" spans="27:27" ht="17.899999999999999" customHeight="1">
      <c r="AA2403"/>
    </row>
    <row r="2404" spans="27:27" ht="17.899999999999999" customHeight="1">
      <c r="AA2404"/>
    </row>
    <row r="2405" spans="27:27" ht="17.899999999999999" customHeight="1">
      <c r="AA2405"/>
    </row>
    <row r="2406" spans="27:27" ht="17.899999999999999" customHeight="1">
      <c r="AA2406"/>
    </row>
    <row r="2407" spans="27:27" ht="17.899999999999999" customHeight="1">
      <c r="AA2407"/>
    </row>
    <row r="2408" spans="27:27" ht="17.899999999999999" customHeight="1">
      <c r="AA2408"/>
    </row>
    <row r="2409" spans="27:27" ht="17.899999999999999" customHeight="1">
      <c r="AA2409"/>
    </row>
    <row r="2410" spans="27:27" ht="17.899999999999999" customHeight="1">
      <c r="AA2410"/>
    </row>
    <row r="2411" spans="27:27" ht="17.899999999999999" customHeight="1">
      <c r="AA2411"/>
    </row>
    <row r="2412" spans="27:27" ht="17.899999999999999" customHeight="1">
      <c r="AA2412"/>
    </row>
    <row r="2413" spans="27:27" ht="17.899999999999999" customHeight="1">
      <c r="AA2413"/>
    </row>
    <row r="2414" spans="27:27" ht="17.899999999999999" customHeight="1">
      <c r="AA2414"/>
    </row>
    <row r="2415" spans="27:27" ht="17.899999999999999" customHeight="1">
      <c r="AA2415"/>
    </row>
    <row r="2416" spans="27:27" ht="17.899999999999999" customHeight="1">
      <c r="AA2416"/>
    </row>
    <row r="2417" spans="27:27" ht="17.899999999999999" customHeight="1">
      <c r="AA2417"/>
    </row>
    <row r="2418" spans="27:27" ht="17.899999999999999" customHeight="1">
      <c r="AA2418"/>
    </row>
    <row r="2419" spans="27:27" ht="17.899999999999999" customHeight="1">
      <c r="AA2419"/>
    </row>
    <row r="2420" spans="27:27" ht="17.899999999999999" customHeight="1">
      <c r="AA2420"/>
    </row>
    <row r="2421" spans="27:27" ht="17.899999999999999" customHeight="1">
      <c r="AA2421"/>
    </row>
    <row r="2422" spans="27:27" ht="17.899999999999999" customHeight="1">
      <c r="AA2422"/>
    </row>
    <row r="2423" spans="27:27" ht="17.899999999999999" customHeight="1">
      <c r="AA2423"/>
    </row>
    <row r="2424" spans="27:27" ht="17.899999999999999" customHeight="1">
      <c r="AA2424"/>
    </row>
    <row r="2425" spans="27:27" ht="17.899999999999999" customHeight="1">
      <c r="AA2425"/>
    </row>
    <row r="2426" spans="27:27" ht="17.899999999999999" customHeight="1">
      <c r="AA2426"/>
    </row>
    <row r="2427" spans="27:27" ht="17.899999999999999" customHeight="1">
      <c r="AA2427"/>
    </row>
    <row r="2428" spans="27:27" ht="17.899999999999999" customHeight="1">
      <c r="AA2428"/>
    </row>
    <row r="2429" spans="27:27" ht="17.899999999999999" customHeight="1">
      <c r="AA2429"/>
    </row>
    <row r="2430" spans="27:27" ht="17.899999999999999" customHeight="1">
      <c r="AA2430"/>
    </row>
    <row r="2431" spans="27:27" ht="17.899999999999999" customHeight="1">
      <c r="AA2431"/>
    </row>
    <row r="2432" spans="27:27" ht="17.899999999999999" customHeight="1">
      <c r="AA2432"/>
    </row>
    <row r="2433" spans="27:27" ht="17.899999999999999" customHeight="1">
      <c r="AA2433"/>
    </row>
    <row r="2434" spans="27:27" ht="17.899999999999999" customHeight="1">
      <c r="AA2434"/>
    </row>
    <row r="2435" spans="27:27" ht="17.899999999999999" customHeight="1">
      <c r="AA2435"/>
    </row>
    <row r="2436" spans="27:27" ht="17.899999999999999" customHeight="1">
      <c r="AA2436"/>
    </row>
    <row r="2437" spans="27:27" ht="17.899999999999999" customHeight="1">
      <c r="AA2437"/>
    </row>
    <row r="2438" spans="27:27" ht="17.899999999999999" customHeight="1">
      <c r="AA2438"/>
    </row>
    <row r="2439" spans="27:27" ht="17.899999999999999" customHeight="1">
      <c r="AA2439"/>
    </row>
    <row r="2440" spans="27:27" ht="17.899999999999999" customHeight="1">
      <c r="AA2440"/>
    </row>
    <row r="2441" spans="27:27" ht="17.899999999999999" customHeight="1">
      <c r="AA2441"/>
    </row>
    <row r="2442" spans="27:27" ht="17.899999999999999" customHeight="1">
      <c r="AA2442"/>
    </row>
    <row r="2443" spans="27:27" ht="17.899999999999999" customHeight="1">
      <c r="AA2443"/>
    </row>
    <row r="2444" spans="27:27" ht="17.899999999999999" customHeight="1">
      <c r="AA2444"/>
    </row>
    <row r="2445" spans="27:27" ht="17.899999999999999" customHeight="1">
      <c r="AA2445"/>
    </row>
    <row r="2446" spans="27:27" ht="17.899999999999999" customHeight="1">
      <c r="AA2446"/>
    </row>
    <row r="2447" spans="27:27" ht="17.899999999999999" customHeight="1">
      <c r="AA2447"/>
    </row>
    <row r="2448" spans="27:27" ht="17.899999999999999" customHeight="1">
      <c r="AA2448"/>
    </row>
    <row r="2449" spans="27:27" ht="17.899999999999999" customHeight="1">
      <c r="AA2449"/>
    </row>
    <row r="2450" spans="27:27" ht="17.899999999999999" customHeight="1">
      <c r="AA2450"/>
    </row>
    <row r="2451" spans="27:27" ht="17.899999999999999" customHeight="1">
      <c r="AA2451"/>
    </row>
    <row r="2452" spans="27:27" ht="17.899999999999999" customHeight="1">
      <c r="AA2452"/>
    </row>
    <row r="2453" spans="27:27" ht="17.899999999999999" customHeight="1">
      <c r="AA2453"/>
    </row>
    <row r="2454" spans="27:27" ht="17.899999999999999" customHeight="1">
      <c r="AA2454"/>
    </row>
    <row r="2455" spans="27:27" ht="17.899999999999999" customHeight="1">
      <c r="AA2455"/>
    </row>
    <row r="2456" spans="27:27" ht="17.899999999999999" customHeight="1">
      <c r="AA2456"/>
    </row>
    <row r="2457" spans="27:27" ht="17.899999999999999" customHeight="1">
      <c r="AA2457"/>
    </row>
    <row r="2458" spans="27:27" ht="17.899999999999999" customHeight="1">
      <c r="AA2458"/>
    </row>
    <row r="2459" spans="27:27" ht="17.899999999999999" customHeight="1">
      <c r="AA2459"/>
    </row>
    <row r="2460" spans="27:27" ht="17.899999999999999" customHeight="1">
      <c r="AA2460"/>
    </row>
    <row r="2461" spans="27:27" ht="17.899999999999999" customHeight="1">
      <c r="AA2461"/>
    </row>
    <row r="2462" spans="27:27" ht="17.899999999999999" customHeight="1">
      <c r="AA2462"/>
    </row>
    <row r="2463" spans="27:27" ht="17.899999999999999" customHeight="1">
      <c r="AA2463"/>
    </row>
    <row r="2464" spans="27:27" ht="17.899999999999999" customHeight="1">
      <c r="AA2464"/>
    </row>
    <row r="2465" spans="27:27" ht="17.899999999999999" customHeight="1">
      <c r="AA2465"/>
    </row>
    <row r="2466" spans="27:27" ht="17.899999999999999" customHeight="1">
      <c r="AA2466"/>
    </row>
    <row r="2467" spans="27:27" ht="17.899999999999999" customHeight="1">
      <c r="AA2467"/>
    </row>
    <row r="2468" spans="27:27" ht="17.899999999999999" customHeight="1">
      <c r="AA2468"/>
    </row>
    <row r="2469" spans="27:27" ht="17.899999999999999" customHeight="1">
      <c r="AA2469"/>
    </row>
    <row r="2470" spans="27:27" ht="17.899999999999999" customHeight="1">
      <c r="AA2470"/>
    </row>
    <row r="2471" spans="27:27" ht="17.899999999999999" customHeight="1">
      <c r="AA2471"/>
    </row>
    <row r="2472" spans="27:27" ht="17.899999999999999" customHeight="1">
      <c r="AA2472"/>
    </row>
    <row r="2473" spans="27:27" ht="17.899999999999999" customHeight="1">
      <c r="AA2473"/>
    </row>
    <row r="2474" spans="27:27" ht="17.899999999999999" customHeight="1">
      <c r="AA2474"/>
    </row>
    <row r="2475" spans="27:27" ht="17.899999999999999" customHeight="1">
      <c r="AA2475"/>
    </row>
    <row r="2476" spans="27:27" ht="17.899999999999999" customHeight="1">
      <c r="AA2476"/>
    </row>
    <row r="2477" spans="27:27" ht="17.899999999999999" customHeight="1">
      <c r="AA2477"/>
    </row>
    <row r="2478" spans="27:27" ht="17.899999999999999" customHeight="1">
      <c r="AA2478"/>
    </row>
    <row r="2479" spans="27:27" ht="17.899999999999999" customHeight="1">
      <c r="AA2479"/>
    </row>
    <row r="2480" spans="27:27" ht="17.899999999999999" customHeight="1">
      <c r="AA2480"/>
    </row>
    <row r="2481" spans="27:27" ht="17.899999999999999" customHeight="1">
      <c r="AA2481"/>
    </row>
    <row r="2482" spans="27:27" ht="17.899999999999999" customHeight="1">
      <c r="AA2482"/>
    </row>
    <row r="2483" spans="27:27" ht="17.899999999999999" customHeight="1">
      <c r="AA2483"/>
    </row>
    <row r="2484" spans="27:27" ht="17.899999999999999" customHeight="1">
      <c r="AA2484"/>
    </row>
    <row r="2485" spans="27:27" ht="17.899999999999999" customHeight="1">
      <c r="AA2485"/>
    </row>
    <row r="2486" spans="27:27" ht="17.899999999999999" customHeight="1">
      <c r="AA2486"/>
    </row>
    <row r="2487" spans="27:27" ht="17.899999999999999" customHeight="1">
      <c r="AA2487"/>
    </row>
    <row r="2488" spans="27:27" ht="17.899999999999999" customHeight="1">
      <c r="AA2488"/>
    </row>
    <row r="2489" spans="27:27" ht="17.899999999999999" customHeight="1">
      <c r="AA2489"/>
    </row>
    <row r="2490" spans="27:27" ht="17.899999999999999" customHeight="1">
      <c r="AA2490"/>
    </row>
    <row r="2491" spans="27:27" ht="17.899999999999999" customHeight="1">
      <c r="AA2491"/>
    </row>
    <row r="2492" spans="27:27" ht="17.899999999999999" customHeight="1">
      <c r="AA2492"/>
    </row>
    <row r="2493" spans="27:27" ht="17.899999999999999" customHeight="1">
      <c r="AA2493"/>
    </row>
    <row r="2494" spans="27:27" ht="17.899999999999999" customHeight="1">
      <c r="AA2494"/>
    </row>
    <row r="2495" spans="27:27" ht="17.899999999999999" customHeight="1">
      <c r="AA2495"/>
    </row>
    <row r="2496" spans="27:27" ht="17.899999999999999" customHeight="1">
      <c r="AA2496"/>
    </row>
    <row r="2497" spans="27:27" ht="17.899999999999999" customHeight="1">
      <c r="AA2497"/>
    </row>
    <row r="2498" spans="27:27" ht="17.899999999999999" customHeight="1">
      <c r="AA2498"/>
    </row>
    <row r="2499" spans="27:27" ht="17.899999999999999" customHeight="1">
      <c r="AA2499"/>
    </row>
    <row r="2500" spans="27:27" ht="17.899999999999999" customHeight="1">
      <c r="AA2500"/>
    </row>
    <row r="2501" spans="27:27" ht="17.899999999999999" customHeight="1">
      <c r="AA2501"/>
    </row>
    <row r="2502" spans="27:27" ht="17.899999999999999" customHeight="1">
      <c r="AA2502"/>
    </row>
    <row r="2503" spans="27:27" ht="17.899999999999999" customHeight="1">
      <c r="AA2503"/>
    </row>
    <row r="2504" spans="27:27" ht="17.899999999999999" customHeight="1">
      <c r="AA2504"/>
    </row>
    <row r="2505" spans="27:27" ht="17.899999999999999" customHeight="1">
      <c r="AA2505"/>
    </row>
    <row r="2506" spans="27:27" ht="17.899999999999999" customHeight="1">
      <c r="AA2506"/>
    </row>
    <row r="2507" spans="27:27" ht="17.899999999999999" customHeight="1">
      <c r="AA2507"/>
    </row>
    <row r="2508" spans="27:27" ht="17.899999999999999" customHeight="1">
      <c r="AA2508"/>
    </row>
    <row r="2509" spans="27:27" ht="17.899999999999999" customHeight="1">
      <c r="AA2509"/>
    </row>
    <row r="2510" spans="27:27" ht="17.899999999999999" customHeight="1">
      <c r="AA2510"/>
    </row>
    <row r="2511" spans="27:27" ht="17.899999999999999" customHeight="1">
      <c r="AA2511"/>
    </row>
    <row r="2512" spans="27:27" ht="17.899999999999999" customHeight="1">
      <c r="AA2512"/>
    </row>
    <row r="2513" spans="27:27" ht="17.899999999999999" customHeight="1">
      <c r="AA2513"/>
    </row>
    <row r="2514" spans="27:27" ht="17.899999999999999" customHeight="1">
      <c r="AA2514"/>
    </row>
    <row r="2515" spans="27:27" ht="17.899999999999999" customHeight="1">
      <c r="AA2515"/>
    </row>
    <row r="2516" spans="27:27" ht="17.899999999999999" customHeight="1">
      <c r="AA2516"/>
    </row>
    <row r="2517" spans="27:27" ht="17.899999999999999" customHeight="1">
      <c r="AA2517"/>
    </row>
    <row r="2518" spans="27:27" ht="17.899999999999999" customHeight="1">
      <c r="AA2518"/>
    </row>
    <row r="2519" spans="27:27" ht="17.899999999999999" customHeight="1">
      <c r="AA2519"/>
    </row>
    <row r="2520" spans="27:27" ht="17.899999999999999" customHeight="1">
      <c r="AA2520"/>
    </row>
    <row r="2521" spans="27:27" ht="17.899999999999999" customHeight="1">
      <c r="AA2521"/>
    </row>
    <row r="2522" spans="27:27" ht="17.899999999999999" customHeight="1">
      <c r="AA2522"/>
    </row>
    <row r="2523" spans="27:27" ht="17.899999999999999" customHeight="1">
      <c r="AA2523"/>
    </row>
    <row r="2524" spans="27:27" ht="17.899999999999999" customHeight="1">
      <c r="AA2524"/>
    </row>
    <row r="2525" spans="27:27" ht="17.899999999999999" customHeight="1">
      <c r="AA2525"/>
    </row>
    <row r="2526" spans="27:27" ht="17.899999999999999" customHeight="1">
      <c r="AA2526"/>
    </row>
    <row r="2527" spans="27:27" ht="17.899999999999999" customHeight="1">
      <c r="AA2527"/>
    </row>
    <row r="2528" spans="27:27" ht="17.899999999999999" customHeight="1">
      <c r="AA2528"/>
    </row>
    <row r="2529" spans="27:27" ht="17.899999999999999" customHeight="1">
      <c r="AA2529"/>
    </row>
    <row r="2530" spans="27:27" ht="17.899999999999999" customHeight="1">
      <c r="AA2530"/>
    </row>
    <row r="2531" spans="27:27" ht="17.899999999999999" customHeight="1">
      <c r="AA2531"/>
    </row>
    <row r="2532" spans="27:27" ht="17.899999999999999" customHeight="1">
      <c r="AA2532"/>
    </row>
    <row r="2533" spans="27:27" ht="17.899999999999999" customHeight="1">
      <c r="AA2533"/>
    </row>
    <row r="2534" spans="27:27" ht="17.899999999999999" customHeight="1">
      <c r="AA2534"/>
    </row>
    <row r="2535" spans="27:27" ht="17.899999999999999" customHeight="1">
      <c r="AA2535"/>
    </row>
    <row r="2536" spans="27:27" ht="17.899999999999999" customHeight="1">
      <c r="AA2536"/>
    </row>
    <row r="2537" spans="27:27" ht="17.899999999999999" customHeight="1">
      <c r="AA2537"/>
    </row>
    <row r="2538" spans="27:27" ht="17.899999999999999" customHeight="1">
      <c r="AA2538"/>
    </row>
    <row r="2539" spans="27:27" ht="17.899999999999999" customHeight="1">
      <c r="AA2539"/>
    </row>
    <row r="2540" spans="27:27" ht="17.899999999999999" customHeight="1">
      <c r="AA2540"/>
    </row>
    <row r="2541" spans="27:27" ht="17.899999999999999" customHeight="1">
      <c r="AA2541"/>
    </row>
    <row r="2542" spans="27:27" ht="17.899999999999999" customHeight="1">
      <c r="AA2542"/>
    </row>
    <row r="2543" spans="27:27" ht="17.899999999999999" customHeight="1">
      <c r="AA2543"/>
    </row>
    <row r="2544" spans="27:27" ht="17.899999999999999" customHeight="1">
      <c r="AA2544"/>
    </row>
    <row r="2545" spans="27:27" ht="17.899999999999999" customHeight="1">
      <c r="AA2545"/>
    </row>
    <row r="2546" spans="27:27" ht="17.899999999999999" customHeight="1">
      <c r="AA2546"/>
    </row>
    <row r="2547" spans="27:27" ht="17.899999999999999" customHeight="1">
      <c r="AA2547"/>
    </row>
    <row r="2548" spans="27:27" ht="17.899999999999999" customHeight="1">
      <c r="AA2548"/>
    </row>
    <row r="2549" spans="27:27" ht="17.899999999999999" customHeight="1">
      <c r="AA2549"/>
    </row>
    <row r="2550" spans="27:27" ht="17.899999999999999" customHeight="1">
      <c r="AA2550"/>
    </row>
    <row r="2551" spans="27:27" ht="17.899999999999999" customHeight="1">
      <c r="AA2551"/>
    </row>
    <row r="2552" spans="27:27" ht="17.899999999999999" customHeight="1">
      <c r="AA2552"/>
    </row>
    <row r="2553" spans="27:27" ht="17.899999999999999" customHeight="1">
      <c r="AA2553"/>
    </row>
    <row r="2554" spans="27:27" ht="17.899999999999999" customHeight="1">
      <c r="AA2554"/>
    </row>
    <row r="2555" spans="27:27" ht="17.899999999999999" customHeight="1">
      <c r="AA2555"/>
    </row>
    <row r="2556" spans="27:27" ht="17.899999999999999" customHeight="1">
      <c r="AA2556"/>
    </row>
    <row r="2557" spans="27:27" ht="17.899999999999999" customHeight="1">
      <c r="AA2557"/>
    </row>
    <row r="2558" spans="27:27" ht="17.899999999999999" customHeight="1">
      <c r="AA2558"/>
    </row>
    <row r="2559" spans="27:27" ht="17.899999999999999" customHeight="1">
      <c r="AA2559"/>
    </row>
    <row r="2560" spans="27:27" ht="17.899999999999999" customHeight="1">
      <c r="AA2560"/>
    </row>
    <row r="2561" spans="27:27" ht="17.899999999999999" customHeight="1">
      <c r="AA2561"/>
    </row>
    <row r="2562" spans="27:27" ht="17.899999999999999" customHeight="1">
      <c r="AA2562"/>
    </row>
    <row r="2563" spans="27:27" ht="17.899999999999999" customHeight="1">
      <c r="AA2563"/>
    </row>
    <row r="2564" spans="27:27" ht="17.899999999999999" customHeight="1">
      <c r="AA2564"/>
    </row>
    <row r="2565" spans="27:27" ht="17.899999999999999" customHeight="1">
      <c r="AA2565"/>
    </row>
    <row r="2566" spans="27:27" ht="17.899999999999999" customHeight="1">
      <c r="AA2566"/>
    </row>
    <row r="2567" spans="27:27" ht="17.899999999999999" customHeight="1">
      <c r="AA2567"/>
    </row>
    <row r="2568" spans="27:27" ht="17.899999999999999" customHeight="1">
      <c r="AA2568"/>
    </row>
    <row r="2569" spans="27:27" ht="17.899999999999999" customHeight="1">
      <c r="AA2569"/>
    </row>
    <row r="2570" spans="27:27" ht="17.899999999999999" customHeight="1">
      <c r="AA2570"/>
    </row>
    <row r="2571" spans="27:27" ht="17.899999999999999" customHeight="1">
      <c r="AA2571"/>
    </row>
    <row r="2572" spans="27:27" ht="17.899999999999999" customHeight="1">
      <c r="AA2572"/>
    </row>
    <row r="2573" spans="27:27" ht="17.899999999999999" customHeight="1">
      <c r="AA2573"/>
    </row>
    <row r="2574" spans="27:27" ht="17.899999999999999" customHeight="1">
      <c r="AA2574"/>
    </row>
    <row r="2575" spans="27:27" ht="17.899999999999999" customHeight="1">
      <c r="AA2575"/>
    </row>
    <row r="2576" spans="27:27" ht="17.899999999999999" customHeight="1">
      <c r="AA2576"/>
    </row>
    <row r="2577" spans="27:27" ht="17.899999999999999" customHeight="1">
      <c r="AA2577"/>
    </row>
    <row r="2578" spans="27:27" ht="17.899999999999999" customHeight="1">
      <c r="AA2578"/>
    </row>
    <row r="2579" spans="27:27" ht="17.899999999999999" customHeight="1">
      <c r="AA2579"/>
    </row>
    <row r="2580" spans="27:27" ht="17.899999999999999" customHeight="1">
      <c r="AA2580"/>
    </row>
    <row r="2581" spans="27:27" ht="17.899999999999999" customHeight="1">
      <c r="AA2581"/>
    </row>
    <row r="2582" spans="27:27" ht="17.899999999999999" customHeight="1">
      <c r="AA2582"/>
    </row>
    <row r="2583" spans="27:27" ht="17.899999999999999" customHeight="1">
      <c r="AA2583"/>
    </row>
    <row r="2584" spans="27:27" ht="17.899999999999999" customHeight="1">
      <c r="AA2584"/>
    </row>
    <row r="2585" spans="27:27" ht="17.899999999999999" customHeight="1">
      <c r="AA2585"/>
    </row>
    <row r="2586" spans="27:27" ht="17.899999999999999" customHeight="1">
      <c r="AA2586"/>
    </row>
    <row r="2587" spans="27:27" ht="17.899999999999999" customHeight="1">
      <c r="AA2587"/>
    </row>
    <row r="2588" spans="27:27" ht="17.899999999999999" customHeight="1">
      <c r="AA2588"/>
    </row>
    <row r="2589" spans="27:27" ht="17.899999999999999" customHeight="1">
      <c r="AA2589"/>
    </row>
    <row r="2590" spans="27:27" ht="17.899999999999999" customHeight="1">
      <c r="AA2590"/>
    </row>
    <row r="2591" spans="27:27" ht="17.899999999999999" customHeight="1">
      <c r="AA2591"/>
    </row>
    <row r="2592" spans="27:27" ht="17.899999999999999" customHeight="1">
      <c r="AA2592"/>
    </row>
    <row r="2593" spans="27:27" ht="17.899999999999999" customHeight="1">
      <c r="AA2593"/>
    </row>
    <row r="2594" spans="27:27" ht="17.899999999999999" customHeight="1">
      <c r="AA2594"/>
    </row>
    <row r="2595" spans="27:27" ht="17.899999999999999" customHeight="1">
      <c r="AA2595"/>
    </row>
    <row r="2596" spans="27:27" ht="17.899999999999999" customHeight="1">
      <c r="AA2596"/>
    </row>
    <row r="2597" spans="27:27" ht="17.899999999999999" customHeight="1">
      <c r="AA2597"/>
    </row>
    <row r="2598" spans="27:27" ht="17.899999999999999" customHeight="1">
      <c r="AA2598"/>
    </row>
    <row r="2599" spans="27:27" ht="17.899999999999999" customHeight="1">
      <c r="AA2599"/>
    </row>
    <row r="2600" spans="27:27" ht="17.899999999999999" customHeight="1">
      <c r="AA2600"/>
    </row>
    <row r="2601" spans="27:27" ht="17.899999999999999" customHeight="1">
      <c r="AA2601"/>
    </row>
    <row r="2602" spans="27:27" ht="17.899999999999999" customHeight="1">
      <c r="AA2602"/>
    </row>
    <row r="2603" spans="27:27" ht="17.899999999999999" customHeight="1">
      <c r="AA2603"/>
    </row>
    <row r="2604" spans="27:27" ht="17.899999999999999" customHeight="1">
      <c r="AA2604"/>
    </row>
    <row r="2605" spans="27:27" ht="17.899999999999999" customHeight="1">
      <c r="AA2605"/>
    </row>
    <row r="2606" spans="27:27" ht="17.899999999999999" customHeight="1">
      <c r="AA2606"/>
    </row>
    <row r="2607" spans="27:27" ht="17.899999999999999" customHeight="1">
      <c r="AA2607"/>
    </row>
    <row r="2608" spans="27:27" ht="17.899999999999999" customHeight="1">
      <c r="AA2608"/>
    </row>
    <row r="2609" spans="27:27" ht="17.899999999999999" customHeight="1">
      <c r="AA2609"/>
    </row>
    <row r="2610" spans="27:27" ht="17.899999999999999" customHeight="1">
      <c r="AA2610"/>
    </row>
    <row r="2611" spans="27:27" ht="17.899999999999999" customHeight="1">
      <c r="AA2611"/>
    </row>
    <row r="2612" spans="27:27" ht="17.899999999999999" customHeight="1">
      <c r="AA2612"/>
    </row>
    <row r="2613" spans="27:27" ht="17.899999999999999" customHeight="1">
      <c r="AA2613"/>
    </row>
    <row r="2614" spans="27:27" ht="17.899999999999999" customHeight="1">
      <c r="AA2614"/>
    </row>
    <row r="2615" spans="27:27" ht="17.899999999999999" customHeight="1">
      <c r="AA2615"/>
    </row>
    <row r="2616" spans="27:27" ht="17.899999999999999" customHeight="1">
      <c r="AA2616"/>
    </row>
    <row r="2617" spans="27:27" ht="17.899999999999999" customHeight="1">
      <c r="AA2617"/>
    </row>
    <row r="2618" spans="27:27" ht="17.899999999999999" customHeight="1">
      <c r="AA2618"/>
    </row>
    <row r="2619" spans="27:27" ht="17.899999999999999" customHeight="1">
      <c r="AA2619"/>
    </row>
    <row r="2620" spans="27:27" ht="17.899999999999999" customHeight="1">
      <c r="AA2620"/>
    </row>
    <row r="2621" spans="27:27" ht="17.899999999999999" customHeight="1">
      <c r="AA2621"/>
    </row>
    <row r="2622" spans="27:27" ht="17.899999999999999" customHeight="1">
      <c r="AA2622"/>
    </row>
    <row r="2623" spans="27:27" ht="17.899999999999999" customHeight="1">
      <c r="AA2623"/>
    </row>
    <row r="2624" spans="27:27" ht="17.899999999999999" customHeight="1">
      <c r="AA2624"/>
    </row>
    <row r="2625" spans="27:27" ht="17.899999999999999" customHeight="1">
      <c r="AA2625"/>
    </row>
    <row r="2626" spans="27:27" ht="17.899999999999999" customHeight="1">
      <c r="AA2626"/>
    </row>
    <row r="2627" spans="27:27" ht="17.899999999999999" customHeight="1">
      <c r="AA2627"/>
    </row>
    <row r="2628" spans="27:27" ht="17.899999999999999" customHeight="1">
      <c r="AA2628"/>
    </row>
    <row r="2629" spans="27:27" ht="17.899999999999999" customHeight="1">
      <c r="AA2629"/>
    </row>
    <row r="2630" spans="27:27" ht="17.899999999999999" customHeight="1">
      <c r="AA2630"/>
    </row>
    <row r="2631" spans="27:27" ht="17.899999999999999" customHeight="1">
      <c r="AA2631"/>
    </row>
    <row r="2632" spans="27:27" ht="17.899999999999999" customHeight="1">
      <c r="AA2632"/>
    </row>
    <row r="2633" spans="27:27" ht="17.899999999999999" customHeight="1">
      <c r="AA2633"/>
    </row>
    <row r="2634" spans="27:27" ht="17.899999999999999" customHeight="1">
      <c r="AA2634"/>
    </row>
    <row r="2635" spans="27:27" ht="17.899999999999999" customHeight="1">
      <c r="AA2635"/>
    </row>
    <row r="2636" spans="27:27" ht="17.899999999999999" customHeight="1">
      <c r="AA2636"/>
    </row>
    <row r="2637" spans="27:27" ht="17.899999999999999" customHeight="1">
      <c r="AA2637"/>
    </row>
    <row r="2638" spans="27:27" ht="17.899999999999999" customHeight="1">
      <c r="AA2638"/>
    </row>
    <row r="2639" spans="27:27" ht="17.899999999999999" customHeight="1">
      <c r="AA2639"/>
    </row>
    <row r="2640" spans="27:27" ht="17.899999999999999" customHeight="1">
      <c r="AA2640"/>
    </row>
    <row r="2641" spans="27:27" ht="17.899999999999999" customHeight="1">
      <c r="AA2641"/>
    </row>
    <row r="2642" spans="27:27" ht="17.899999999999999" customHeight="1">
      <c r="AA2642"/>
    </row>
    <row r="2643" spans="27:27" ht="17.899999999999999" customHeight="1">
      <c r="AA2643"/>
    </row>
    <row r="2644" spans="27:27" ht="17.899999999999999" customHeight="1">
      <c r="AA2644"/>
    </row>
    <row r="2645" spans="27:27" ht="17.899999999999999" customHeight="1">
      <c r="AA2645"/>
    </row>
    <row r="2646" spans="27:27" ht="17.899999999999999" customHeight="1">
      <c r="AA2646"/>
    </row>
    <row r="2647" spans="27:27" ht="17.899999999999999" customHeight="1">
      <c r="AA2647"/>
    </row>
    <row r="2648" spans="27:27" ht="17.899999999999999" customHeight="1">
      <c r="AA2648"/>
    </row>
    <row r="2649" spans="27:27" ht="17.899999999999999" customHeight="1">
      <c r="AA2649"/>
    </row>
    <row r="2650" spans="27:27" ht="17.899999999999999" customHeight="1">
      <c r="AA2650"/>
    </row>
    <row r="2651" spans="27:27" ht="17.899999999999999" customHeight="1">
      <c r="AA2651"/>
    </row>
    <row r="2652" spans="27:27" ht="17.899999999999999" customHeight="1">
      <c r="AA2652"/>
    </row>
    <row r="2653" spans="27:27" ht="17.899999999999999" customHeight="1">
      <c r="AA2653"/>
    </row>
    <row r="2654" spans="27:27" ht="17.899999999999999" customHeight="1">
      <c r="AA2654"/>
    </row>
    <row r="2655" spans="27:27" ht="17.899999999999999" customHeight="1">
      <c r="AA2655"/>
    </row>
    <row r="2656" spans="27:27" ht="17.899999999999999" customHeight="1">
      <c r="AA2656"/>
    </row>
    <row r="2657" spans="27:27" ht="17.899999999999999" customHeight="1">
      <c r="AA2657"/>
    </row>
    <row r="2658" spans="27:27" ht="17.899999999999999" customHeight="1">
      <c r="AA2658"/>
    </row>
    <row r="2659" spans="27:27" ht="17.899999999999999" customHeight="1">
      <c r="AA2659"/>
    </row>
    <row r="2660" spans="27:27" ht="17.899999999999999" customHeight="1">
      <c r="AA2660"/>
    </row>
    <row r="2661" spans="27:27" ht="17.899999999999999" customHeight="1">
      <c r="AA2661"/>
    </row>
    <row r="2662" spans="27:27" ht="17.899999999999999" customHeight="1">
      <c r="AA2662"/>
    </row>
    <row r="2663" spans="27:27" ht="17.899999999999999" customHeight="1">
      <c r="AA2663"/>
    </row>
    <row r="2664" spans="27:27" ht="17.899999999999999" customHeight="1">
      <c r="AA2664"/>
    </row>
    <row r="2665" spans="27:27" ht="17.899999999999999" customHeight="1">
      <c r="AA2665"/>
    </row>
    <row r="2666" spans="27:27" ht="17.899999999999999" customHeight="1">
      <c r="AA2666"/>
    </row>
    <row r="2667" spans="27:27" ht="17.899999999999999" customHeight="1">
      <c r="AA2667"/>
    </row>
    <row r="2668" spans="27:27" ht="17.899999999999999" customHeight="1">
      <c r="AA2668"/>
    </row>
    <row r="2669" spans="27:27" ht="17.899999999999999" customHeight="1">
      <c r="AA2669"/>
    </row>
    <row r="2670" spans="27:27" ht="17.899999999999999" customHeight="1">
      <c r="AA2670"/>
    </row>
    <row r="2671" spans="27:27" ht="17.899999999999999" customHeight="1">
      <c r="AA2671"/>
    </row>
    <row r="2672" spans="27:27" ht="17.899999999999999" customHeight="1">
      <c r="AA2672"/>
    </row>
    <row r="2673" spans="27:27" ht="17.899999999999999" customHeight="1">
      <c r="AA2673"/>
    </row>
    <row r="2674" spans="27:27" ht="17.899999999999999" customHeight="1">
      <c r="AA2674"/>
    </row>
    <row r="2675" spans="27:27" ht="17.899999999999999" customHeight="1">
      <c r="AA2675"/>
    </row>
    <row r="2676" spans="27:27" ht="17.899999999999999" customHeight="1">
      <c r="AA2676"/>
    </row>
    <row r="2677" spans="27:27" ht="17.899999999999999" customHeight="1">
      <c r="AA2677"/>
    </row>
    <row r="2678" spans="27:27" ht="17.899999999999999" customHeight="1">
      <c r="AA2678"/>
    </row>
    <row r="2679" spans="27:27" ht="17.899999999999999" customHeight="1">
      <c r="AA2679"/>
    </row>
    <row r="2680" spans="27:27" ht="17.899999999999999" customHeight="1">
      <c r="AA2680"/>
    </row>
    <row r="2681" spans="27:27" ht="17.899999999999999" customHeight="1">
      <c r="AA2681"/>
    </row>
    <row r="2682" spans="27:27" ht="17.899999999999999" customHeight="1">
      <c r="AA2682"/>
    </row>
    <row r="2683" spans="27:27" ht="17.899999999999999" customHeight="1">
      <c r="AA2683"/>
    </row>
    <row r="2684" spans="27:27" ht="17.899999999999999" customHeight="1">
      <c r="AA2684"/>
    </row>
    <row r="2685" spans="27:27" ht="17.899999999999999" customHeight="1">
      <c r="AA2685"/>
    </row>
    <row r="2686" spans="27:27" ht="17.899999999999999" customHeight="1">
      <c r="AA2686"/>
    </row>
    <row r="2687" spans="27:27" ht="17.899999999999999" customHeight="1">
      <c r="AA2687"/>
    </row>
    <row r="2688" spans="27:27" ht="17.899999999999999" customHeight="1">
      <c r="AA2688"/>
    </row>
    <row r="2689" spans="27:27" ht="17.899999999999999" customHeight="1">
      <c r="AA2689"/>
    </row>
    <row r="2690" spans="27:27" ht="17.899999999999999" customHeight="1">
      <c r="AA2690"/>
    </row>
    <row r="2691" spans="27:27" ht="17.899999999999999" customHeight="1">
      <c r="AA2691"/>
    </row>
    <row r="2692" spans="27:27" ht="17.899999999999999" customHeight="1">
      <c r="AA2692"/>
    </row>
    <row r="2693" spans="27:27" ht="17.899999999999999" customHeight="1">
      <c r="AA2693"/>
    </row>
    <row r="2694" spans="27:27" ht="17.899999999999999" customHeight="1">
      <c r="AA2694"/>
    </row>
    <row r="2695" spans="27:27" ht="17.899999999999999" customHeight="1">
      <c r="AA2695"/>
    </row>
    <row r="2696" spans="27:27" ht="17.899999999999999" customHeight="1">
      <c r="AA2696"/>
    </row>
    <row r="2697" spans="27:27" ht="17.899999999999999" customHeight="1">
      <c r="AA2697"/>
    </row>
    <row r="2698" spans="27:27" ht="17.899999999999999" customHeight="1">
      <c r="AA2698"/>
    </row>
    <row r="2699" spans="27:27" ht="17.899999999999999" customHeight="1">
      <c r="AA2699"/>
    </row>
    <row r="2700" spans="27:27" ht="17.899999999999999" customHeight="1">
      <c r="AA2700"/>
    </row>
    <row r="2701" spans="27:27" ht="17.899999999999999" customHeight="1">
      <c r="AA2701"/>
    </row>
    <row r="2702" spans="27:27" ht="17.899999999999999" customHeight="1">
      <c r="AA2702"/>
    </row>
    <row r="2703" spans="27:27" ht="17.899999999999999" customHeight="1">
      <c r="AA2703"/>
    </row>
    <row r="2704" spans="27:27" ht="17.899999999999999" customHeight="1">
      <c r="AA2704"/>
    </row>
    <row r="2705" spans="27:27" ht="17.899999999999999" customHeight="1">
      <c r="AA2705"/>
    </row>
    <row r="2706" spans="27:27" ht="17.899999999999999" customHeight="1">
      <c r="AA2706"/>
    </row>
    <row r="2707" spans="27:27" ht="17.899999999999999" customHeight="1">
      <c r="AA2707"/>
    </row>
    <row r="2708" spans="27:27" ht="17.899999999999999" customHeight="1">
      <c r="AA2708"/>
    </row>
    <row r="2709" spans="27:27" ht="17.899999999999999" customHeight="1">
      <c r="AA2709"/>
    </row>
    <row r="2710" spans="27:27" ht="17.899999999999999" customHeight="1">
      <c r="AA2710"/>
    </row>
    <row r="2711" spans="27:27" ht="17.899999999999999" customHeight="1">
      <c r="AA2711"/>
    </row>
    <row r="2712" spans="27:27" ht="17.899999999999999" customHeight="1">
      <c r="AA2712"/>
    </row>
    <row r="2713" spans="27:27" ht="17.899999999999999" customHeight="1">
      <c r="AA2713"/>
    </row>
    <row r="2714" spans="27:27" ht="17.899999999999999" customHeight="1">
      <c r="AA2714"/>
    </row>
    <row r="2715" spans="27:27" ht="17.899999999999999" customHeight="1">
      <c r="AA2715"/>
    </row>
    <row r="2716" spans="27:27" ht="17.899999999999999" customHeight="1">
      <c r="AA2716"/>
    </row>
    <row r="2717" spans="27:27" ht="17.899999999999999" customHeight="1">
      <c r="AA2717"/>
    </row>
    <row r="2718" spans="27:27" ht="17.899999999999999" customHeight="1">
      <c r="AA2718"/>
    </row>
    <row r="2719" spans="27:27" ht="17.899999999999999" customHeight="1">
      <c r="AA2719"/>
    </row>
    <row r="2720" spans="27:27" ht="17.899999999999999" customHeight="1">
      <c r="AA2720"/>
    </row>
    <row r="2721" spans="27:27" ht="17.899999999999999" customHeight="1">
      <c r="AA2721"/>
    </row>
    <row r="2722" spans="27:27" ht="17.899999999999999" customHeight="1">
      <c r="AA2722"/>
    </row>
    <row r="2723" spans="27:27" ht="17.899999999999999" customHeight="1">
      <c r="AA2723"/>
    </row>
    <row r="2724" spans="27:27" ht="17.899999999999999" customHeight="1">
      <c r="AA2724"/>
    </row>
    <row r="2725" spans="27:27" ht="17.899999999999999" customHeight="1">
      <c r="AA2725"/>
    </row>
    <row r="2726" spans="27:27" ht="17.899999999999999" customHeight="1">
      <c r="AA2726"/>
    </row>
    <row r="2727" spans="27:27" ht="17.899999999999999" customHeight="1">
      <c r="AA2727"/>
    </row>
    <row r="2728" spans="27:27" ht="17.899999999999999" customHeight="1">
      <c r="AA2728"/>
    </row>
    <row r="2729" spans="27:27" ht="17.899999999999999" customHeight="1">
      <c r="AA2729"/>
    </row>
    <row r="2730" spans="27:27" ht="17.899999999999999" customHeight="1">
      <c r="AA2730"/>
    </row>
    <row r="2731" spans="27:27" ht="17.899999999999999" customHeight="1">
      <c r="AA2731"/>
    </row>
    <row r="2732" spans="27:27" ht="17.899999999999999" customHeight="1">
      <c r="AA2732"/>
    </row>
    <row r="2733" spans="27:27" ht="17.899999999999999" customHeight="1">
      <c r="AA2733"/>
    </row>
    <row r="2734" spans="27:27" ht="17.899999999999999" customHeight="1">
      <c r="AA2734"/>
    </row>
    <row r="2735" spans="27:27" ht="17.899999999999999" customHeight="1">
      <c r="AA2735"/>
    </row>
    <row r="2736" spans="27:27" ht="17.899999999999999" customHeight="1">
      <c r="AA2736"/>
    </row>
    <row r="2737" spans="27:27" ht="17.899999999999999" customHeight="1">
      <c r="AA2737"/>
    </row>
    <row r="2738" spans="27:27" ht="17.899999999999999" customHeight="1">
      <c r="AA2738"/>
    </row>
    <row r="2739" spans="27:27" ht="17.899999999999999" customHeight="1">
      <c r="AA2739"/>
    </row>
    <row r="2740" spans="27:27" ht="17.899999999999999" customHeight="1">
      <c r="AA2740"/>
    </row>
    <row r="2741" spans="27:27" ht="17.899999999999999" customHeight="1">
      <c r="AA2741"/>
    </row>
    <row r="2742" spans="27:27" ht="17.899999999999999" customHeight="1">
      <c r="AA2742"/>
    </row>
    <row r="2743" spans="27:27" ht="17.899999999999999" customHeight="1">
      <c r="AA2743"/>
    </row>
    <row r="2744" spans="27:27" ht="17.899999999999999" customHeight="1">
      <c r="AA2744"/>
    </row>
    <row r="2745" spans="27:27" ht="17.899999999999999" customHeight="1">
      <c r="AA2745"/>
    </row>
    <row r="2746" spans="27:27" ht="17.899999999999999" customHeight="1">
      <c r="AA2746"/>
    </row>
    <row r="2747" spans="27:27" ht="17.899999999999999" customHeight="1">
      <c r="AA2747"/>
    </row>
    <row r="2748" spans="27:27" ht="17.899999999999999" customHeight="1">
      <c r="AA2748"/>
    </row>
    <row r="2749" spans="27:27" ht="17.899999999999999" customHeight="1">
      <c r="AA2749"/>
    </row>
    <row r="2750" spans="27:27" ht="17.899999999999999" customHeight="1">
      <c r="AA2750"/>
    </row>
    <row r="2751" spans="27:27" ht="17.899999999999999" customHeight="1">
      <c r="AA2751"/>
    </row>
    <row r="2752" spans="27:27" ht="17.899999999999999" customHeight="1">
      <c r="AA2752"/>
    </row>
    <row r="2753" spans="27:27" ht="17.899999999999999" customHeight="1">
      <c r="AA2753"/>
    </row>
    <row r="2754" spans="27:27" ht="17.899999999999999" customHeight="1">
      <c r="AA2754"/>
    </row>
    <row r="2755" spans="27:27" ht="17.899999999999999" customHeight="1">
      <c r="AA2755"/>
    </row>
    <row r="2756" spans="27:27" ht="17.899999999999999" customHeight="1">
      <c r="AA2756"/>
    </row>
    <row r="2757" spans="27:27" ht="17.899999999999999" customHeight="1">
      <c r="AA2757"/>
    </row>
    <row r="2758" spans="27:27" ht="17.899999999999999" customHeight="1">
      <c r="AA2758"/>
    </row>
    <row r="2759" spans="27:27" ht="17.899999999999999" customHeight="1">
      <c r="AA2759"/>
    </row>
    <row r="2760" spans="27:27" ht="17.899999999999999" customHeight="1">
      <c r="AA2760"/>
    </row>
    <row r="2761" spans="27:27" ht="17.899999999999999" customHeight="1">
      <c r="AA2761"/>
    </row>
    <row r="2762" spans="27:27" ht="17.899999999999999" customHeight="1">
      <c r="AA2762"/>
    </row>
    <row r="2763" spans="27:27" ht="17.899999999999999" customHeight="1">
      <c r="AA2763"/>
    </row>
    <row r="2764" spans="27:27" ht="17.899999999999999" customHeight="1">
      <c r="AA2764"/>
    </row>
    <row r="2765" spans="27:27" ht="17.899999999999999" customHeight="1">
      <c r="AA2765"/>
    </row>
    <row r="2766" spans="27:27" ht="17.899999999999999" customHeight="1">
      <c r="AA2766"/>
    </row>
    <row r="2767" spans="27:27" ht="17.899999999999999" customHeight="1">
      <c r="AA2767"/>
    </row>
    <row r="2768" spans="27:27" ht="17.899999999999999" customHeight="1">
      <c r="AA2768"/>
    </row>
    <row r="2769" spans="27:27" ht="17.899999999999999" customHeight="1">
      <c r="AA2769"/>
    </row>
    <row r="2770" spans="27:27" ht="17.899999999999999" customHeight="1">
      <c r="AA2770"/>
    </row>
    <row r="2771" spans="27:27" ht="17.899999999999999" customHeight="1">
      <c r="AA2771"/>
    </row>
    <row r="2772" spans="27:27" ht="17.899999999999999" customHeight="1">
      <c r="AA2772"/>
    </row>
    <row r="2773" spans="27:27" ht="17.899999999999999" customHeight="1">
      <c r="AA2773"/>
    </row>
    <row r="2774" spans="27:27" ht="17.899999999999999" customHeight="1">
      <c r="AA2774"/>
    </row>
    <row r="2775" spans="27:27" ht="17.899999999999999" customHeight="1">
      <c r="AA2775"/>
    </row>
    <row r="2776" spans="27:27" ht="17.899999999999999" customHeight="1">
      <c r="AA2776"/>
    </row>
    <row r="2777" spans="27:27" ht="17.899999999999999" customHeight="1">
      <c r="AA2777"/>
    </row>
    <row r="2778" spans="27:27" ht="17.899999999999999" customHeight="1">
      <c r="AA2778"/>
    </row>
    <row r="2779" spans="27:27" ht="17.899999999999999" customHeight="1">
      <c r="AA2779"/>
    </row>
    <row r="2780" spans="27:27" ht="17.899999999999999" customHeight="1">
      <c r="AA2780"/>
    </row>
    <row r="2781" spans="27:27" ht="17.899999999999999" customHeight="1">
      <c r="AA2781"/>
    </row>
    <row r="2782" spans="27:27" ht="17.899999999999999" customHeight="1">
      <c r="AA2782"/>
    </row>
    <row r="2783" spans="27:27" ht="17.899999999999999" customHeight="1">
      <c r="AA2783"/>
    </row>
    <row r="2784" spans="27:27" ht="17.899999999999999" customHeight="1">
      <c r="AA2784"/>
    </row>
    <row r="2785" spans="27:27" ht="17.899999999999999" customHeight="1">
      <c r="AA2785"/>
    </row>
    <row r="2786" spans="27:27" ht="17.899999999999999" customHeight="1">
      <c r="AA2786"/>
    </row>
    <row r="2787" spans="27:27" ht="17.899999999999999" customHeight="1">
      <c r="AA2787"/>
    </row>
    <row r="2788" spans="27:27" ht="17.899999999999999" customHeight="1">
      <c r="AA2788"/>
    </row>
    <row r="2789" spans="27:27" ht="17.899999999999999" customHeight="1">
      <c r="AA2789"/>
    </row>
    <row r="2790" spans="27:27" ht="17.899999999999999" customHeight="1">
      <c r="AA2790"/>
    </row>
    <row r="2791" spans="27:27" ht="17.899999999999999" customHeight="1">
      <c r="AA2791"/>
    </row>
    <row r="2792" spans="27:27" ht="17.899999999999999" customHeight="1">
      <c r="AA2792"/>
    </row>
    <row r="2793" spans="27:27" ht="17.899999999999999" customHeight="1">
      <c r="AA2793"/>
    </row>
    <row r="2794" spans="27:27" ht="17.899999999999999" customHeight="1">
      <c r="AA2794"/>
    </row>
    <row r="2795" spans="27:27" ht="17.899999999999999" customHeight="1">
      <c r="AA2795"/>
    </row>
    <row r="2796" spans="27:27" ht="17.899999999999999" customHeight="1">
      <c r="AA2796"/>
    </row>
    <row r="2797" spans="27:27" ht="17.899999999999999" customHeight="1">
      <c r="AA2797"/>
    </row>
    <row r="2798" spans="27:27" ht="17.899999999999999" customHeight="1">
      <c r="AA2798"/>
    </row>
    <row r="2799" spans="27:27" ht="17.899999999999999" customHeight="1">
      <c r="AA2799"/>
    </row>
    <row r="2800" spans="27:27" ht="17.899999999999999" customHeight="1">
      <c r="AA2800"/>
    </row>
    <row r="2801" spans="27:27" ht="17.899999999999999" customHeight="1">
      <c r="AA2801"/>
    </row>
    <row r="2802" spans="27:27" ht="17.899999999999999" customHeight="1">
      <c r="AA2802"/>
    </row>
    <row r="2803" spans="27:27" ht="17.899999999999999" customHeight="1">
      <c r="AA2803"/>
    </row>
    <row r="2804" spans="27:27" ht="17.899999999999999" customHeight="1">
      <c r="AA2804"/>
    </row>
    <row r="2805" spans="27:27" ht="17.899999999999999" customHeight="1">
      <c r="AA2805"/>
    </row>
    <row r="2806" spans="27:27" ht="17.899999999999999" customHeight="1">
      <c r="AA2806"/>
    </row>
    <row r="2807" spans="27:27" ht="17.899999999999999" customHeight="1">
      <c r="AA2807"/>
    </row>
    <row r="2808" spans="27:27" ht="17.899999999999999" customHeight="1">
      <c r="AA2808"/>
    </row>
    <row r="2809" spans="27:27" ht="17.899999999999999" customHeight="1">
      <c r="AA2809"/>
    </row>
    <row r="2810" spans="27:27" ht="17.899999999999999" customHeight="1">
      <c r="AA2810"/>
    </row>
    <row r="2811" spans="27:27" ht="17.899999999999999" customHeight="1">
      <c r="AA2811"/>
    </row>
    <row r="2812" spans="27:27" ht="17.899999999999999" customHeight="1">
      <c r="AA2812"/>
    </row>
    <row r="2813" spans="27:27" ht="17.899999999999999" customHeight="1">
      <c r="AA2813"/>
    </row>
    <row r="2814" spans="27:27" ht="17.899999999999999" customHeight="1">
      <c r="AA2814"/>
    </row>
    <row r="2815" spans="27:27" ht="17.899999999999999" customHeight="1">
      <c r="AA2815"/>
    </row>
    <row r="2816" spans="27:27" ht="17.899999999999999" customHeight="1">
      <c r="AA2816"/>
    </row>
    <row r="2817" spans="27:27" ht="17.899999999999999" customHeight="1">
      <c r="AA2817"/>
    </row>
    <row r="2818" spans="27:27" ht="17.899999999999999" customHeight="1">
      <c r="AA2818"/>
    </row>
    <row r="2819" spans="27:27" ht="17.899999999999999" customHeight="1">
      <c r="AA2819"/>
    </row>
    <row r="2820" spans="27:27" ht="17.899999999999999" customHeight="1">
      <c r="AA2820"/>
    </row>
    <row r="2821" spans="27:27" ht="17.899999999999999" customHeight="1">
      <c r="AA2821"/>
    </row>
    <row r="2822" spans="27:27" ht="17.899999999999999" customHeight="1">
      <c r="AA2822"/>
    </row>
    <row r="2823" spans="27:27" ht="17.899999999999999" customHeight="1">
      <c r="AA2823"/>
    </row>
    <row r="2824" spans="27:27" ht="17.899999999999999" customHeight="1">
      <c r="AA2824"/>
    </row>
    <row r="2825" spans="27:27" ht="17.899999999999999" customHeight="1">
      <c r="AA2825"/>
    </row>
    <row r="2826" spans="27:27" ht="17.899999999999999" customHeight="1">
      <c r="AA2826"/>
    </row>
    <row r="2827" spans="27:27" ht="17.899999999999999" customHeight="1">
      <c r="AA2827"/>
    </row>
    <row r="2828" spans="27:27" ht="17.899999999999999" customHeight="1">
      <c r="AA2828"/>
    </row>
    <row r="2829" spans="27:27" ht="17.899999999999999" customHeight="1">
      <c r="AA2829"/>
    </row>
    <row r="2830" spans="27:27" ht="17.899999999999999" customHeight="1">
      <c r="AA2830"/>
    </row>
    <row r="2831" spans="27:27" ht="17.899999999999999" customHeight="1">
      <c r="AA2831"/>
    </row>
    <row r="2832" spans="27:27" ht="17.899999999999999" customHeight="1">
      <c r="AA2832"/>
    </row>
    <row r="2833" spans="27:27" ht="17.899999999999999" customHeight="1">
      <c r="AA2833"/>
    </row>
    <row r="2834" spans="27:27" ht="17.899999999999999" customHeight="1">
      <c r="AA2834"/>
    </row>
    <row r="2835" spans="27:27" ht="17.899999999999999" customHeight="1">
      <c r="AA2835"/>
    </row>
    <row r="2836" spans="27:27" ht="17.899999999999999" customHeight="1">
      <c r="AA2836"/>
    </row>
    <row r="2837" spans="27:27" ht="17.899999999999999" customHeight="1">
      <c r="AA2837"/>
    </row>
    <row r="2838" spans="27:27" ht="17.899999999999999" customHeight="1">
      <c r="AA2838"/>
    </row>
    <row r="2839" spans="27:27" ht="17.899999999999999" customHeight="1">
      <c r="AA2839"/>
    </row>
    <row r="2840" spans="27:27" ht="17.899999999999999" customHeight="1">
      <c r="AA2840"/>
    </row>
    <row r="2841" spans="27:27" ht="17.899999999999999" customHeight="1">
      <c r="AA2841"/>
    </row>
    <row r="2842" spans="27:27" ht="17.899999999999999" customHeight="1">
      <c r="AA2842"/>
    </row>
    <row r="2843" spans="27:27" ht="17.899999999999999" customHeight="1">
      <c r="AA2843"/>
    </row>
    <row r="2844" spans="27:27" ht="17.899999999999999" customHeight="1">
      <c r="AA2844"/>
    </row>
    <row r="2845" spans="27:27" ht="17.899999999999999" customHeight="1">
      <c r="AA2845"/>
    </row>
    <row r="2846" spans="27:27" ht="17.899999999999999" customHeight="1">
      <c r="AA2846"/>
    </row>
    <row r="2847" spans="27:27" ht="17.899999999999999" customHeight="1">
      <c r="AA2847"/>
    </row>
    <row r="2848" spans="27:27" ht="17.899999999999999" customHeight="1">
      <c r="AA2848"/>
    </row>
    <row r="2849" spans="27:27" ht="17.899999999999999" customHeight="1">
      <c r="AA2849"/>
    </row>
    <row r="2850" spans="27:27" ht="17.899999999999999" customHeight="1">
      <c r="AA2850"/>
    </row>
    <row r="2851" spans="27:27" ht="17.899999999999999" customHeight="1">
      <c r="AA2851"/>
    </row>
    <row r="2852" spans="27:27" ht="17.899999999999999" customHeight="1">
      <c r="AA2852"/>
    </row>
    <row r="2853" spans="27:27" ht="17.899999999999999" customHeight="1">
      <c r="AA2853"/>
    </row>
    <row r="2854" spans="27:27" ht="17.899999999999999" customHeight="1">
      <c r="AA2854"/>
    </row>
    <row r="2855" spans="27:27" ht="17.899999999999999" customHeight="1">
      <c r="AA2855"/>
    </row>
    <row r="2856" spans="27:27" ht="17.899999999999999" customHeight="1">
      <c r="AA2856"/>
    </row>
    <row r="2857" spans="27:27" ht="17.899999999999999" customHeight="1">
      <c r="AA2857"/>
    </row>
    <row r="2858" spans="27:27" ht="17.899999999999999" customHeight="1">
      <c r="AA2858"/>
    </row>
    <row r="2859" spans="27:27" ht="17.899999999999999" customHeight="1">
      <c r="AA2859"/>
    </row>
    <row r="2860" spans="27:27" ht="17.899999999999999" customHeight="1">
      <c r="AA2860"/>
    </row>
    <row r="2861" spans="27:27" ht="17.899999999999999" customHeight="1">
      <c r="AA2861"/>
    </row>
    <row r="2862" spans="27:27" ht="17.899999999999999" customHeight="1">
      <c r="AA2862"/>
    </row>
    <row r="2863" spans="27:27" ht="17.899999999999999" customHeight="1">
      <c r="AA2863"/>
    </row>
    <row r="2864" spans="27:27" ht="17.899999999999999" customHeight="1">
      <c r="AA2864"/>
    </row>
    <row r="2865" spans="27:27" ht="17.899999999999999" customHeight="1">
      <c r="AA2865"/>
    </row>
    <row r="2866" spans="27:27" ht="17.899999999999999" customHeight="1">
      <c r="AA2866"/>
    </row>
    <row r="2867" spans="27:27" ht="17.899999999999999" customHeight="1">
      <c r="AA2867"/>
    </row>
    <row r="2868" spans="27:27" ht="17.899999999999999" customHeight="1">
      <c r="AA2868"/>
    </row>
    <row r="2869" spans="27:27" ht="17.899999999999999" customHeight="1">
      <c r="AA2869"/>
    </row>
    <row r="2870" spans="27:27" ht="17.899999999999999" customHeight="1">
      <c r="AA2870"/>
    </row>
    <row r="2871" spans="27:27" ht="17.899999999999999" customHeight="1">
      <c r="AA2871"/>
    </row>
    <row r="2872" spans="27:27" ht="17.899999999999999" customHeight="1">
      <c r="AA2872"/>
    </row>
    <row r="2873" spans="27:27" ht="17.899999999999999" customHeight="1">
      <c r="AA2873"/>
    </row>
    <row r="2874" spans="27:27" ht="17.899999999999999" customHeight="1">
      <c r="AA2874"/>
    </row>
    <row r="2875" spans="27:27" ht="17.899999999999999" customHeight="1">
      <c r="AA2875"/>
    </row>
    <row r="2876" spans="27:27" ht="17.899999999999999" customHeight="1">
      <c r="AA2876"/>
    </row>
    <row r="2877" spans="27:27" ht="17.899999999999999" customHeight="1">
      <c r="AA2877"/>
    </row>
    <row r="2878" spans="27:27" ht="17.899999999999999" customHeight="1">
      <c r="AA2878"/>
    </row>
    <row r="2879" spans="27:27" ht="17.899999999999999" customHeight="1">
      <c r="AA2879"/>
    </row>
    <row r="2880" spans="27:27" ht="17.899999999999999" customHeight="1">
      <c r="AA2880"/>
    </row>
    <row r="2881" spans="27:27" ht="17.899999999999999" customHeight="1">
      <c r="AA2881"/>
    </row>
    <row r="2882" spans="27:27" ht="17.899999999999999" customHeight="1">
      <c r="AA2882"/>
    </row>
    <row r="2883" spans="27:27" ht="17.899999999999999" customHeight="1">
      <c r="AA2883"/>
    </row>
    <row r="2884" spans="27:27" ht="17.899999999999999" customHeight="1">
      <c r="AA2884"/>
    </row>
    <row r="2885" spans="27:27" ht="17.899999999999999" customHeight="1">
      <c r="AA2885"/>
    </row>
    <row r="2886" spans="27:27" ht="17.899999999999999" customHeight="1">
      <c r="AA2886"/>
    </row>
    <row r="2887" spans="27:27" ht="17.899999999999999" customHeight="1">
      <c r="AA2887"/>
    </row>
    <row r="2888" spans="27:27" ht="17.899999999999999" customHeight="1">
      <c r="AA2888"/>
    </row>
    <row r="2889" spans="27:27" ht="17.899999999999999" customHeight="1">
      <c r="AA2889"/>
    </row>
    <row r="2890" spans="27:27" ht="17.899999999999999" customHeight="1">
      <c r="AA2890"/>
    </row>
    <row r="2891" spans="27:27" ht="17.899999999999999" customHeight="1">
      <c r="AA2891"/>
    </row>
    <row r="2892" spans="27:27" ht="17.899999999999999" customHeight="1">
      <c r="AA2892"/>
    </row>
    <row r="2893" spans="27:27" ht="17.899999999999999" customHeight="1">
      <c r="AA2893"/>
    </row>
    <row r="2894" spans="27:27" ht="17.899999999999999" customHeight="1">
      <c r="AA2894"/>
    </row>
    <row r="2895" spans="27:27" ht="17.899999999999999" customHeight="1">
      <c r="AA2895"/>
    </row>
    <row r="2896" spans="27:27" ht="17.899999999999999" customHeight="1">
      <c r="AA2896"/>
    </row>
    <row r="2897" spans="27:27" ht="17.899999999999999" customHeight="1">
      <c r="AA2897"/>
    </row>
    <row r="2898" spans="27:27" ht="17.899999999999999" customHeight="1">
      <c r="AA2898"/>
    </row>
    <row r="2899" spans="27:27" ht="17.899999999999999" customHeight="1">
      <c r="AA2899"/>
    </row>
    <row r="2900" spans="27:27" ht="17.899999999999999" customHeight="1">
      <c r="AA2900"/>
    </row>
    <row r="2901" spans="27:27" ht="17.899999999999999" customHeight="1">
      <c r="AA2901"/>
    </row>
    <row r="2902" spans="27:27" ht="17.899999999999999" customHeight="1">
      <c r="AA2902"/>
    </row>
    <row r="2903" spans="27:27" ht="17.899999999999999" customHeight="1">
      <c r="AA2903"/>
    </row>
    <row r="2904" spans="27:27" ht="17.899999999999999" customHeight="1">
      <c r="AA2904"/>
    </row>
    <row r="2905" spans="27:27" ht="17.899999999999999" customHeight="1">
      <c r="AA2905"/>
    </row>
    <row r="2906" spans="27:27" ht="17.899999999999999" customHeight="1">
      <c r="AA2906"/>
    </row>
    <row r="2907" spans="27:27" ht="17.899999999999999" customHeight="1">
      <c r="AA2907"/>
    </row>
    <row r="2908" spans="27:27" ht="17.899999999999999" customHeight="1">
      <c r="AA2908"/>
    </row>
    <row r="2909" spans="27:27" ht="17.899999999999999" customHeight="1">
      <c r="AA2909"/>
    </row>
    <row r="2910" spans="27:27" ht="17.899999999999999" customHeight="1">
      <c r="AA2910"/>
    </row>
    <row r="2911" spans="27:27" ht="17.899999999999999" customHeight="1">
      <c r="AA2911"/>
    </row>
    <row r="2912" spans="27:27" ht="17.899999999999999" customHeight="1">
      <c r="AA2912"/>
    </row>
    <row r="2913" spans="27:27" ht="17.899999999999999" customHeight="1">
      <c r="AA2913"/>
    </row>
    <row r="2914" spans="27:27" ht="17.899999999999999" customHeight="1">
      <c r="AA2914"/>
    </row>
    <row r="2915" spans="27:27" ht="17.899999999999999" customHeight="1">
      <c r="AA2915"/>
    </row>
    <row r="2916" spans="27:27" ht="17.899999999999999" customHeight="1">
      <c r="AA2916"/>
    </row>
    <row r="2917" spans="27:27" ht="17.899999999999999" customHeight="1">
      <c r="AA2917"/>
    </row>
    <row r="2918" spans="27:27" ht="17.899999999999999" customHeight="1">
      <c r="AA2918"/>
    </row>
    <row r="2919" spans="27:27" ht="17.899999999999999" customHeight="1">
      <c r="AA2919"/>
    </row>
    <row r="2920" spans="27:27" ht="17.899999999999999" customHeight="1">
      <c r="AA2920"/>
    </row>
    <row r="2921" spans="27:27" ht="17.899999999999999" customHeight="1">
      <c r="AA2921"/>
    </row>
    <row r="2922" spans="27:27" ht="17.899999999999999" customHeight="1">
      <c r="AA2922"/>
    </row>
    <row r="2923" spans="27:27" ht="17.899999999999999" customHeight="1">
      <c r="AA2923"/>
    </row>
    <row r="2924" spans="27:27" ht="17.899999999999999" customHeight="1">
      <c r="AA2924"/>
    </row>
    <row r="2925" spans="27:27" ht="17.899999999999999" customHeight="1">
      <c r="AA2925"/>
    </row>
    <row r="2926" spans="27:27" ht="17.899999999999999" customHeight="1">
      <c r="AA2926"/>
    </row>
    <row r="2927" spans="27:27" ht="17.899999999999999" customHeight="1">
      <c r="AA2927"/>
    </row>
    <row r="2928" spans="27:27" ht="17.899999999999999" customHeight="1">
      <c r="AA2928"/>
    </row>
    <row r="2929" spans="27:27" ht="17.899999999999999" customHeight="1">
      <c r="AA2929"/>
    </row>
    <row r="2930" spans="27:27" ht="17.899999999999999" customHeight="1">
      <c r="AA2930"/>
    </row>
    <row r="2931" spans="27:27" ht="17.899999999999999" customHeight="1">
      <c r="AA2931"/>
    </row>
    <row r="2932" spans="27:27" ht="17.899999999999999" customHeight="1">
      <c r="AA2932"/>
    </row>
    <row r="2933" spans="27:27" ht="17.899999999999999" customHeight="1">
      <c r="AA2933"/>
    </row>
    <row r="2934" spans="27:27" ht="17.899999999999999" customHeight="1">
      <c r="AA2934"/>
    </row>
    <row r="2935" spans="27:27" ht="17.899999999999999" customHeight="1">
      <c r="AA2935"/>
    </row>
    <row r="2936" spans="27:27" ht="17.899999999999999" customHeight="1">
      <c r="AA2936"/>
    </row>
    <row r="2937" spans="27:27" ht="17.899999999999999" customHeight="1">
      <c r="AA2937"/>
    </row>
    <row r="2938" spans="27:27" ht="17.899999999999999" customHeight="1">
      <c r="AA2938"/>
    </row>
    <row r="2939" spans="27:27" ht="17.899999999999999" customHeight="1">
      <c r="AA2939"/>
    </row>
    <row r="2940" spans="27:27" ht="17.899999999999999" customHeight="1">
      <c r="AA2940"/>
    </row>
    <row r="2941" spans="27:27" ht="17.899999999999999" customHeight="1">
      <c r="AA2941"/>
    </row>
    <row r="2942" spans="27:27" ht="17.899999999999999" customHeight="1">
      <c r="AA2942"/>
    </row>
    <row r="2943" spans="27:27" ht="17.899999999999999" customHeight="1">
      <c r="AA2943"/>
    </row>
    <row r="2944" spans="27:27" ht="17.899999999999999" customHeight="1">
      <c r="AA2944"/>
    </row>
    <row r="2945" spans="27:27" ht="17.899999999999999" customHeight="1">
      <c r="AA2945"/>
    </row>
    <row r="2946" spans="27:27" ht="17.899999999999999" customHeight="1">
      <c r="AA2946"/>
    </row>
    <row r="2947" spans="27:27" ht="17.899999999999999" customHeight="1">
      <c r="AA2947"/>
    </row>
    <row r="2948" spans="27:27" ht="17.899999999999999" customHeight="1">
      <c r="AA2948"/>
    </row>
    <row r="2949" spans="27:27" ht="17.899999999999999" customHeight="1">
      <c r="AA2949"/>
    </row>
    <row r="2950" spans="27:27" ht="17.899999999999999" customHeight="1">
      <c r="AA2950"/>
    </row>
    <row r="2951" spans="27:27" ht="17.899999999999999" customHeight="1">
      <c r="AA2951"/>
    </row>
    <row r="2952" spans="27:27" ht="17.899999999999999" customHeight="1">
      <c r="AA2952"/>
    </row>
    <row r="2953" spans="27:27" ht="17.899999999999999" customHeight="1">
      <c r="AA2953"/>
    </row>
    <row r="2954" spans="27:27" ht="17.899999999999999" customHeight="1">
      <c r="AA2954"/>
    </row>
    <row r="2955" spans="27:27" ht="17.899999999999999" customHeight="1">
      <c r="AA2955"/>
    </row>
    <row r="2956" spans="27:27" ht="17.899999999999999" customHeight="1">
      <c r="AA2956"/>
    </row>
    <row r="2957" spans="27:27" ht="17.899999999999999" customHeight="1">
      <c r="AA2957"/>
    </row>
    <row r="2958" spans="27:27" ht="17.899999999999999" customHeight="1">
      <c r="AA2958"/>
    </row>
    <row r="2959" spans="27:27" ht="17.899999999999999" customHeight="1">
      <c r="AA2959"/>
    </row>
    <row r="2960" spans="27:27" ht="17.899999999999999" customHeight="1">
      <c r="AA2960"/>
    </row>
    <row r="2961" spans="27:27" ht="17.899999999999999" customHeight="1">
      <c r="AA2961"/>
    </row>
    <row r="2962" spans="27:27" ht="17.899999999999999" customHeight="1">
      <c r="AA2962"/>
    </row>
    <row r="2963" spans="27:27" ht="17.899999999999999" customHeight="1">
      <c r="AA2963"/>
    </row>
    <row r="2964" spans="27:27" ht="17.899999999999999" customHeight="1">
      <c r="AA2964"/>
    </row>
    <row r="2965" spans="27:27" ht="17.899999999999999" customHeight="1">
      <c r="AA2965"/>
    </row>
    <row r="2966" spans="27:27" ht="17.899999999999999" customHeight="1">
      <c r="AA2966"/>
    </row>
    <row r="2967" spans="27:27" ht="17.899999999999999" customHeight="1">
      <c r="AA2967"/>
    </row>
    <row r="2968" spans="27:27" ht="17.899999999999999" customHeight="1">
      <c r="AA2968"/>
    </row>
    <row r="2969" spans="27:27" ht="17.899999999999999" customHeight="1">
      <c r="AA2969"/>
    </row>
    <row r="2970" spans="27:27" ht="17.899999999999999" customHeight="1">
      <c r="AA2970"/>
    </row>
    <row r="2971" spans="27:27" ht="17.899999999999999" customHeight="1">
      <c r="AA2971"/>
    </row>
    <row r="2972" spans="27:27" ht="17.899999999999999" customHeight="1">
      <c r="AA2972"/>
    </row>
    <row r="2973" spans="27:27" ht="17.899999999999999" customHeight="1">
      <c r="AA2973"/>
    </row>
    <row r="2974" spans="27:27" ht="17.899999999999999" customHeight="1">
      <c r="AA2974"/>
    </row>
    <row r="2975" spans="27:27" ht="17.899999999999999" customHeight="1">
      <c r="AA2975"/>
    </row>
    <row r="2976" spans="27:27" ht="17.899999999999999" customHeight="1">
      <c r="AA2976"/>
    </row>
    <row r="2977" spans="27:27" ht="17.899999999999999" customHeight="1">
      <c r="AA2977"/>
    </row>
    <row r="2978" spans="27:27" ht="17.899999999999999" customHeight="1">
      <c r="AA2978"/>
    </row>
    <row r="2979" spans="27:27" ht="17.899999999999999" customHeight="1">
      <c r="AA2979"/>
    </row>
    <row r="2980" spans="27:27" ht="17.899999999999999" customHeight="1">
      <c r="AA2980"/>
    </row>
    <row r="2981" spans="27:27" ht="17.899999999999999" customHeight="1">
      <c r="AA2981"/>
    </row>
    <row r="2982" spans="27:27" ht="17.899999999999999" customHeight="1">
      <c r="AA2982"/>
    </row>
    <row r="2983" spans="27:27" ht="17.899999999999999" customHeight="1">
      <c r="AA2983"/>
    </row>
    <row r="2984" spans="27:27" ht="17.899999999999999" customHeight="1">
      <c r="AA2984"/>
    </row>
    <row r="2985" spans="27:27" ht="17.899999999999999" customHeight="1">
      <c r="AA2985"/>
    </row>
    <row r="2986" spans="27:27" ht="17.899999999999999" customHeight="1">
      <c r="AA2986"/>
    </row>
    <row r="2987" spans="27:27" ht="17.899999999999999" customHeight="1">
      <c r="AA2987"/>
    </row>
    <row r="2988" spans="27:27" ht="17.899999999999999" customHeight="1">
      <c r="AA2988"/>
    </row>
    <row r="2989" spans="27:27" ht="17.899999999999999" customHeight="1">
      <c r="AA2989"/>
    </row>
    <row r="2990" spans="27:27" ht="17.899999999999999" customHeight="1">
      <c r="AA2990"/>
    </row>
    <row r="2991" spans="27:27" ht="17.899999999999999" customHeight="1">
      <c r="AA2991"/>
    </row>
    <row r="2992" spans="27:27" ht="17.899999999999999" customHeight="1">
      <c r="AA2992"/>
    </row>
    <row r="2993" spans="27:27" ht="17.899999999999999" customHeight="1">
      <c r="AA2993"/>
    </row>
    <row r="2994" spans="27:27" ht="17.899999999999999" customHeight="1">
      <c r="AA2994"/>
    </row>
    <row r="2995" spans="27:27" ht="17.899999999999999" customHeight="1">
      <c r="AA2995"/>
    </row>
    <row r="2996" spans="27:27" ht="17.899999999999999" customHeight="1">
      <c r="AA2996"/>
    </row>
    <row r="2997" spans="27:27" ht="17.899999999999999" customHeight="1">
      <c r="AA2997"/>
    </row>
    <row r="2998" spans="27:27" ht="17.899999999999999" customHeight="1">
      <c r="AA2998"/>
    </row>
    <row r="2999" spans="27:27" ht="17.899999999999999" customHeight="1">
      <c r="AA2999"/>
    </row>
    <row r="3000" spans="27:27" ht="17.899999999999999" customHeight="1">
      <c r="AA3000"/>
    </row>
    <row r="3001" spans="27:27" ht="17.899999999999999" customHeight="1">
      <c r="AA3001"/>
    </row>
    <row r="3002" spans="27:27" ht="17.899999999999999" customHeight="1">
      <c r="AA3002"/>
    </row>
    <row r="3003" spans="27:27" ht="17.899999999999999" customHeight="1">
      <c r="AA3003"/>
    </row>
    <row r="3004" spans="27:27" ht="17.899999999999999" customHeight="1">
      <c r="AA3004"/>
    </row>
    <row r="3005" spans="27:27" ht="17.899999999999999" customHeight="1">
      <c r="AA3005"/>
    </row>
    <row r="3006" spans="27:27" ht="17.899999999999999" customHeight="1">
      <c r="AA3006"/>
    </row>
    <row r="3007" spans="27:27" ht="17.899999999999999" customHeight="1">
      <c r="AA3007"/>
    </row>
    <row r="3008" spans="27:27" ht="17.899999999999999" customHeight="1">
      <c r="AA3008"/>
    </row>
    <row r="3009" spans="27:27" ht="17.899999999999999" customHeight="1">
      <c r="AA3009"/>
    </row>
    <row r="3010" spans="27:27" ht="17.899999999999999" customHeight="1">
      <c r="AA3010"/>
    </row>
    <row r="3011" spans="27:27" ht="17.899999999999999" customHeight="1">
      <c r="AA3011"/>
    </row>
    <row r="3012" spans="27:27" ht="17.899999999999999" customHeight="1">
      <c r="AA3012"/>
    </row>
    <row r="3013" spans="27:27" ht="17.899999999999999" customHeight="1">
      <c r="AA3013"/>
    </row>
    <row r="3014" spans="27:27" ht="17.899999999999999" customHeight="1">
      <c r="AA3014"/>
    </row>
    <row r="3015" spans="27:27" ht="17.899999999999999" customHeight="1">
      <c r="AA3015"/>
    </row>
    <row r="3016" spans="27:27" ht="17.899999999999999" customHeight="1">
      <c r="AA3016"/>
    </row>
    <row r="3017" spans="27:27" ht="17.899999999999999" customHeight="1">
      <c r="AA3017"/>
    </row>
    <row r="3018" spans="27:27" ht="17.899999999999999" customHeight="1">
      <c r="AA3018"/>
    </row>
    <row r="3019" spans="27:27" ht="17.899999999999999" customHeight="1">
      <c r="AA3019"/>
    </row>
    <row r="3020" spans="27:27" ht="17.899999999999999" customHeight="1">
      <c r="AA3020"/>
    </row>
    <row r="3021" spans="27:27" ht="17.899999999999999" customHeight="1">
      <c r="AA3021"/>
    </row>
    <row r="3022" spans="27:27" ht="17.899999999999999" customHeight="1">
      <c r="AA3022"/>
    </row>
    <row r="3023" spans="27:27" ht="17.899999999999999" customHeight="1">
      <c r="AA3023"/>
    </row>
    <row r="3024" spans="27:27" ht="17.899999999999999" customHeight="1">
      <c r="AA3024"/>
    </row>
    <row r="3025" spans="27:27" ht="17.899999999999999" customHeight="1">
      <c r="AA3025"/>
    </row>
    <row r="3026" spans="27:27" ht="17.899999999999999" customHeight="1">
      <c r="AA3026"/>
    </row>
    <row r="3027" spans="27:27" ht="17.899999999999999" customHeight="1">
      <c r="AA3027"/>
    </row>
    <row r="3028" spans="27:27" ht="17.899999999999999" customHeight="1">
      <c r="AA3028"/>
    </row>
    <row r="3029" spans="27:27" ht="17.899999999999999" customHeight="1">
      <c r="AA3029"/>
    </row>
    <row r="3030" spans="27:27" ht="17.899999999999999" customHeight="1">
      <c r="AA3030"/>
    </row>
    <row r="3031" spans="27:27" ht="17.899999999999999" customHeight="1">
      <c r="AA3031"/>
    </row>
    <row r="3032" spans="27:27" ht="17.899999999999999" customHeight="1">
      <c r="AA3032"/>
    </row>
    <row r="3033" spans="27:27" ht="17.899999999999999" customHeight="1">
      <c r="AA3033"/>
    </row>
    <row r="3034" spans="27:27" ht="17.899999999999999" customHeight="1">
      <c r="AA3034"/>
    </row>
    <row r="3035" spans="27:27" ht="17.899999999999999" customHeight="1">
      <c r="AA3035"/>
    </row>
    <row r="3036" spans="27:27" ht="17.899999999999999" customHeight="1">
      <c r="AA3036"/>
    </row>
    <row r="3037" spans="27:27" ht="17.899999999999999" customHeight="1">
      <c r="AA3037"/>
    </row>
    <row r="3038" spans="27:27" ht="17.899999999999999" customHeight="1">
      <c r="AA3038"/>
    </row>
    <row r="3039" spans="27:27" ht="17.899999999999999" customHeight="1">
      <c r="AA3039"/>
    </row>
    <row r="3040" spans="27:27" ht="17.899999999999999" customHeight="1">
      <c r="AA3040"/>
    </row>
    <row r="3041" spans="27:27" ht="17.899999999999999" customHeight="1">
      <c r="AA3041"/>
    </row>
    <row r="3042" spans="27:27" ht="17.899999999999999" customHeight="1">
      <c r="AA3042"/>
    </row>
    <row r="3043" spans="27:27" ht="17.899999999999999" customHeight="1">
      <c r="AA3043"/>
    </row>
    <row r="3044" spans="27:27" ht="17.899999999999999" customHeight="1">
      <c r="AA3044"/>
    </row>
    <row r="3045" spans="27:27" ht="17.899999999999999" customHeight="1">
      <c r="AA3045"/>
    </row>
    <row r="3046" spans="27:27" ht="17.899999999999999" customHeight="1">
      <c r="AA3046"/>
    </row>
    <row r="3047" spans="27:27" ht="17.899999999999999" customHeight="1">
      <c r="AA3047"/>
    </row>
    <row r="3048" spans="27:27" ht="17.899999999999999" customHeight="1">
      <c r="AA3048"/>
    </row>
    <row r="3049" spans="27:27" ht="17.899999999999999" customHeight="1">
      <c r="AA3049"/>
    </row>
    <row r="3050" spans="27:27" ht="17.899999999999999" customHeight="1">
      <c r="AA3050"/>
    </row>
    <row r="3051" spans="27:27" ht="17.899999999999999" customHeight="1">
      <c r="AA3051"/>
    </row>
    <row r="3052" spans="27:27" ht="17.899999999999999" customHeight="1">
      <c r="AA3052"/>
    </row>
    <row r="3053" spans="27:27" ht="17.899999999999999" customHeight="1">
      <c r="AA3053"/>
    </row>
    <row r="3054" spans="27:27" ht="17.899999999999999" customHeight="1">
      <c r="AA3054"/>
    </row>
    <row r="3055" spans="27:27" ht="17.899999999999999" customHeight="1">
      <c r="AA3055"/>
    </row>
    <row r="3056" spans="27:27" ht="17.899999999999999" customHeight="1">
      <c r="AA3056"/>
    </row>
    <row r="3057" spans="27:27" ht="17.899999999999999" customHeight="1">
      <c r="AA3057"/>
    </row>
    <row r="3058" spans="27:27" ht="17.899999999999999" customHeight="1">
      <c r="AA3058"/>
    </row>
    <row r="3059" spans="27:27" ht="17.899999999999999" customHeight="1">
      <c r="AA3059"/>
    </row>
    <row r="3060" spans="27:27" ht="17.899999999999999" customHeight="1">
      <c r="AA3060"/>
    </row>
    <row r="3061" spans="27:27" ht="17.899999999999999" customHeight="1">
      <c r="AA3061"/>
    </row>
    <row r="3062" spans="27:27" ht="17.899999999999999" customHeight="1">
      <c r="AA3062"/>
    </row>
    <row r="3063" spans="27:27" ht="17.899999999999999" customHeight="1">
      <c r="AA3063"/>
    </row>
    <row r="3064" spans="27:27" ht="17.899999999999999" customHeight="1">
      <c r="AA3064"/>
    </row>
    <row r="3065" spans="27:27" ht="17.899999999999999" customHeight="1">
      <c r="AA3065"/>
    </row>
    <row r="3066" spans="27:27" ht="17.899999999999999" customHeight="1">
      <c r="AA3066"/>
    </row>
    <row r="3067" spans="27:27" ht="17.899999999999999" customHeight="1">
      <c r="AA3067"/>
    </row>
    <row r="3068" spans="27:27" ht="17.899999999999999" customHeight="1">
      <c r="AA3068"/>
    </row>
    <row r="3069" spans="27:27" ht="17.899999999999999" customHeight="1">
      <c r="AA3069"/>
    </row>
    <row r="3070" spans="27:27" ht="17.899999999999999" customHeight="1">
      <c r="AA3070"/>
    </row>
    <row r="3071" spans="27:27" ht="17.899999999999999" customHeight="1">
      <c r="AA3071"/>
    </row>
    <row r="3072" spans="27:27" ht="17.899999999999999" customHeight="1">
      <c r="AA3072"/>
    </row>
    <row r="3073" spans="27:27" ht="17.899999999999999" customHeight="1">
      <c r="AA3073"/>
    </row>
    <row r="3074" spans="27:27" ht="17.899999999999999" customHeight="1">
      <c r="AA3074"/>
    </row>
    <row r="3075" spans="27:27" ht="17.899999999999999" customHeight="1">
      <c r="AA3075"/>
    </row>
    <row r="3076" spans="27:27" ht="17.899999999999999" customHeight="1">
      <c r="AA3076"/>
    </row>
    <row r="3077" spans="27:27" ht="17.899999999999999" customHeight="1">
      <c r="AA3077"/>
    </row>
    <row r="3078" spans="27:27" ht="17.899999999999999" customHeight="1">
      <c r="AA3078"/>
    </row>
    <row r="3079" spans="27:27" ht="17.899999999999999" customHeight="1">
      <c r="AA3079"/>
    </row>
    <row r="3080" spans="27:27" ht="17.899999999999999" customHeight="1">
      <c r="AA3080"/>
    </row>
    <row r="3081" spans="27:27" ht="17.899999999999999" customHeight="1">
      <c r="AA3081"/>
    </row>
    <row r="3082" spans="27:27" ht="17.899999999999999" customHeight="1">
      <c r="AA3082"/>
    </row>
    <row r="3083" spans="27:27" ht="17.899999999999999" customHeight="1">
      <c r="AA3083"/>
    </row>
    <row r="3084" spans="27:27" ht="17.899999999999999" customHeight="1">
      <c r="AA3084"/>
    </row>
    <row r="3085" spans="27:27" ht="17.899999999999999" customHeight="1">
      <c r="AA3085"/>
    </row>
    <row r="3086" spans="27:27" ht="17.899999999999999" customHeight="1">
      <c r="AA3086"/>
    </row>
    <row r="3087" spans="27:27" ht="17.899999999999999" customHeight="1">
      <c r="AA3087"/>
    </row>
    <row r="3088" spans="27:27" ht="17.899999999999999" customHeight="1">
      <c r="AA3088"/>
    </row>
    <row r="3089" spans="27:27" ht="17.899999999999999" customHeight="1">
      <c r="AA3089"/>
    </row>
    <row r="3090" spans="27:27" ht="17.899999999999999" customHeight="1">
      <c r="AA3090"/>
    </row>
    <row r="3091" spans="27:27" ht="17.899999999999999" customHeight="1">
      <c r="AA3091"/>
    </row>
    <row r="3092" spans="27:27" ht="17.899999999999999" customHeight="1">
      <c r="AA3092"/>
    </row>
    <row r="3093" spans="27:27" ht="17.899999999999999" customHeight="1">
      <c r="AA3093"/>
    </row>
    <row r="3094" spans="27:27" ht="17.899999999999999" customHeight="1">
      <c r="AA3094"/>
    </row>
    <row r="3095" spans="27:27" ht="17.899999999999999" customHeight="1">
      <c r="AA3095"/>
    </row>
    <row r="3096" spans="27:27" ht="17.899999999999999" customHeight="1">
      <c r="AA3096"/>
    </row>
    <row r="3097" spans="27:27" ht="17.899999999999999" customHeight="1">
      <c r="AA3097"/>
    </row>
    <row r="3098" spans="27:27" ht="17.899999999999999" customHeight="1">
      <c r="AA3098"/>
    </row>
    <row r="3099" spans="27:27" ht="17.899999999999999" customHeight="1">
      <c r="AA3099"/>
    </row>
    <row r="3100" spans="27:27" ht="17.899999999999999" customHeight="1">
      <c r="AA3100"/>
    </row>
    <row r="3101" spans="27:27" ht="17.899999999999999" customHeight="1">
      <c r="AA3101"/>
    </row>
    <row r="3102" spans="27:27" ht="17.899999999999999" customHeight="1">
      <c r="AA3102"/>
    </row>
    <row r="3103" spans="27:27" ht="17.899999999999999" customHeight="1">
      <c r="AA3103"/>
    </row>
    <row r="3104" spans="27:27" ht="17.899999999999999" customHeight="1">
      <c r="AA3104"/>
    </row>
    <row r="3105" spans="27:27" ht="17.899999999999999" customHeight="1">
      <c r="AA3105"/>
    </row>
    <row r="3106" spans="27:27" ht="17.899999999999999" customHeight="1">
      <c r="AA3106"/>
    </row>
    <row r="3107" spans="27:27" ht="17.899999999999999" customHeight="1">
      <c r="AA3107"/>
    </row>
    <row r="3108" spans="27:27" ht="17.899999999999999" customHeight="1">
      <c r="AA3108"/>
    </row>
    <row r="3109" spans="27:27" ht="17.899999999999999" customHeight="1">
      <c r="AA3109"/>
    </row>
    <row r="3110" spans="27:27" ht="17.899999999999999" customHeight="1">
      <c r="AA3110"/>
    </row>
    <row r="3111" spans="27:27" ht="17.899999999999999" customHeight="1">
      <c r="AA3111"/>
    </row>
    <row r="3112" spans="27:27" ht="17.899999999999999" customHeight="1">
      <c r="AA3112"/>
    </row>
    <row r="3113" spans="27:27" ht="17.899999999999999" customHeight="1">
      <c r="AA3113"/>
    </row>
    <row r="3114" spans="27:27" ht="17.899999999999999" customHeight="1">
      <c r="AA3114"/>
    </row>
    <row r="3115" spans="27:27" ht="17.899999999999999" customHeight="1">
      <c r="AA3115"/>
    </row>
    <row r="3116" spans="27:27" ht="17.899999999999999" customHeight="1">
      <c r="AA3116"/>
    </row>
    <row r="3117" spans="27:27" ht="17.899999999999999" customHeight="1">
      <c r="AA3117"/>
    </row>
    <row r="3118" spans="27:27" ht="17.899999999999999" customHeight="1">
      <c r="AA3118"/>
    </row>
    <row r="3119" spans="27:27" ht="17.899999999999999" customHeight="1">
      <c r="AA3119"/>
    </row>
    <row r="3120" spans="27:27" ht="17.899999999999999" customHeight="1">
      <c r="AA3120"/>
    </row>
    <row r="3121" spans="27:27" ht="17.899999999999999" customHeight="1">
      <c r="AA3121"/>
    </row>
    <row r="3122" spans="27:27" ht="17.899999999999999" customHeight="1">
      <c r="AA3122"/>
    </row>
    <row r="3123" spans="27:27" ht="17.899999999999999" customHeight="1">
      <c r="AA3123"/>
    </row>
    <row r="3124" spans="27:27" ht="17.899999999999999" customHeight="1">
      <c r="AA3124"/>
    </row>
    <row r="3125" spans="27:27" ht="17.899999999999999" customHeight="1">
      <c r="AA3125"/>
    </row>
    <row r="3126" spans="27:27" ht="17.899999999999999" customHeight="1">
      <c r="AA3126"/>
    </row>
    <row r="3127" spans="27:27" ht="17.899999999999999" customHeight="1">
      <c r="AA3127"/>
    </row>
    <row r="3128" spans="27:27" ht="17.899999999999999" customHeight="1">
      <c r="AA3128"/>
    </row>
    <row r="3129" spans="27:27" ht="17.899999999999999" customHeight="1">
      <c r="AA3129"/>
    </row>
    <row r="3130" spans="27:27" ht="17.899999999999999" customHeight="1">
      <c r="AA3130"/>
    </row>
    <row r="3131" spans="27:27" ht="17.899999999999999" customHeight="1">
      <c r="AA3131"/>
    </row>
    <row r="3132" spans="27:27" ht="17.899999999999999" customHeight="1">
      <c r="AA3132"/>
    </row>
    <row r="3133" spans="27:27" ht="17.899999999999999" customHeight="1">
      <c r="AA3133"/>
    </row>
    <row r="3134" spans="27:27" ht="17.899999999999999" customHeight="1">
      <c r="AA3134"/>
    </row>
    <row r="3135" spans="27:27" ht="17.899999999999999" customHeight="1">
      <c r="AA3135"/>
    </row>
    <row r="3136" spans="27:27" ht="17.899999999999999" customHeight="1">
      <c r="AA3136"/>
    </row>
    <row r="3137" spans="27:27" ht="17.899999999999999" customHeight="1">
      <c r="AA3137"/>
    </row>
    <row r="3138" spans="27:27" ht="17.899999999999999" customHeight="1">
      <c r="AA3138"/>
    </row>
    <row r="3139" spans="27:27" ht="17.899999999999999" customHeight="1">
      <c r="AA3139"/>
    </row>
    <row r="3140" spans="27:27" ht="17.899999999999999" customHeight="1">
      <c r="AA3140"/>
    </row>
    <row r="3141" spans="27:27" ht="17.899999999999999" customHeight="1">
      <c r="AA3141"/>
    </row>
    <row r="3142" spans="27:27" ht="17.899999999999999" customHeight="1">
      <c r="AA3142"/>
    </row>
    <row r="3143" spans="27:27" ht="17.899999999999999" customHeight="1">
      <c r="AA3143"/>
    </row>
    <row r="3144" spans="27:27" ht="17.899999999999999" customHeight="1">
      <c r="AA3144"/>
    </row>
    <row r="3145" spans="27:27" ht="17.899999999999999" customHeight="1">
      <c r="AA3145"/>
    </row>
    <row r="3146" spans="27:27" ht="17.899999999999999" customHeight="1">
      <c r="AA3146"/>
    </row>
    <row r="3147" spans="27:27" ht="17.899999999999999" customHeight="1">
      <c r="AA3147"/>
    </row>
    <row r="3148" spans="27:27" ht="17.899999999999999" customHeight="1">
      <c r="AA3148"/>
    </row>
    <row r="3149" spans="27:27" ht="17.899999999999999" customHeight="1">
      <c r="AA3149"/>
    </row>
    <row r="3150" spans="27:27" ht="17.899999999999999" customHeight="1">
      <c r="AA3150"/>
    </row>
    <row r="3151" spans="27:27" ht="17.899999999999999" customHeight="1">
      <c r="AA3151"/>
    </row>
    <row r="3152" spans="27:27" ht="17.899999999999999" customHeight="1">
      <c r="AA3152"/>
    </row>
    <row r="3153" spans="27:27" ht="17.899999999999999" customHeight="1">
      <c r="AA3153"/>
    </row>
    <row r="3154" spans="27:27" ht="17.899999999999999" customHeight="1">
      <c r="AA3154"/>
    </row>
    <row r="3155" spans="27:27" ht="17.899999999999999" customHeight="1">
      <c r="AA3155"/>
    </row>
    <row r="3156" spans="27:27" ht="17.899999999999999" customHeight="1">
      <c r="AA3156"/>
    </row>
    <row r="3157" spans="27:27" ht="17.899999999999999" customHeight="1">
      <c r="AA3157"/>
    </row>
    <row r="3158" spans="27:27" ht="17.899999999999999" customHeight="1">
      <c r="AA3158"/>
    </row>
    <row r="3159" spans="27:27" ht="17.899999999999999" customHeight="1">
      <c r="AA3159"/>
    </row>
    <row r="3160" spans="27:27" ht="17.899999999999999" customHeight="1">
      <c r="AA3160"/>
    </row>
    <row r="3161" spans="27:27" ht="17.899999999999999" customHeight="1">
      <c r="AA3161"/>
    </row>
    <row r="3162" spans="27:27" ht="17.899999999999999" customHeight="1">
      <c r="AA3162"/>
    </row>
    <row r="3163" spans="27:27" ht="17.899999999999999" customHeight="1">
      <c r="AA3163"/>
    </row>
    <row r="3164" spans="27:27" ht="17.899999999999999" customHeight="1">
      <c r="AA3164"/>
    </row>
    <row r="3165" spans="27:27" ht="17.899999999999999" customHeight="1">
      <c r="AA3165"/>
    </row>
    <row r="3166" spans="27:27" ht="17.899999999999999" customHeight="1">
      <c r="AA3166"/>
    </row>
    <row r="3167" spans="27:27" ht="17.899999999999999" customHeight="1">
      <c r="AA3167"/>
    </row>
    <row r="3168" spans="27:27" ht="17.899999999999999" customHeight="1">
      <c r="AA3168"/>
    </row>
    <row r="3169" spans="27:27" ht="17.899999999999999" customHeight="1">
      <c r="AA3169"/>
    </row>
    <row r="3170" spans="27:27" ht="17.899999999999999" customHeight="1">
      <c r="AA3170"/>
    </row>
    <row r="3171" spans="27:27" ht="17.899999999999999" customHeight="1">
      <c r="AA3171"/>
    </row>
    <row r="3172" spans="27:27" ht="17.899999999999999" customHeight="1">
      <c r="AA3172"/>
    </row>
    <row r="3173" spans="27:27" ht="17.899999999999999" customHeight="1">
      <c r="AA3173"/>
    </row>
    <row r="3174" spans="27:27" ht="17.899999999999999" customHeight="1">
      <c r="AA3174"/>
    </row>
    <row r="3175" spans="27:27" ht="17.899999999999999" customHeight="1">
      <c r="AA3175"/>
    </row>
    <row r="3176" spans="27:27" ht="17.899999999999999" customHeight="1">
      <c r="AA3176"/>
    </row>
    <row r="3177" spans="27:27" ht="17.899999999999999" customHeight="1">
      <c r="AA3177"/>
    </row>
    <row r="3178" spans="27:27" ht="17.899999999999999" customHeight="1">
      <c r="AA3178"/>
    </row>
    <row r="3179" spans="27:27" ht="17.899999999999999" customHeight="1">
      <c r="AA3179"/>
    </row>
    <row r="3180" spans="27:27" ht="17.899999999999999" customHeight="1">
      <c r="AA3180"/>
    </row>
    <row r="3181" spans="27:27" ht="17.899999999999999" customHeight="1">
      <c r="AA3181"/>
    </row>
    <row r="3182" spans="27:27" ht="17.899999999999999" customHeight="1">
      <c r="AA3182"/>
    </row>
    <row r="3183" spans="27:27" ht="17.899999999999999" customHeight="1">
      <c r="AA3183"/>
    </row>
    <row r="3184" spans="27:27" ht="17.899999999999999" customHeight="1">
      <c r="AA3184"/>
    </row>
    <row r="3185" spans="27:27" ht="17.899999999999999" customHeight="1">
      <c r="AA3185"/>
    </row>
    <row r="3186" spans="27:27" ht="17.899999999999999" customHeight="1">
      <c r="AA3186"/>
    </row>
    <row r="3187" spans="27:27" ht="17.899999999999999" customHeight="1">
      <c r="AA3187"/>
    </row>
    <row r="3188" spans="27:27" ht="17.899999999999999" customHeight="1">
      <c r="AA3188"/>
    </row>
    <row r="3189" spans="27:27" ht="17.899999999999999" customHeight="1">
      <c r="AA3189"/>
    </row>
    <row r="3190" spans="27:27" ht="17.899999999999999" customHeight="1">
      <c r="AA3190"/>
    </row>
    <row r="3191" spans="27:27" ht="17.899999999999999" customHeight="1">
      <c r="AA3191"/>
    </row>
    <row r="3192" spans="27:27" ht="17.899999999999999" customHeight="1">
      <c r="AA3192"/>
    </row>
    <row r="3193" spans="27:27" ht="17.899999999999999" customHeight="1">
      <c r="AA3193"/>
    </row>
    <row r="3194" spans="27:27" ht="17.899999999999999" customHeight="1">
      <c r="AA3194"/>
    </row>
    <row r="3195" spans="27:27" ht="17.899999999999999" customHeight="1">
      <c r="AA3195"/>
    </row>
    <row r="3196" spans="27:27" ht="17.899999999999999" customHeight="1">
      <c r="AA3196"/>
    </row>
    <row r="3197" spans="27:27" ht="17.899999999999999" customHeight="1">
      <c r="AA3197"/>
    </row>
    <row r="3198" spans="27:27" ht="17.899999999999999" customHeight="1">
      <c r="AA3198"/>
    </row>
    <row r="3199" spans="27:27" ht="17.899999999999999" customHeight="1">
      <c r="AA3199"/>
    </row>
    <row r="3200" spans="27:27" ht="17.899999999999999" customHeight="1">
      <c r="AA3200"/>
    </row>
    <row r="3201" spans="27:27" ht="17.899999999999999" customHeight="1">
      <c r="AA3201"/>
    </row>
    <row r="3202" spans="27:27" ht="17.899999999999999" customHeight="1">
      <c r="AA3202"/>
    </row>
    <row r="3203" spans="27:27" ht="17.899999999999999" customHeight="1">
      <c r="AA3203"/>
    </row>
    <row r="3204" spans="27:27" ht="17.899999999999999" customHeight="1">
      <c r="AA3204"/>
    </row>
    <row r="3205" spans="27:27" ht="17.899999999999999" customHeight="1">
      <c r="AA3205"/>
    </row>
    <row r="3206" spans="27:27" ht="17.899999999999999" customHeight="1">
      <c r="AA3206"/>
    </row>
    <row r="3207" spans="27:27" ht="17.899999999999999" customHeight="1">
      <c r="AA3207"/>
    </row>
    <row r="3208" spans="27:27" ht="17.899999999999999" customHeight="1">
      <c r="AA3208"/>
    </row>
    <row r="3209" spans="27:27" ht="17.899999999999999" customHeight="1">
      <c r="AA3209"/>
    </row>
    <row r="3210" spans="27:27" ht="17.899999999999999" customHeight="1">
      <c r="AA3210"/>
    </row>
    <row r="3211" spans="27:27" ht="17.899999999999999" customHeight="1">
      <c r="AA3211"/>
    </row>
    <row r="3212" spans="27:27" ht="17.899999999999999" customHeight="1">
      <c r="AA3212"/>
    </row>
    <row r="3213" spans="27:27" ht="17.899999999999999" customHeight="1">
      <c r="AA3213"/>
    </row>
    <row r="3214" spans="27:27" ht="17.899999999999999" customHeight="1">
      <c r="AA3214"/>
    </row>
    <row r="3215" spans="27:27" ht="17.899999999999999" customHeight="1">
      <c r="AA3215"/>
    </row>
    <row r="3216" spans="27:27" ht="17.899999999999999" customHeight="1">
      <c r="AA3216"/>
    </row>
    <row r="3217" spans="27:27" ht="17.899999999999999" customHeight="1">
      <c r="AA3217"/>
    </row>
    <row r="3218" spans="27:27" ht="17.899999999999999" customHeight="1">
      <c r="AA3218"/>
    </row>
    <row r="3219" spans="27:27" ht="17.899999999999999" customHeight="1">
      <c r="AA3219"/>
    </row>
    <row r="3220" spans="27:27" ht="17.899999999999999" customHeight="1">
      <c r="AA3220"/>
    </row>
    <row r="3221" spans="27:27" ht="17.899999999999999" customHeight="1">
      <c r="AA3221"/>
    </row>
    <row r="3222" spans="27:27" ht="17.899999999999999" customHeight="1">
      <c r="AA3222"/>
    </row>
    <row r="3223" spans="27:27" ht="17.899999999999999" customHeight="1">
      <c r="AA3223"/>
    </row>
    <row r="3224" spans="27:27" ht="17.899999999999999" customHeight="1">
      <c r="AA3224"/>
    </row>
    <row r="3225" spans="27:27" ht="17.899999999999999" customHeight="1">
      <c r="AA3225"/>
    </row>
    <row r="3226" spans="27:27" ht="17.899999999999999" customHeight="1">
      <c r="AA3226"/>
    </row>
    <row r="3227" spans="27:27" ht="17.899999999999999" customHeight="1">
      <c r="AA3227"/>
    </row>
    <row r="3228" spans="27:27" ht="17.899999999999999" customHeight="1">
      <c r="AA3228"/>
    </row>
    <row r="3229" spans="27:27" ht="17.899999999999999" customHeight="1">
      <c r="AA3229"/>
    </row>
    <row r="3230" spans="27:27" ht="17.899999999999999" customHeight="1">
      <c r="AA3230"/>
    </row>
    <row r="3231" spans="27:27" ht="17.899999999999999" customHeight="1">
      <c r="AA3231"/>
    </row>
    <row r="3232" spans="27:27" ht="17.899999999999999" customHeight="1">
      <c r="AA3232"/>
    </row>
    <row r="3233" spans="27:27" ht="17.899999999999999" customHeight="1">
      <c r="AA3233"/>
    </row>
    <row r="3234" spans="27:27" ht="17.899999999999999" customHeight="1">
      <c r="AA3234"/>
    </row>
    <row r="3235" spans="27:27" ht="17.899999999999999" customHeight="1">
      <c r="AA3235"/>
    </row>
    <row r="3236" spans="27:27" ht="17.899999999999999" customHeight="1">
      <c r="AA3236"/>
    </row>
    <row r="3237" spans="27:27" ht="17.899999999999999" customHeight="1">
      <c r="AA3237"/>
    </row>
    <row r="3238" spans="27:27" ht="17.899999999999999" customHeight="1">
      <c r="AA3238"/>
    </row>
    <row r="3239" spans="27:27" ht="17.899999999999999" customHeight="1">
      <c r="AA3239"/>
    </row>
    <row r="3240" spans="27:27" ht="17.899999999999999" customHeight="1">
      <c r="AA3240"/>
    </row>
    <row r="3241" spans="27:27" ht="17.899999999999999" customHeight="1">
      <c r="AA3241"/>
    </row>
    <row r="3242" spans="27:27" ht="17.899999999999999" customHeight="1">
      <c r="AA3242"/>
    </row>
    <row r="3243" spans="27:27" ht="17.899999999999999" customHeight="1">
      <c r="AA3243"/>
    </row>
    <row r="3244" spans="27:27" ht="17.899999999999999" customHeight="1">
      <c r="AA3244"/>
    </row>
    <row r="3245" spans="27:27" ht="17.899999999999999" customHeight="1">
      <c r="AA3245"/>
    </row>
    <row r="3246" spans="27:27" ht="17.899999999999999" customHeight="1">
      <c r="AA3246"/>
    </row>
    <row r="3247" spans="27:27" ht="17.899999999999999" customHeight="1">
      <c r="AA3247"/>
    </row>
    <row r="3248" spans="27:27" ht="17.899999999999999" customHeight="1">
      <c r="AA3248"/>
    </row>
    <row r="3249" spans="27:27" ht="17.899999999999999" customHeight="1">
      <c r="AA3249"/>
    </row>
    <row r="3250" spans="27:27" ht="17.899999999999999" customHeight="1">
      <c r="AA3250"/>
    </row>
    <row r="3251" spans="27:27" ht="17.899999999999999" customHeight="1">
      <c r="AA3251"/>
    </row>
    <row r="3252" spans="27:27" ht="17.899999999999999" customHeight="1">
      <c r="AA3252"/>
    </row>
    <row r="3253" spans="27:27" ht="17.899999999999999" customHeight="1">
      <c r="AA3253"/>
    </row>
    <row r="3254" spans="27:27" ht="17.899999999999999" customHeight="1">
      <c r="AA3254"/>
    </row>
    <row r="3255" spans="27:27" ht="17.899999999999999" customHeight="1">
      <c r="AA3255"/>
    </row>
    <row r="3256" spans="27:27" ht="17.899999999999999" customHeight="1">
      <c r="AA3256"/>
    </row>
    <row r="3257" spans="27:27" ht="17.899999999999999" customHeight="1">
      <c r="AA3257"/>
    </row>
    <row r="3258" spans="27:27" ht="17.899999999999999" customHeight="1">
      <c r="AA3258"/>
    </row>
    <row r="3259" spans="27:27" ht="17.899999999999999" customHeight="1">
      <c r="AA3259"/>
    </row>
    <row r="3260" spans="27:27" ht="17.899999999999999" customHeight="1">
      <c r="AA3260"/>
    </row>
    <row r="3261" spans="27:27" ht="17.899999999999999" customHeight="1">
      <c r="AA3261"/>
    </row>
    <row r="3262" spans="27:27" ht="17.899999999999999" customHeight="1">
      <c r="AA3262"/>
    </row>
    <row r="3263" spans="27:27" ht="17.899999999999999" customHeight="1">
      <c r="AA3263"/>
    </row>
    <row r="3264" spans="27:27" ht="17.899999999999999" customHeight="1">
      <c r="AA3264"/>
    </row>
    <row r="3265" spans="27:27" ht="17.899999999999999" customHeight="1">
      <c r="AA3265"/>
    </row>
    <row r="3266" spans="27:27" ht="17.899999999999999" customHeight="1">
      <c r="AA3266"/>
    </row>
    <row r="3267" spans="27:27" ht="17.899999999999999" customHeight="1">
      <c r="AA3267"/>
    </row>
    <row r="3268" spans="27:27" ht="17.899999999999999" customHeight="1">
      <c r="AA3268"/>
    </row>
    <row r="3269" spans="27:27" ht="17.899999999999999" customHeight="1">
      <c r="AA3269"/>
    </row>
    <row r="3270" spans="27:27" ht="17.899999999999999" customHeight="1">
      <c r="AA3270"/>
    </row>
    <row r="3271" spans="27:27" ht="17.899999999999999" customHeight="1">
      <c r="AA3271"/>
    </row>
    <row r="3272" spans="27:27" ht="17.899999999999999" customHeight="1">
      <c r="AA3272"/>
    </row>
    <row r="3273" spans="27:27" ht="17.899999999999999" customHeight="1">
      <c r="AA3273"/>
    </row>
    <row r="3274" spans="27:27" ht="17.899999999999999" customHeight="1">
      <c r="AA3274"/>
    </row>
    <row r="3275" spans="27:27" ht="17.899999999999999" customHeight="1">
      <c r="AA3275"/>
    </row>
    <row r="3276" spans="27:27" ht="17.899999999999999" customHeight="1">
      <c r="AA3276"/>
    </row>
    <row r="3277" spans="27:27" ht="17.899999999999999" customHeight="1">
      <c r="AA3277"/>
    </row>
    <row r="3278" spans="27:27" ht="17.899999999999999" customHeight="1">
      <c r="AA3278"/>
    </row>
    <row r="3279" spans="27:27" ht="17.899999999999999" customHeight="1">
      <c r="AA3279"/>
    </row>
    <row r="3280" spans="27:27" ht="17.899999999999999" customHeight="1">
      <c r="AA3280"/>
    </row>
    <row r="3281" spans="27:27" ht="17.899999999999999" customHeight="1">
      <c r="AA3281"/>
    </row>
    <row r="3282" spans="27:27" ht="17.899999999999999" customHeight="1">
      <c r="AA3282"/>
    </row>
    <row r="3283" spans="27:27" ht="17.899999999999999" customHeight="1">
      <c r="AA3283"/>
    </row>
    <row r="3284" spans="27:27" ht="17.899999999999999" customHeight="1">
      <c r="AA3284"/>
    </row>
    <row r="3285" spans="27:27" ht="17.899999999999999" customHeight="1">
      <c r="AA3285"/>
    </row>
    <row r="3286" spans="27:27" ht="17.899999999999999" customHeight="1">
      <c r="AA3286"/>
    </row>
    <row r="3287" spans="27:27" ht="17.899999999999999" customHeight="1">
      <c r="AA3287"/>
    </row>
    <row r="3288" spans="27:27" ht="17.899999999999999" customHeight="1">
      <c r="AA3288"/>
    </row>
    <row r="3289" spans="27:27" ht="17.899999999999999" customHeight="1">
      <c r="AA3289"/>
    </row>
    <row r="3290" spans="27:27" ht="17.899999999999999" customHeight="1">
      <c r="AA3290"/>
    </row>
    <row r="3291" spans="27:27" ht="17.899999999999999" customHeight="1">
      <c r="AA3291"/>
    </row>
    <row r="3292" spans="27:27" ht="17.899999999999999" customHeight="1">
      <c r="AA3292"/>
    </row>
    <row r="3293" spans="27:27" ht="17.899999999999999" customHeight="1">
      <c r="AA3293"/>
    </row>
    <row r="3294" spans="27:27" ht="17.899999999999999" customHeight="1">
      <c r="AA3294"/>
    </row>
    <row r="3295" spans="27:27" ht="17.899999999999999" customHeight="1">
      <c r="AA3295"/>
    </row>
    <row r="3296" spans="27:27" ht="17.899999999999999" customHeight="1">
      <c r="AA3296"/>
    </row>
    <row r="3297" spans="27:27" ht="17.899999999999999" customHeight="1">
      <c r="AA3297"/>
    </row>
    <row r="3298" spans="27:27" ht="17.899999999999999" customHeight="1">
      <c r="AA3298"/>
    </row>
    <row r="3299" spans="27:27" ht="17.899999999999999" customHeight="1">
      <c r="AA3299"/>
    </row>
    <row r="3300" spans="27:27" ht="17.899999999999999" customHeight="1">
      <c r="AA3300"/>
    </row>
    <row r="3301" spans="27:27" ht="17.899999999999999" customHeight="1">
      <c r="AA3301"/>
    </row>
    <row r="3302" spans="27:27" ht="17.899999999999999" customHeight="1">
      <c r="AA3302"/>
    </row>
    <row r="3303" spans="27:27" ht="17.899999999999999" customHeight="1">
      <c r="AA3303"/>
    </row>
    <row r="3304" spans="27:27" ht="17.899999999999999" customHeight="1">
      <c r="AA3304"/>
    </row>
    <row r="3305" spans="27:27" ht="17.899999999999999" customHeight="1">
      <c r="AA3305"/>
    </row>
    <row r="3306" spans="27:27" ht="17.899999999999999" customHeight="1">
      <c r="AA3306"/>
    </row>
    <row r="3307" spans="27:27" ht="17.899999999999999" customHeight="1">
      <c r="AA3307"/>
    </row>
    <row r="3308" spans="27:27" ht="17.899999999999999" customHeight="1">
      <c r="AA3308"/>
    </row>
    <row r="3309" spans="27:27" ht="17.899999999999999" customHeight="1">
      <c r="AA3309"/>
    </row>
    <row r="3310" spans="27:27" ht="17.899999999999999" customHeight="1">
      <c r="AA3310"/>
    </row>
    <row r="3311" spans="27:27" ht="17.899999999999999" customHeight="1">
      <c r="AA3311"/>
    </row>
    <row r="3312" spans="27:27" ht="17.899999999999999" customHeight="1">
      <c r="AA3312"/>
    </row>
    <row r="3313" spans="27:27" ht="17.899999999999999" customHeight="1">
      <c r="AA3313"/>
    </row>
    <row r="3314" spans="27:27" ht="17.899999999999999" customHeight="1">
      <c r="AA3314"/>
    </row>
    <row r="3315" spans="27:27" ht="17.899999999999999" customHeight="1">
      <c r="AA3315"/>
    </row>
    <row r="3316" spans="27:27" ht="17.899999999999999" customHeight="1">
      <c r="AA3316"/>
    </row>
    <row r="3317" spans="27:27" ht="17.899999999999999" customHeight="1">
      <c r="AA3317"/>
    </row>
    <row r="3318" spans="27:27" ht="17.899999999999999" customHeight="1">
      <c r="AA3318"/>
    </row>
    <row r="3319" spans="27:27" ht="17.899999999999999" customHeight="1">
      <c r="AA3319"/>
    </row>
    <row r="3320" spans="27:27" ht="17.899999999999999" customHeight="1">
      <c r="AA3320"/>
    </row>
    <row r="3321" spans="27:27" ht="17.899999999999999" customHeight="1">
      <c r="AA3321"/>
    </row>
    <row r="3322" spans="27:27" ht="17.899999999999999" customHeight="1">
      <c r="AA3322"/>
    </row>
    <row r="3323" spans="27:27" ht="17.899999999999999" customHeight="1">
      <c r="AA3323"/>
    </row>
    <row r="3324" spans="27:27" ht="17.899999999999999" customHeight="1">
      <c r="AA3324"/>
    </row>
    <row r="3325" spans="27:27" ht="17.899999999999999" customHeight="1">
      <c r="AA3325"/>
    </row>
    <row r="3326" spans="27:27" ht="17.899999999999999" customHeight="1">
      <c r="AA3326"/>
    </row>
    <row r="3327" spans="27:27" ht="17.899999999999999" customHeight="1">
      <c r="AA3327"/>
    </row>
    <row r="3328" spans="27:27" ht="17.899999999999999" customHeight="1">
      <c r="AA3328"/>
    </row>
    <row r="3329" spans="27:27" ht="17.899999999999999" customHeight="1">
      <c r="AA3329"/>
    </row>
    <row r="3330" spans="27:27" ht="17.899999999999999" customHeight="1">
      <c r="AA3330"/>
    </row>
    <row r="3331" spans="27:27" ht="17.899999999999999" customHeight="1">
      <c r="AA3331"/>
    </row>
    <row r="3332" spans="27:27" ht="17.899999999999999" customHeight="1">
      <c r="AA3332"/>
    </row>
    <row r="3333" spans="27:27" ht="17.899999999999999" customHeight="1">
      <c r="AA3333"/>
    </row>
    <row r="3334" spans="27:27" ht="17.899999999999999" customHeight="1">
      <c r="AA3334"/>
    </row>
    <row r="3335" spans="27:27" ht="17.899999999999999" customHeight="1">
      <c r="AA3335"/>
    </row>
    <row r="3336" spans="27:27" ht="17.899999999999999" customHeight="1">
      <c r="AA3336"/>
    </row>
    <row r="3337" spans="27:27" ht="17.899999999999999" customHeight="1">
      <c r="AA3337"/>
    </row>
    <row r="3338" spans="27:27" ht="17.899999999999999" customHeight="1">
      <c r="AA3338"/>
    </row>
    <row r="3339" spans="27:27" ht="17.899999999999999" customHeight="1">
      <c r="AA3339"/>
    </row>
    <row r="3340" spans="27:27" ht="17.899999999999999" customHeight="1">
      <c r="AA3340"/>
    </row>
    <row r="3341" spans="27:27" ht="17.899999999999999" customHeight="1">
      <c r="AA3341"/>
    </row>
    <row r="3342" spans="27:27" ht="17.899999999999999" customHeight="1">
      <c r="AA3342"/>
    </row>
    <row r="3343" spans="27:27" ht="17.899999999999999" customHeight="1">
      <c r="AA3343"/>
    </row>
    <row r="3344" spans="27:27" ht="17.899999999999999" customHeight="1">
      <c r="AA3344"/>
    </row>
    <row r="3345" spans="27:27" ht="17.899999999999999" customHeight="1">
      <c r="AA3345"/>
    </row>
    <row r="3346" spans="27:27" ht="17.899999999999999" customHeight="1">
      <c r="AA3346"/>
    </row>
    <row r="3347" spans="27:27" ht="17.899999999999999" customHeight="1">
      <c r="AA3347"/>
    </row>
    <row r="3348" spans="27:27" ht="17.899999999999999" customHeight="1">
      <c r="AA3348"/>
    </row>
    <row r="3349" spans="27:27" ht="17.899999999999999" customHeight="1">
      <c r="AA3349"/>
    </row>
    <row r="3350" spans="27:27" ht="17.899999999999999" customHeight="1">
      <c r="AA3350"/>
    </row>
    <row r="3351" spans="27:27" ht="17.899999999999999" customHeight="1">
      <c r="AA3351"/>
    </row>
    <row r="3352" spans="27:27" ht="17.899999999999999" customHeight="1">
      <c r="AA3352"/>
    </row>
    <row r="3353" spans="27:27" ht="17.899999999999999" customHeight="1">
      <c r="AA3353"/>
    </row>
    <row r="3354" spans="27:27" ht="17.899999999999999" customHeight="1">
      <c r="AA3354"/>
    </row>
    <row r="3355" spans="27:27" ht="17.899999999999999" customHeight="1">
      <c r="AA3355"/>
    </row>
    <row r="3356" spans="27:27" ht="17.899999999999999" customHeight="1">
      <c r="AA3356"/>
    </row>
    <row r="3357" spans="27:27" ht="17.899999999999999" customHeight="1">
      <c r="AA3357"/>
    </row>
    <row r="3358" spans="27:27" ht="17.899999999999999" customHeight="1">
      <c r="AA3358"/>
    </row>
    <row r="3359" spans="27:27" ht="17.899999999999999" customHeight="1">
      <c r="AA3359"/>
    </row>
    <row r="3360" spans="27:27" ht="17.899999999999999" customHeight="1">
      <c r="AA3360"/>
    </row>
    <row r="3361" spans="27:27" ht="17.899999999999999" customHeight="1">
      <c r="AA3361"/>
    </row>
    <row r="3362" spans="27:27" ht="17.899999999999999" customHeight="1">
      <c r="AA3362"/>
    </row>
    <row r="3363" spans="27:27" ht="17.899999999999999" customHeight="1">
      <c r="AA3363"/>
    </row>
    <row r="3364" spans="27:27" ht="17.899999999999999" customHeight="1">
      <c r="AA3364"/>
    </row>
    <row r="3365" spans="27:27" ht="17.899999999999999" customHeight="1">
      <c r="AA3365"/>
    </row>
    <row r="3366" spans="27:27" ht="17.899999999999999" customHeight="1">
      <c r="AA3366"/>
    </row>
    <row r="3367" spans="27:27" ht="17.899999999999999" customHeight="1">
      <c r="AA3367"/>
    </row>
    <row r="3368" spans="27:27" ht="17.899999999999999" customHeight="1">
      <c r="AA3368"/>
    </row>
    <row r="3369" spans="27:27" ht="17.899999999999999" customHeight="1">
      <c r="AA3369"/>
    </row>
    <row r="3370" spans="27:27" ht="17.899999999999999" customHeight="1">
      <c r="AA3370"/>
    </row>
    <row r="3371" spans="27:27" ht="17.899999999999999" customHeight="1">
      <c r="AA3371"/>
    </row>
    <row r="3372" spans="27:27" ht="17.899999999999999" customHeight="1">
      <c r="AA3372"/>
    </row>
    <row r="3373" spans="27:27" ht="17.899999999999999" customHeight="1">
      <c r="AA3373"/>
    </row>
    <row r="3374" spans="27:27" ht="17.899999999999999" customHeight="1">
      <c r="AA3374"/>
    </row>
    <row r="3375" spans="27:27" ht="17.899999999999999" customHeight="1">
      <c r="AA3375"/>
    </row>
    <row r="3376" spans="27:27" ht="17.899999999999999" customHeight="1">
      <c r="AA3376"/>
    </row>
    <row r="3377" spans="27:27" ht="17.899999999999999" customHeight="1">
      <c r="AA3377"/>
    </row>
    <row r="3378" spans="27:27" ht="17.899999999999999" customHeight="1">
      <c r="AA3378"/>
    </row>
    <row r="3379" spans="27:27" ht="17.899999999999999" customHeight="1">
      <c r="AA3379"/>
    </row>
    <row r="3380" spans="27:27" ht="17.899999999999999" customHeight="1">
      <c r="AA3380"/>
    </row>
    <row r="3381" spans="27:27" ht="17.899999999999999" customHeight="1">
      <c r="AA3381"/>
    </row>
    <row r="3382" spans="27:27" ht="17.899999999999999" customHeight="1">
      <c r="AA3382"/>
    </row>
    <row r="3383" spans="27:27" ht="17.899999999999999" customHeight="1">
      <c r="AA3383"/>
    </row>
    <row r="3384" spans="27:27" ht="17.899999999999999" customHeight="1">
      <c r="AA3384"/>
    </row>
    <row r="3385" spans="27:27" ht="17.899999999999999" customHeight="1">
      <c r="AA3385"/>
    </row>
    <row r="3386" spans="27:27" ht="17.899999999999999" customHeight="1">
      <c r="AA3386"/>
    </row>
    <row r="3387" spans="27:27" ht="17.899999999999999" customHeight="1">
      <c r="AA3387"/>
    </row>
    <row r="3388" spans="27:27" ht="17.899999999999999" customHeight="1">
      <c r="AA3388"/>
    </row>
    <row r="3389" spans="27:27" ht="17.899999999999999" customHeight="1">
      <c r="AA3389"/>
    </row>
    <row r="3390" spans="27:27" ht="17.899999999999999" customHeight="1">
      <c r="AA3390"/>
    </row>
    <row r="3391" spans="27:27" ht="17.899999999999999" customHeight="1">
      <c r="AA3391"/>
    </row>
    <row r="3392" spans="27:27" ht="17.899999999999999" customHeight="1">
      <c r="AA3392"/>
    </row>
    <row r="3393" spans="27:27" ht="17.899999999999999" customHeight="1">
      <c r="AA3393"/>
    </row>
    <row r="3394" spans="27:27" ht="17.899999999999999" customHeight="1">
      <c r="AA3394"/>
    </row>
    <row r="3395" spans="27:27" ht="17.899999999999999" customHeight="1">
      <c r="AA3395"/>
    </row>
    <row r="3396" spans="27:27" ht="17.899999999999999" customHeight="1">
      <c r="AA3396"/>
    </row>
    <row r="3397" spans="27:27" ht="17.899999999999999" customHeight="1">
      <c r="AA3397"/>
    </row>
    <row r="3398" spans="27:27" ht="17.899999999999999" customHeight="1">
      <c r="AA3398"/>
    </row>
    <row r="3399" spans="27:27" ht="17.899999999999999" customHeight="1">
      <c r="AA3399"/>
    </row>
    <row r="3400" spans="27:27" ht="17.899999999999999" customHeight="1">
      <c r="AA3400"/>
    </row>
    <row r="3401" spans="27:27" ht="17.899999999999999" customHeight="1">
      <c r="AA3401"/>
    </row>
    <row r="3402" spans="27:27" ht="17.899999999999999" customHeight="1">
      <c r="AA3402"/>
    </row>
    <row r="3403" spans="27:27" ht="17.899999999999999" customHeight="1">
      <c r="AA3403"/>
    </row>
    <row r="3404" spans="27:27" ht="17.899999999999999" customHeight="1">
      <c r="AA3404"/>
    </row>
    <row r="3405" spans="27:27" ht="17.899999999999999" customHeight="1">
      <c r="AA3405"/>
    </row>
    <row r="3406" spans="27:27" ht="17.899999999999999" customHeight="1">
      <c r="AA3406"/>
    </row>
    <row r="3407" spans="27:27" ht="17.899999999999999" customHeight="1">
      <c r="AA3407"/>
    </row>
    <row r="3408" spans="27:27" ht="17.899999999999999" customHeight="1">
      <c r="AA3408"/>
    </row>
    <row r="3409" spans="27:27" ht="17.899999999999999" customHeight="1">
      <c r="AA3409"/>
    </row>
    <row r="3410" spans="27:27" ht="17.899999999999999" customHeight="1">
      <c r="AA3410"/>
    </row>
    <row r="3411" spans="27:27" ht="17.899999999999999" customHeight="1">
      <c r="AA3411"/>
    </row>
    <row r="3412" spans="27:27" ht="17.899999999999999" customHeight="1">
      <c r="AA3412"/>
    </row>
    <row r="3413" spans="27:27" ht="17.899999999999999" customHeight="1">
      <c r="AA3413"/>
    </row>
    <row r="3414" spans="27:27" ht="17.899999999999999" customHeight="1">
      <c r="AA3414"/>
    </row>
    <row r="3415" spans="27:27" ht="17.899999999999999" customHeight="1">
      <c r="AA3415"/>
    </row>
    <row r="3416" spans="27:27" ht="17.899999999999999" customHeight="1">
      <c r="AA3416"/>
    </row>
    <row r="3417" spans="27:27" ht="17.899999999999999" customHeight="1">
      <c r="AA3417"/>
    </row>
    <row r="3418" spans="27:27" ht="17.899999999999999" customHeight="1">
      <c r="AA3418"/>
    </row>
    <row r="3419" spans="27:27" ht="17.899999999999999" customHeight="1">
      <c r="AA3419"/>
    </row>
    <row r="3420" spans="27:27" ht="17.899999999999999" customHeight="1">
      <c r="AA3420"/>
    </row>
    <row r="3421" spans="27:27" ht="17.899999999999999" customHeight="1">
      <c r="AA3421"/>
    </row>
    <row r="3422" spans="27:27" ht="17.899999999999999" customHeight="1">
      <c r="AA3422"/>
    </row>
    <row r="3423" spans="27:27" ht="17.899999999999999" customHeight="1">
      <c r="AA3423"/>
    </row>
    <row r="3424" spans="27:27" ht="17.899999999999999" customHeight="1">
      <c r="AA3424"/>
    </row>
    <row r="3425" spans="27:27" ht="17.899999999999999" customHeight="1">
      <c r="AA3425"/>
    </row>
    <row r="3426" spans="27:27" ht="17.899999999999999" customHeight="1">
      <c r="AA3426"/>
    </row>
    <row r="3427" spans="27:27" ht="17.899999999999999" customHeight="1">
      <c r="AA3427"/>
    </row>
    <row r="3428" spans="27:27" ht="17.899999999999999" customHeight="1">
      <c r="AA3428"/>
    </row>
    <row r="3429" spans="27:27" ht="17.899999999999999" customHeight="1">
      <c r="AA3429"/>
    </row>
    <row r="3430" spans="27:27" ht="17.899999999999999" customHeight="1">
      <c r="AA3430"/>
    </row>
    <row r="3431" spans="27:27" ht="17.899999999999999" customHeight="1">
      <c r="AA3431"/>
    </row>
    <row r="3432" spans="27:27" ht="17.899999999999999" customHeight="1">
      <c r="AA3432"/>
    </row>
    <row r="3433" spans="27:27" ht="17.899999999999999" customHeight="1">
      <c r="AA3433"/>
    </row>
    <row r="3434" spans="27:27" ht="17.899999999999999" customHeight="1">
      <c r="AA3434"/>
    </row>
    <row r="3435" spans="27:27" ht="17.899999999999999" customHeight="1">
      <c r="AA3435"/>
    </row>
    <row r="3436" spans="27:27" ht="17.899999999999999" customHeight="1">
      <c r="AA3436"/>
    </row>
    <row r="3437" spans="27:27" ht="17.899999999999999" customHeight="1">
      <c r="AA3437"/>
    </row>
    <row r="3438" spans="27:27" ht="17.899999999999999" customHeight="1">
      <c r="AA3438"/>
    </row>
    <row r="3439" spans="27:27" ht="17.899999999999999" customHeight="1">
      <c r="AA3439"/>
    </row>
    <row r="3440" spans="27:27" ht="17.899999999999999" customHeight="1">
      <c r="AA3440"/>
    </row>
    <row r="3441" spans="27:27" ht="17.899999999999999" customHeight="1">
      <c r="AA3441"/>
    </row>
    <row r="3442" spans="27:27" ht="17.899999999999999" customHeight="1">
      <c r="AA3442"/>
    </row>
    <row r="3443" spans="27:27" ht="17.899999999999999" customHeight="1">
      <c r="AA3443"/>
    </row>
    <row r="3444" spans="27:27" ht="17.899999999999999" customHeight="1">
      <c r="AA3444"/>
    </row>
    <row r="3445" spans="27:27" ht="17.899999999999999" customHeight="1">
      <c r="AA3445"/>
    </row>
    <row r="3446" spans="27:27" ht="17.899999999999999" customHeight="1">
      <c r="AA3446"/>
    </row>
    <row r="3447" spans="27:27" ht="17.899999999999999" customHeight="1">
      <c r="AA3447"/>
    </row>
    <row r="3448" spans="27:27" ht="17.899999999999999" customHeight="1">
      <c r="AA3448"/>
    </row>
    <row r="3449" spans="27:27" ht="17.899999999999999" customHeight="1">
      <c r="AA3449"/>
    </row>
    <row r="3450" spans="27:27" ht="17.899999999999999" customHeight="1">
      <c r="AA3450"/>
    </row>
    <row r="3451" spans="27:27" ht="17.899999999999999" customHeight="1">
      <c r="AA3451"/>
    </row>
    <row r="3452" spans="27:27" ht="17.899999999999999" customHeight="1">
      <c r="AA3452"/>
    </row>
    <row r="3453" spans="27:27" ht="17.899999999999999" customHeight="1">
      <c r="AA3453"/>
    </row>
    <row r="3454" spans="27:27" ht="17.899999999999999" customHeight="1">
      <c r="AA3454"/>
    </row>
    <row r="3455" spans="27:27" ht="17.899999999999999" customHeight="1">
      <c r="AA3455"/>
    </row>
    <row r="3456" spans="27:27" ht="17.899999999999999" customHeight="1">
      <c r="AA3456"/>
    </row>
    <row r="3457" spans="27:27" ht="17.899999999999999" customHeight="1">
      <c r="AA3457"/>
    </row>
    <row r="3458" spans="27:27" ht="17.899999999999999" customHeight="1">
      <c r="AA3458"/>
    </row>
    <row r="3459" spans="27:27" ht="17.899999999999999" customHeight="1">
      <c r="AA3459"/>
    </row>
    <row r="3460" spans="27:27" ht="17.899999999999999" customHeight="1">
      <c r="AA3460"/>
    </row>
    <row r="3461" spans="27:27" ht="17.899999999999999" customHeight="1">
      <c r="AA3461"/>
    </row>
    <row r="3462" spans="27:27" ht="17.899999999999999" customHeight="1">
      <c r="AA3462"/>
    </row>
    <row r="3463" spans="27:27" ht="17.899999999999999" customHeight="1">
      <c r="AA3463"/>
    </row>
    <row r="3464" spans="27:27" ht="17.899999999999999" customHeight="1">
      <c r="AA3464"/>
    </row>
    <row r="3465" spans="27:27" ht="17.899999999999999" customHeight="1">
      <c r="AA3465"/>
    </row>
    <row r="3466" spans="27:27" ht="17.899999999999999" customHeight="1">
      <c r="AA3466"/>
    </row>
    <row r="3467" spans="27:27" ht="17.899999999999999" customHeight="1">
      <c r="AA3467"/>
    </row>
    <row r="3468" spans="27:27" ht="17.899999999999999" customHeight="1">
      <c r="AA3468"/>
    </row>
    <row r="3469" spans="27:27" ht="17.899999999999999" customHeight="1">
      <c r="AA3469"/>
    </row>
    <row r="3470" spans="27:27" ht="17.899999999999999" customHeight="1">
      <c r="AA3470"/>
    </row>
    <row r="3471" spans="27:27" ht="17.899999999999999" customHeight="1">
      <c r="AA3471"/>
    </row>
    <row r="3472" spans="27:27" ht="17.899999999999999" customHeight="1">
      <c r="AA3472"/>
    </row>
    <row r="3473" spans="27:27" ht="17.899999999999999" customHeight="1">
      <c r="AA3473"/>
    </row>
    <row r="3474" spans="27:27" ht="17.899999999999999" customHeight="1">
      <c r="AA3474"/>
    </row>
    <row r="3475" spans="27:27" ht="17.899999999999999" customHeight="1">
      <c r="AA3475"/>
    </row>
    <row r="3476" spans="27:27" ht="17.899999999999999" customHeight="1">
      <c r="AA3476"/>
    </row>
    <row r="3477" spans="27:27" ht="17.899999999999999" customHeight="1">
      <c r="AA3477"/>
    </row>
    <row r="3478" spans="27:27" ht="17.899999999999999" customHeight="1">
      <c r="AA3478"/>
    </row>
    <row r="3479" spans="27:27" ht="17.899999999999999" customHeight="1">
      <c r="AA3479"/>
    </row>
    <row r="3480" spans="27:27" ht="17.899999999999999" customHeight="1">
      <c r="AA3480"/>
    </row>
    <row r="3481" spans="27:27" ht="17.899999999999999" customHeight="1">
      <c r="AA3481"/>
    </row>
    <row r="3482" spans="27:27" ht="17.899999999999999" customHeight="1">
      <c r="AA3482"/>
    </row>
    <row r="3483" spans="27:27" ht="17.899999999999999" customHeight="1">
      <c r="AA3483"/>
    </row>
    <row r="3484" spans="27:27" ht="17.899999999999999" customHeight="1">
      <c r="AA3484"/>
    </row>
    <row r="3485" spans="27:27" ht="17.899999999999999" customHeight="1">
      <c r="AA3485"/>
    </row>
    <row r="3486" spans="27:27" ht="17.899999999999999" customHeight="1">
      <c r="AA3486"/>
    </row>
    <row r="3487" spans="27:27" ht="17.899999999999999" customHeight="1">
      <c r="AA3487"/>
    </row>
    <row r="3488" spans="27:27" ht="17.899999999999999" customHeight="1">
      <c r="AA3488"/>
    </row>
    <row r="3489" spans="27:27" ht="17.899999999999999" customHeight="1">
      <c r="AA3489"/>
    </row>
    <row r="3490" spans="27:27" ht="17.899999999999999" customHeight="1">
      <c r="AA3490"/>
    </row>
    <row r="3491" spans="27:27" ht="17.899999999999999" customHeight="1">
      <c r="AA3491"/>
    </row>
    <row r="3492" spans="27:27" ht="17.899999999999999" customHeight="1">
      <c r="AA3492"/>
    </row>
    <row r="3493" spans="27:27" ht="17.899999999999999" customHeight="1">
      <c r="AA3493"/>
    </row>
    <row r="3494" spans="27:27" ht="17.899999999999999" customHeight="1">
      <c r="AA3494"/>
    </row>
    <row r="3495" spans="27:27" ht="17.899999999999999" customHeight="1">
      <c r="AA3495"/>
    </row>
    <row r="3496" spans="27:27" ht="17.899999999999999" customHeight="1">
      <c r="AA3496"/>
    </row>
    <row r="3497" spans="27:27" ht="17.899999999999999" customHeight="1">
      <c r="AA3497"/>
    </row>
    <row r="3498" spans="27:27" ht="17.899999999999999" customHeight="1">
      <c r="AA3498"/>
    </row>
    <row r="3499" spans="27:27" ht="17.899999999999999" customHeight="1">
      <c r="AA3499"/>
    </row>
    <row r="3500" spans="27:27" ht="17.899999999999999" customHeight="1">
      <c r="AA3500"/>
    </row>
    <row r="3501" spans="27:27" ht="17.899999999999999" customHeight="1">
      <c r="AA3501"/>
    </row>
    <row r="3502" spans="27:27" ht="17.899999999999999" customHeight="1">
      <c r="AA3502"/>
    </row>
    <row r="3503" spans="27:27" ht="17.899999999999999" customHeight="1">
      <c r="AA3503"/>
    </row>
    <row r="3504" spans="27:27" ht="17.899999999999999" customHeight="1">
      <c r="AA3504"/>
    </row>
    <row r="3505" spans="27:27" ht="17.899999999999999" customHeight="1">
      <c r="AA3505"/>
    </row>
    <row r="3506" spans="27:27" ht="17.899999999999999" customHeight="1">
      <c r="AA3506"/>
    </row>
    <row r="3507" spans="27:27" ht="17.899999999999999" customHeight="1">
      <c r="AA3507"/>
    </row>
    <row r="3508" spans="27:27" ht="17.899999999999999" customHeight="1">
      <c r="AA3508"/>
    </row>
    <row r="3509" spans="27:27" ht="17.899999999999999" customHeight="1">
      <c r="AA3509"/>
    </row>
    <row r="3510" spans="27:27" ht="17.899999999999999" customHeight="1">
      <c r="AA3510"/>
    </row>
    <row r="3511" spans="27:27" ht="17.899999999999999" customHeight="1">
      <c r="AA3511"/>
    </row>
    <row r="3512" spans="27:27" ht="17.899999999999999" customHeight="1">
      <c r="AA3512"/>
    </row>
    <row r="3513" spans="27:27" ht="17.899999999999999" customHeight="1">
      <c r="AA3513"/>
    </row>
    <row r="3514" spans="27:27" ht="17.899999999999999" customHeight="1">
      <c r="AA3514"/>
    </row>
    <row r="3515" spans="27:27" ht="17.899999999999999" customHeight="1">
      <c r="AA3515"/>
    </row>
    <row r="3516" spans="27:27" ht="17.899999999999999" customHeight="1">
      <c r="AA3516"/>
    </row>
    <row r="3517" spans="27:27" ht="17.899999999999999" customHeight="1">
      <c r="AA3517"/>
    </row>
    <row r="3518" spans="27:27" ht="17.899999999999999" customHeight="1">
      <c r="AA3518"/>
    </row>
    <row r="3519" spans="27:27" ht="17.899999999999999" customHeight="1">
      <c r="AA3519"/>
    </row>
    <row r="3520" spans="27:27" ht="17.899999999999999" customHeight="1">
      <c r="AA3520"/>
    </row>
    <row r="3521" spans="27:27" ht="17.899999999999999" customHeight="1">
      <c r="AA3521"/>
    </row>
    <row r="3522" spans="27:27" ht="17.899999999999999" customHeight="1">
      <c r="AA3522"/>
    </row>
    <row r="3523" spans="27:27" ht="17.899999999999999" customHeight="1">
      <c r="AA3523"/>
    </row>
    <row r="3524" spans="27:27" ht="17.899999999999999" customHeight="1">
      <c r="AA3524"/>
    </row>
    <row r="3525" spans="27:27" ht="17.899999999999999" customHeight="1">
      <c r="AA3525"/>
    </row>
    <row r="3526" spans="27:27" ht="17.899999999999999" customHeight="1">
      <c r="AA3526"/>
    </row>
    <row r="3527" spans="27:27" ht="17.899999999999999" customHeight="1">
      <c r="AA3527"/>
    </row>
    <row r="3528" spans="27:27" ht="17.899999999999999" customHeight="1">
      <c r="AA3528"/>
    </row>
    <row r="3529" spans="27:27" ht="17.899999999999999" customHeight="1">
      <c r="AA3529"/>
    </row>
    <row r="3530" spans="27:27" ht="17.899999999999999" customHeight="1">
      <c r="AA3530"/>
    </row>
    <row r="3531" spans="27:27" ht="17.899999999999999" customHeight="1">
      <c r="AA3531"/>
    </row>
    <row r="3532" spans="27:27" ht="17.899999999999999" customHeight="1">
      <c r="AA3532"/>
    </row>
    <row r="3533" spans="27:27" ht="17.899999999999999" customHeight="1">
      <c r="AA3533"/>
    </row>
    <row r="3534" spans="27:27" ht="17.899999999999999" customHeight="1">
      <c r="AA3534"/>
    </row>
    <row r="3535" spans="27:27" ht="17.899999999999999" customHeight="1">
      <c r="AA3535"/>
    </row>
    <row r="3536" spans="27:27" ht="17.899999999999999" customHeight="1">
      <c r="AA3536"/>
    </row>
    <row r="3537" spans="27:27" ht="17.899999999999999" customHeight="1">
      <c r="AA3537"/>
    </row>
    <row r="3538" spans="27:27" ht="17.899999999999999" customHeight="1">
      <c r="AA3538"/>
    </row>
    <row r="3539" spans="27:27" ht="17.899999999999999" customHeight="1">
      <c r="AA3539"/>
    </row>
    <row r="3540" spans="27:27" ht="17.899999999999999" customHeight="1">
      <c r="AA3540"/>
    </row>
    <row r="3541" spans="27:27" ht="17.899999999999999" customHeight="1">
      <c r="AA3541"/>
    </row>
    <row r="3542" spans="27:27" ht="17.899999999999999" customHeight="1">
      <c r="AA3542"/>
    </row>
    <row r="3543" spans="27:27" ht="17.899999999999999" customHeight="1">
      <c r="AA3543"/>
    </row>
    <row r="3544" spans="27:27" ht="17.899999999999999" customHeight="1">
      <c r="AA3544"/>
    </row>
    <row r="3545" spans="27:27" ht="17.899999999999999" customHeight="1">
      <c r="AA3545"/>
    </row>
    <row r="3546" spans="27:27" ht="17.899999999999999" customHeight="1">
      <c r="AA3546"/>
    </row>
    <row r="3547" spans="27:27" ht="17.899999999999999" customHeight="1">
      <c r="AA3547"/>
    </row>
    <row r="3548" spans="27:27" ht="17.899999999999999" customHeight="1">
      <c r="AA3548"/>
    </row>
    <row r="3549" spans="27:27" ht="17.899999999999999" customHeight="1">
      <c r="AA3549"/>
    </row>
    <row r="3550" spans="27:27" ht="17.899999999999999" customHeight="1">
      <c r="AA3550"/>
    </row>
    <row r="3551" spans="27:27" ht="17.899999999999999" customHeight="1">
      <c r="AA3551"/>
    </row>
    <row r="3552" spans="27:27" ht="17.899999999999999" customHeight="1">
      <c r="AA3552"/>
    </row>
    <row r="3553" spans="27:27" ht="17.899999999999999" customHeight="1">
      <c r="AA3553"/>
    </row>
    <row r="3554" spans="27:27" ht="17.899999999999999" customHeight="1">
      <c r="AA3554"/>
    </row>
    <row r="3555" spans="27:27" ht="17.899999999999999" customHeight="1">
      <c r="AA3555"/>
    </row>
    <row r="3556" spans="27:27" ht="17.899999999999999" customHeight="1">
      <c r="AA3556"/>
    </row>
    <row r="3557" spans="27:27" ht="17.899999999999999" customHeight="1">
      <c r="AA3557"/>
    </row>
    <row r="3558" spans="27:27" ht="17.899999999999999" customHeight="1">
      <c r="AA3558"/>
    </row>
    <row r="3559" spans="27:27" ht="17.899999999999999" customHeight="1">
      <c r="AA3559"/>
    </row>
    <row r="3560" spans="27:27" ht="17.899999999999999" customHeight="1">
      <c r="AA3560"/>
    </row>
    <row r="3561" spans="27:27" ht="17.899999999999999" customHeight="1">
      <c r="AA3561"/>
    </row>
    <row r="3562" spans="27:27" ht="17.899999999999999" customHeight="1">
      <c r="AA3562"/>
    </row>
    <row r="3563" spans="27:27" ht="17.899999999999999" customHeight="1">
      <c r="AA3563"/>
    </row>
    <row r="3564" spans="27:27" ht="17.899999999999999" customHeight="1">
      <c r="AA3564"/>
    </row>
    <row r="3565" spans="27:27" ht="17.899999999999999" customHeight="1">
      <c r="AA3565"/>
    </row>
    <row r="3566" spans="27:27" ht="17.899999999999999" customHeight="1">
      <c r="AA3566"/>
    </row>
    <row r="3567" spans="27:27" ht="17.899999999999999" customHeight="1">
      <c r="AA3567"/>
    </row>
    <row r="3568" spans="27:27" ht="17.899999999999999" customHeight="1">
      <c r="AA3568"/>
    </row>
    <row r="3569" spans="27:27" ht="17.899999999999999" customHeight="1">
      <c r="AA3569"/>
    </row>
    <row r="3570" spans="27:27" ht="17.899999999999999" customHeight="1">
      <c r="AA3570"/>
    </row>
    <row r="3571" spans="27:27" ht="17.899999999999999" customHeight="1">
      <c r="AA3571"/>
    </row>
    <row r="3572" spans="27:27" ht="17.899999999999999" customHeight="1">
      <c r="AA3572"/>
    </row>
    <row r="3573" spans="27:27" ht="17.899999999999999" customHeight="1">
      <c r="AA3573"/>
    </row>
    <row r="3574" spans="27:27" ht="17.899999999999999" customHeight="1">
      <c r="AA3574"/>
    </row>
    <row r="3575" spans="27:27" ht="17.899999999999999" customHeight="1">
      <c r="AA3575"/>
    </row>
    <row r="3576" spans="27:27" ht="17.899999999999999" customHeight="1">
      <c r="AA3576"/>
    </row>
    <row r="3577" spans="27:27" ht="17.899999999999999" customHeight="1">
      <c r="AA3577"/>
    </row>
    <row r="3578" spans="27:27" ht="17.899999999999999" customHeight="1">
      <c r="AA3578"/>
    </row>
    <row r="3579" spans="27:27" ht="17.899999999999999" customHeight="1">
      <c r="AA3579"/>
    </row>
    <row r="3580" spans="27:27" ht="17.899999999999999" customHeight="1">
      <c r="AA3580"/>
    </row>
    <row r="3581" spans="27:27" ht="17.899999999999999" customHeight="1">
      <c r="AA3581"/>
    </row>
    <row r="3582" spans="27:27" ht="17.899999999999999" customHeight="1">
      <c r="AA3582"/>
    </row>
    <row r="3583" spans="27:27" ht="17.899999999999999" customHeight="1">
      <c r="AA3583"/>
    </row>
    <row r="3584" spans="27:27" ht="17.899999999999999" customHeight="1">
      <c r="AA3584"/>
    </row>
    <row r="3585" spans="27:27" ht="17.899999999999999" customHeight="1">
      <c r="AA3585"/>
    </row>
    <row r="3586" spans="27:27" ht="17.899999999999999" customHeight="1">
      <c r="AA3586"/>
    </row>
    <row r="3587" spans="27:27" ht="17.899999999999999" customHeight="1">
      <c r="AA3587"/>
    </row>
    <row r="3588" spans="27:27" ht="17.899999999999999" customHeight="1">
      <c r="AA3588"/>
    </row>
    <row r="3589" spans="27:27" ht="17.899999999999999" customHeight="1">
      <c r="AA3589"/>
    </row>
    <row r="3590" spans="27:27" ht="17.899999999999999" customHeight="1">
      <c r="AA3590"/>
    </row>
    <row r="3591" spans="27:27" ht="17.899999999999999" customHeight="1">
      <c r="AA3591"/>
    </row>
    <row r="3592" spans="27:27" ht="17.899999999999999" customHeight="1">
      <c r="AA3592"/>
    </row>
    <row r="3593" spans="27:27" ht="17.899999999999999" customHeight="1">
      <c r="AA3593"/>
    </row>
    <row r="3594" spans="27:27" ht="17.899999999999999" customHeight="1">
      <c r="AA3594"/>
    </row>
    <row r="3595" spans="27:27" ht="17.899999999999999" customHeight="1">
      <c r="AA3595"/>
    </row>
    <row r="3596" spans="27:27" ht="17.899999999999999" customHeight="1">
      <c r="AA3596"/>
    </row>
    <row r="3597" spans="27:27" ht="17.899999999999999" customHeight="1">
      <c r="AA3597"/>
    </row>
    <row r="3598" spans="27:27" ht="17.899999999999999" customHeight="1">
      <c r="AA3598"/>
    </row>
    <row r="3599" spans="27:27" ht="17.899999999999999" customHeight="1">
      <c r="AA3599"/>
    </row>
    <row r="3600" spans="27:27" ht="17.899999999999999" customHeight="1">
      <c r="AA3600"/>
    </row>
    <row r="3601" spans="27:27" ht="17.899999999999999" customHeight="1">
      <c r="AA3601"/>
    </row>
    <row r="3602" spans="27:27" ht="17.899999999999999" customHeight="1">
      <c r="AA3602"/>
    </row>
    <row r="3603" spans="27:27" ht="17.899999999999999" customHeight="1">
      <c r="AA3603"/>
    </row>
    <row r="3604" spans="27:27" ht="17.899999999999999" customHeight="1">
      <c r="AA3604"/>
    </row>
    <row r="3605" spans="27:27" ht="17.899999999999999" customHeight="1">
      <c r="AA3605"/>
    </row>
    <row r="3606" spans="27:27" ht="17.899999999999999" customHeight="1">
      <c r="AA3606"/>
    </row>
    <row r="3607" spans="27:27" ht="17.899999999999999" customHeight="1">
      <c r="AA3607"/>
    </row>
    <row r="3608" spans="27:27" ht="17.899999999999999" customHeight="1">
      <c r="AA3608"/>
    </row>
    <row r="3609" spans="27:27" ht="17.899999999999999" customHeight="1">
      <c r="AA3609"/>
    </row>
    <row r="3610" spans="27:27" ht="17.899999999999999" customHeight="1">
      <c r="AA3610"/>
    </row>
    <row r="3611" spans="27:27" ht="17.899999999999999" customHeight="1">
      <c r="AA3611"/>
    </row>
    <row r="3612" spans="27:27" ht="17.899999999999999" customHeight="1">
      <c r="AA3612"/>
    </row>
    <row r="3613" spans="27:27" ht="17.899999999999999" customHeight="1">
      <c r="AA3613"/>
    </row>
    <row r="3614" spans="27:27" ht="17.899999999999999" customHeight="1">
      <c r="AA3614"/>
    </row>
    <row r="3615" spans="27:27" ht="17.899999999999999" customHeight="1">
      <c r="AA3615"/>
    </row>
    <row r="3616" spans="27:27" ht="17.899999999999999" customHeight="1">
      <c r="AA3616"/>
    </row>
    <row r="3617" spans="27:27" ht="17.899999999999999" customHeight="1">
      <c r="AA3617"/>
    </row>
    <row r="3618" spans="27:27" ht="17.899999999999999" customHeight="1">
      <c r="AA3618"/>
    </row>
    <row r="3619" spans="27:27" ht="17.899999999999999" customHeight="1">
      <c r="AA3619"/>
    </row>
    <row r="3620" spans="27:27" ht="17.899999999999999" customHeight="1">
      <c r="AA3620"/>
    </row>
    <row r="3621" spans="27:27" ht="17.899999999999999" customHeight="1">
      <c r="AA3621"/>
    </row>
    <row r="3622" spans="27:27" ht="17.899999999999999" customHeight="1">
      <c r="AA3622"/>
    </row>
    <row r="3623" spans="27:27" ht="17.899999999999999" customHeight="1">
      <c r="AA3623"/>
    </row>
    <row r="3624" spans="27:27" ht="17.899999999999999" customHeight="1">
      <c r="AA3624"/>
    </row>
    <row r="3625" spans="27:27" ht="17.899999999999999" customHeight="1">
      <c r="AA3625"/>
    </row>
    <row r="3626" spans="27:27" ht="17.899999999999999" customHeight="1">
      <c r="AA3626"/>
    </row>
    <row r="3627" spans="27:27" ht="17.899999999999999" customHeight="1">
      <c r="AA3627"/>
    </row>
    <row r="3628" spans="27:27" ht="17.899999999999999" customHeight="1">
      <c r="AA3628"/>
    </row>
    <row r="3629" spans="27:27" ht="17.899999999999999" customHeight="1">
      <c r="AA3629"/>
    </row>
    <row r="3630" spans="27:27" ht="17.899999999999999" customHeight="1">
      <c r="AA3630"/>
    </row>
    <row r="3631" spans="27:27" ht="17.899999999999999" customHeight="1">
      <c r="AA3631"/>
    </row>
    <row r="3632" spans="27:27" ht="17.899999999999999" customHeight="1">
      <c r="AA3632"/>
    </row>
    <row r="3633" spans="27:27" ht="17.899999999999999" customHeight="1">
      <c r="AA3633"/>
    </row>
    <row r="3634" spans="27:27" ht="17.899999999999999" customHeight="1">
      <c r="AA3634"/>
    </row>
    <row r="3635" spans="27:27" ht="17.899999999999999" customHeight="1">
      <c r="AA3635"/>
    </row>
    <row r="3636" spans="27:27" ht="17.899999999999999" customHeight="1">
      <c r="AA3636"/>
    </row>
    <row r="3637" spans="27:27" ht="17.899999999999999" customHeight="1">
      <c r="AA3637"/>
    </row>
    <row r="3638" spans="27:27" ht="17.899999999999999" customHeight="1">
      <c r="AA3638"/>
    </row>
    <row r="3639" spans="27:27" ht="17.899999999999999" customHeight="1">
      <c r="AA3639"/>
    </row>
    <row r="3640" spans="27:27" ht="17.899999999999999" customHeight="1">
      <c r="AA3640"/>
    </row>
    <row r="3641" spans="27:27" ht="17.899999999999999" customHeight="1">
      <c r="AA3641"/>
    </row>
    <row r="3642" spans="27:27" ht="17.899999999999999" customHeight="1">
      <c r="AA3642"/>
    </row>
    <row r="3643" spans="27:27" ht="17.899999999999999" customHeight="1">
      <c r="AA3643"/>
    </row>
    <row r="3644" spans="27:27" ht="17.899999999999999" customHeight="1">
      <c r="AA3644"/>
    </row>
    <row r="3645" spans="27:27" ht="17.899999999999999" customHeight="1">
      <c r="AA3645"/>
    </row>
    <row r="3646" spans="27:27" ht="17.899999999999999" customHeight="1">
      <c r="AA3646"/>
    </row>
    <row r="3647" spans="27:27" ht="17.899999999999999" customHeight="1">
      <c r="AA3647"/>
    </row>
    <row r="3648" spans="27:27" ht="17.899999999999999" customHeight="1">
      <c r="AA3648"/>
    </row>
    <row r="3649" spans="27:27" ht="17.899999999999999" customHeight="1">
      <c r="AA3649"/>
    </row>
    <row r="3650" spans="27:27" ht="17.899999999999999" customHeight="1">
      <c r="AA3650"/>
    </row>
    <row r="3651" spans="27:27" ht="17.899999999999999" customHeight="1">
      <c r="AA3651"/>
    </row>
    <row r="3652" spans="27:27" ht="17.899999999999999" customHeight="1">
      <c r="AA3652"/>
    </row>
    <row r="3653" spans="27:27" ht="17.899999999999999" customHeight="1">
      <c r="AA3653"/>
    </row>
    <row r="3654" spans="27:27" ht="17.899999999999999" customHeight="1">
      <c r="AA3654"/>
    </row>
    <row r="3655" spans="27:27" ht="17.899999999999999" customHeight="1">
      <c r="AA3655"/>
    </row>
    <row r="3656" spans="27:27" ht="17.899999999999999" customHeight="1">
      <c r="AA3656"/>
    </row>
    <row r="3657" spans="27:27" ht="17.899999999999999" customHeight="1">
      <c r="AA3657"/>
    </row>
    <row r="3658" spans="27:27" ht="17.899999999999999" customHeight="1">
      <c r="AA3658"/>
    </row>
    <row r="3659" spans="27:27" ht="17.899999999999999" customHeight="1">
      <c r="AA3659"/>
    </row>
    <row r="3660" spans="27:27" ht="17.899999999999999" customHeight="1">
      <c r="AA3660"/>
    </row>
    <row r="3661" spans="27:27" ht="17.899999999999999" customHeight="1">
      <c r="AA3661"/>
    </row>
    <row r="3662" spans="27:27" ht="17.899999999999999" customHeight="1">
      <c r="AA3662"/>
    </row>
    <row r="3663" spans="27:27" ht="17.899999999999999" customHeight="1">
      <c r="AA3663"/>
    </row>
    <row r="3664" spans="27:27" ht="17.899999999999999" customHeight="1">
      <c r="AA3664"/>
    </row>
    <row r="3665" spans="27:27" ht="17.899999999999999" customHeight="1">
      <c r="AA3665"/>
    </row>
    <row r="3666" spans="27:27" ht="17.899999999999999" customHeight="1">
      <c r="AA3666"/>
    </row>
    <row r="3667" spans="27:27" ht="17.899999999999999" customHeight="1">
      <c r="AA3667"/>
    </row>
    <row r="3668" spans="27:27" ht="17.899999999999999" customHeight="1">
      <c r="AA3668"/>
    </row>
    <row r="3669" spans="27:27" ht="17.899999999999999" customHeight="1">
      <c r="AA3669"/>
    </row>
    <row r="3670" spans="27:27" ht="17.899999999999999" customHeight="1">
      <c r="AA3670"/>
    </row>
    <row r="3671" spans="27:27" ht="17.899999999999999" customHeight="1">
      <c r="AA3671"/>
    </row>
    <row r="3672" spans="27:27" ht="17.899999999999999" customHeight="1">
      <c r="AA3672"/>
    </row>
    <row r="3673" spans="27:27" ht="17.899999999999999" customHeight="1">
      <c r="AA3673"/>
    </row>
    <row r="3674" spans="27:27" ht="17.899999999999999" customHeight="1">
      <c r="AA3674"/>
    </row>
    <row r="3675" spans="27:27" ht="17.899999999999999" customHeight="1">
      <c r="AA3675"/>
    </row>
    <row r="3676" spans="27:27" ht="17.899999999999999" customHeight="1">
      <c r="AA3676"/>
    </row>
    <row r="3677" spans="27:27" ht="17.899999999999999" customHeight="1">
      <c r="AA3677"/>
    </row>
    <row r="3678" spans="27:27" ht="17.899999999999999" customHeight="1">
      <c r="AA3678"/>
    </row>
    <row r="3679" spans="27:27" ht="17.899999999999999" customHeight="1">
      <c r="AA3679"/>
    </row>
    <row r="3680" spans="27:27" ht="17.899999999999999" customHeight="1">
      <c r="AA3680"/>
    </row>
    <row r="3681" spans="27:27" ht="17.899999999999999" customHeight="1">
      <c r="AA3681"/>
    </row>
    <row r="3682" spans="27:27" ht="17.899999999999999" customHeight="1">
      <c r="AA3682"/>
    </row>
    <row r="3683" spans="27:27" ht="17.899999999999999" customHeight="1">
      <c r="AA3683"/>
    </row>
    <row r="3684" spans="27:27" ht="17.899999999999999" customHeight="1">
      <c r="AA3684"/>
    </row>
    <row r="3685" spans="27:27" ht="17.899999999999999" customHeight="1">
      <c r="AA3685"/>
    </row>
    <row r="3686" spans="27:27" ht="17.899999999999999" customHeight="1">
      <c r="AA3686"/>
    </row>
    <row r="3687" spans="27:27" ht="17.899999999999999" customHeight="1">
      <c r="AA3687"/>
    </row>
    <row r="3688" spans="27:27" ht="17.899999999999999" customHeight="1">
      <c r="AA3688"/>
    </row>
    <row r="3689" spans="27:27" ht="17.899999999999999" customHeight="1">
      <c r="AA3689"/>
    </row>
    <row r="3690" spans="27:27" ht="17.899999999999999" customHeight="1">
      <c r="AA3690"/>
    </row>
    <row r="3691" spans="27:27" ht="17.899999999999999" customHeight="1">
      <c r="AA3691"/>
    </row>
    <row r="3692" spans="27:27" ht="17.899999999999999" customHeight="1">
      <c r="AA3692"/>
    </row>
    <row r="3693" spans="27:27" ht="17.899999999999999" customHeight="1">
      <c r="AA3693"/>
    </row>
    <row r="3694" spans="27:27" ht="17.899999999999999" customHeight="1">
      <c r="AA3694"/>
    </row>
    <row r="3695" spans="27:27" ht="17.899999999999999" customHeight="1">
      <c r="AA3695"/>
    </row>
    <row r="3696" spans="27:27" ht="17.899999999999999" customHeight="1">
      <c r="AA3696"/>
    </row>
    <row r="3697" spans="27:27" ht="17.899999999999999" customHeight="1">
      <c r="AA3697"/>
    </row>
    <row r="3698" spans="27:27" ht="17.899999999999999" customHeight="1">
      <c r="AA3698"/>
    </row>
    <row r="3699" spans="27:27" ht="17.899999999999999" customHeight="1">
      <c r="AA3699"/>
    </row>
    <row r="3700" spans="27:27" ht="17.899999999999999" customHeight="1">
      <c r="AA3700"/>
    </row>
    <row r="3701" spans="27:27" ht="17.899999999999999" customHeight="1">
      <c r="AA3701"/>
    </row>
    <row r="3702" spans="27:27" ht="17.899999999999999" customHeight="1">
      <c r="AA3702"/>
    </row>
    <row r="3703" spans="27:27" ht="17.899999999999999" customHeight="1">
      <c r="AA3703"/>
    </row>
    <row r="3704" spans="27:27" ht="17.899999999999999" customHeight="1">
      <c r="AA3704"/>
    </row>
    <row r="3705" spans="27:27" ht="17.899999999999999" customHeight="1">
      <c r="AA3705"/>
    </row>
    <row r="3706" spans="27:27" ht="17.899999999999999" customHeight="1">
      <c r="AA3706"/>
    </row>
    <row r="3707" spans="27:27" ht="17.899999999999999" customHeight="1">
      <c r="AA3707"/>
    </row>
    <row r="3708" spans="27:27" ht="17.899999999999999" customHeight="1">
      <c r="AA3708"/>
    </row>
    <row r="3709" spans="27:27" ht="17.899999999999999" customHeight="1">
      <c r="AA3709"/>
    </row>
    <row r="3710" spans="27:27" ht="17.899999999999999" customHeight="1">
      <c r="AA3710"/>
    </row>
    <row r="3711" spans="27:27" ht="17.899999999999999" customHeight="1">
      <c r="AA3711"/>
    </row>
    <row r="3712" spans="27:27" ht="17.899999999999999" customHeight="1">
      <c r="AA3712"/>
    </row>
    <row r="3713" spans="27:27" ht="17.899999999999999" customHeight="1">
      <c r="AA3713"/>
    </row>
    <row r="3714" spans="27:27" ht="17.899999999999999" customHeight="1">
      <c r="AA3714"/>
    </row>
    <row r="3715" spans="27:27" ht="17.899999999999999" customHeight="1">
      <c r="AA3715"/>
    </row>
    <row r="3716" spans="27:27" ht="17.899999999999999" customHeight="1">
      <c r="AA3716"/>
    </row>
    <row r="3717" spans="27:27" ht="17.899999999999999" customHeight="1">
      <c r="AA3717"/>
    </row>
    <row r="3718" spans="27:27" ht="17.899999999999999" customHeight="1">
      <c r="AA3718"/>
    </row>
    <row r="3719" spans="27:27" ht="17.899999999999999" customHeight="1">
      <c r="AA3719"/>
    </row>
    <row r="3720" spans="27:27" ht="17.899999999999999" customHeight="1">
      <c r="AA3720"/>
    </row>
    <row r="3721" spans="27:27" ht="17.899999999999999" customHeight="1">
      <c r="AA3721"/>
    </row>
    <row r="3722" spans="27:27" ht="17.899999999999999" customHeight="1">
      <c r="AA3722"/>
    </row>
    <row r="3723" spans="27:27" ht="17.899999999999999" customHeight="1">
      <c r="AA3723"/>
    </row>
    <row r="3724" spans="27:27" ht="17.899999999999999" customHeight="1">
      <c r="AA3724"/>
    </row>
    <row r="3725" spans="27:27" ht="17.899999999999999" customHeight="1">
      <c r="AA3725"/>
    </row>
    <row r="3726" spans="27:27" ht="17.899999999999999" customHeight="1">
      <c r="AA3726"/>
    </row>
    <row r="3727" spans="27:27" ht="17.899999999999999" customHeight="1">
      <c r="AA3727"/>
    </row>
    <row r="3728" spans="27:27" ht="17.899999999999999" customHeight="1">
      <c r="AA3728"/>
    </row>
    <row r="3729" spans="27:27" ht="17.899999999999999" customHeight="1">
      <c r="AA3729"/>
    </row>
    <row r="3730" spans="27:27" ht="17.899999999999999" customHeight="1">
      <c r="AA3730"/>
    </row>
    <row r="3731" spans="27:27" ht="17.899999999999999" customHeight="1">
      <c r="AA3731"/>
    </row>
    <row r="3732" spans="27:27" ht="17.899999999999999" customHeight="1">
      <c r="AA3732"/>
    </row>
    <row r="3733" spans="27:27" ht="17.899999999999999" customHeight="1">
      <c r="AA3733"/>
    </row>
    <row r="3734" spans="27:27" ht="17.899999999999999" customHeight="1">
      <c r="AA3734"/>
    </row>
    <row r="3735" spans="27:27" ht="17.899999999999999" customHeight="1">
      <c r="AA3735"/>
    </row>
    <row r="3736" spans="27:27" ht="17.899999999999999" customHeight="1">
      <c r="AA3736"/>
    </row>
    <row r="3737" spans="27:27" ht="17.899999999999999" customHeight="1">
      <c r="AA3737"/>
    </row>
    <row r="3738" spans="27:27" ht="17.899999999999999" customHeight="1">
      <c r="AA3738"/>
    </row>
    <row r="3739" spans="27:27" ht="17.899999999999999" customHeight="1">
      <c r="AA3739"/>
    </row>
    <row r="3740" spans="27:27" ht="17.899999999999999" customHeight="1">
      <c r="AA3740"/>
    </row>
    <row r="3741" spans="27:27" ht="17.899999999999999" customHeight="1">
      <c r="AA3741"/>
    </row>
    <row r="3742" spans="27:27" ht="17.899999999999999" customHeight="1">
      <c r="AA3742"/>
    </row>
    <row r="3743" spans="27:27" ht="17.899999999999999" customHeight="1">
      <c r="AA3743"/>
    </row>
    <row r="3744" spans="27:27" ht="17.899999999999999" customHeight="1">
      <c r="AA3744"/>
    </row>
    <row r="3745" spans="27:27" ht="17.899999999999999" customHeight="1">
      <c r="AA3745"/>
    </row>
    <row r="3746" spans="27:27" ht="17.899999999999999" customHeight="1">
      <c r="AA3746"/>
    </row>
    <row r="3747" spans="27:27" ht="17.899999999999999" customHeight="1">
      <c r="AA3747"/>
    </row>
    <row r="3748" spans="27:27" ht="17.899999999999999" customHeight="1">
      <c r="AA3748"/>
    </row>
    <row r="3749" spans="27:27" ht="17.899999999999999" customHeight="1">
      <c r="AA3749"/>
    </row>
    <row r="3750" spans="27:27" ht="17.899999999999999" customHeight="1">
      <c r="AA3750"/>
    </row>
    <row r="3751" spans="27:27" ht="17.899999999999999" customHeight="1">
      <c r="AA3751"/>
    </row>
    <row r="3752" spans="27:27" ht="17.899999999999999" customHeight="1">
      <c r="AA3752"/>
    </row>
    <row r="3753" spans="27:27" ht="17.899999999999999" customHeight="1">
      <c r="AA3753"/>
    </row>
    <row r="3754" spans="27:27" ht="17.899999999999999" customHeight="1">
      <c r="AA3754"/>
    </row>
    <row r="3755" spans="27:27" ht="17.899999999999999" customHeight="1">
      <c r="AA3755"/>
    </row>
    <row r="3756" spans="27:27" ht="17.899999999999999" customHeight="1">
      <c r="AA3756"/>
    </row>
    <row r="3757" spans="27:27" ht="17.899999999999999" customHeight="1">
      <c r="AA3757"/>
    </row>
    <row r="3758" spans="27:27" ht="17.899999999999999" customHeight="1">
      <c r="AA3758"/>
    </row>
    <row r="3759" spans="27:27" ht="17.899999999999999" customHeight="1">
      <c r="AA3759"/>
    </row>
    <row r="3760" spans="27:27" ht="17.899999999999999" customHeight="1">
      <c r="AA3760"/>
    </row>
    <row r="3761" spans="27:27" ht="17.899999999999999" customHeight="1">
      <c r="AA3761"/>
    </row>
    <row r="3762" spans="27:27" ht="17.899999999999999" customHeight="1">
      <c r="AA3762"/>
    </row>
    <row r="3763" spans="27:27" ht="17.899999999999999" customHeight="1">
      <c r="AA3763"/>
    </row>
    <row r="3764" spans="27:27" ht="17.899999999999999" customHeight="1">
      <c r="AA3764"/>
    </row>
    <row r="3765" spans="27:27" ht="17.899999999999999" customHeight="1">
      <c r="AA3765"/>
    </row>
    <row r="3766" spans="27:27" ht="17.899999999999999" customHeight="1">
      <c r="AA3766"/>
    </row>
    <row r="3767" spans="27:27" ht="17.899999999999999" customHeight="1">
      <c r="AA3767"/>
    </row>
    <row r="3768" spans="27:27" ht="17.899999999999999" customHeight="1">
      <c r="AA3768"/>
    </row>
    <row r="3769" spans="27:27" ht="17.899999999999999" customHeight="1">
      <c r="AA3769"/>
    </row>
    <row r="3770" spans="27:27" ht="17.899999999999999" customHeight="1">
      <c r="AA3770"/>
    </row>
    <row r="3771" spans="27:27" ht="17.899999999999999" customHeight="1">
      <c r="AA3771"/>
    </row>
    <row r="3772" spans="27:27" ht="17.899999999999999" customHeight="1">
      <c r="AA3772"/>
    </row>
    <row r="3773" spans="27:27" ht="17.899999999999999" customHeight="1">
      <c r="AA3773"/>
    </row>
    <row r="3774" spans="27:27" ht="17.899999999999999" customHeight="1">
      <c r="AA3774"/>
    </row>
    <row r="3775" spans="27:27" ht="17.899999999999999" customHeight="1">
      <c r="AA3775"/>
    </row>
    <row r="3776" spans="27:27" ht="17.899999999999999" customHeight="1">
      <c r="AA3776"/>
    </row>
    <row r="3777" spans="27:27" ht="17.899999999999999" customHeight="1">
      <c r="AA3777"/>
    </row>
    <row r="3778" spans="27:27" ht="17.899999999999999" customHeight="1">
      <c r="AA3778"/>
    </row>
    <row r="3779" spans="27:27" ht="17.899999999999999" customHeight="1">
      <c r="AA3779"/>
    </row>
    <row r="3780" spans="27:27" ht="17.899999999999999" customHeight="1">
      <c r="AA3780"/>
    </row>
    <row r="3781" spans="27:27" ht="17.899999999999999" customHeight="1">
      <c r="AA3781"/>
    </row>
    <row r="3782" spans="27:27" ht="17.899999999999999" customHeight="1">
      <c r="AA3782"/>
    </row>
    <row r="3783" spans="27:27" ht="17.899999999999999" customHeight="1">
      <c r="AA3783"/>
    </row>
    <row r="3784" spans="27:27" ht="17.899999999999999" customHeight="1">
      <c r="AA3784"/>
    </row>
    <row r="3785" spans="27:27" ht="17.899999999999999" customHeight="1">
      <c r="AA3785"/>
    </row>
    <row r="3786" spans="27:27" ht="17.899999999999999" customHeight="1">
      <c r="AA3786"/>
    </row>
    <row r="3787" spans="27:27" ht="17.899999999999999" customHeight="1">
      <c r="AA3787"/>
    </row>
    <row r="3788" spans="27:27" ht="17.899999999999999" customHeight="1">
      <c r="AA3788"/>
    </row>
    <row r="3789" spans="27:27" ht="17.899999999999999" customHeight="1">
      <c r="AA3789"/>
    </row>
    <row r="3790" spans="27:27" ht="17.899999999999999" customHeight="1">
      <c r="AA3790"/>
    </row>
    <row r="3791" spans="27:27" ht="17.899999999999999" customHeight="1">
      <c r="AA3791"/>
    </row>
    <row r="3792" spans="27:27" ht="17.899999999999999" customHeight="1">
      <c r="AA3792"/>
    </row>
    <row r="3793" spans="27:27" ht="17.899999999999999" customHeight="1">
      <c r="AA3793"/>
    </row>
    <row r="3794" spans="27:27" ht="17.899999999999999" customHeight="1">
      <c r="AA3794"/>
    </row>
    <row r="3795" spans="27:27" ht="17.899999999999999" customHeight="1">
      <c r="AA3795"/>
    </row>
    <row r="3796" spans="27:27" ht="17.899999999999999" customHeight="1">
      <c r="AA3796"/>
    </row>
    <row r="3797" spans="27:27" ht="17.899999999999999" customHeight="1">
      <c r="AA3797"/>
    </row>
    <row r="3798" spans="27:27" ht="17.899999999999999" customHeight="1">
      <c r="AA3798"/>
    </row>
    <row r="3799" spans="27:27" ht="17.899999999999999" customHeight="1">
      <c r="AA3799"/>
    </row>
    <row r="3800" spans="27:27" ht="17.899999999999999" customHeight="1">
      <c r="AA3800"/>
    </row>
    <row r="3801" spans="27:27" ht="17.899999999999999" customHeight="1">
      <c r="AA3801"/>
    </row>
    <row r="3802" spans="27:27" ht="17.899999999999999" customHeight="1">
      <c r="AA3802"/>
    </row>
    <row r="3803" spans="27:27" ht="17.899999999999999" customHeight="1">
      <c r="AA3803"/>
    </row>
    <row r="3804" spans="27:27" ht="17.899999999999999" customHeight="1">
      <c r="AA3804"/>
    </row>
    <row r="3805" spans="27:27" ht="17.899999999999999" customHeight="1">
      <c r="AA3805"/>
    </row>
    <row r="3806" spans="27:27" ht="17.899999999999999" customHeight="1">
      <c r="AA3806"/>
    </row>
    <row r="3807" spans="27:27" ht="17.899999999999999" customHeight="1">
      <c r="AA3807"/>
    </row>
    <row r="3808" spans="27:27" ht="17.899999999999999" customHeight="1">
      <c r="AA3808"/>
    </row>
    <row r="3809" spans="27:27" ht="17.899999999999999" customHeight="1">
      <c r="AA3809"/>
    </row>
    <row r="3810" spans="27:27" ht="17.899999999999999" customHeight="1">
      <c r="AA3810"/>
    </row>
    <row r="3811" spans="27:27" ht="17.899999999999999" customHeight="1">
      <c r="AA3811"/>
    </row>
    <row r="3812" spans="27:27" ht="17.899999999999999" customHeight="1">
      <c r="AA3812"/>
    </row>
    <row r="3813" spans="27:27" ht="17.899999999999999" customHeight="1">
      <c r="AA3813"/>
    </row>
    <row r="3814" spans="27:27" ht="17.899999999999999" customHeight="1">
      <c r="AA3814"/>
    </row>
    <row r="3815" spans="27:27" ht="17.899999999999999" customHeight="1">
      <c r="AA3815"/>
    </row>
    <row r="3816" spans="27:27" ht="17.899999999999999" customHeight="1">
      <c r="AA3816"/>
    </row>
    <row r="3817" spans="27:27" ht="17.899999999999999" customHeight="1">
      <c r="AA3817"/>
    </row>
    <row r="3818" spans="27:27" ht="17.899999999999999" customHeight="1">
      <c r="AA3818"/>
    </row>
    <row r="3819" spans="27:27" ht="17.899999999999999" customHeight="1">
      <c r="AA3819"/>
    </row>
    <row r="3820" spans="27:27" ht="17.899999999999999" customHeight="1">
      <c r="AA3820"/>
    </row>
    <row r="3821" spans="27:27" ht="17.899999999999999" customHeight="1">
      <c r="AA3821"/>
    </row>
    <row r="3822" spans="27:27" ht="17.899999999999999" customHeight="1">
      <c r="AA3822"/>
    </row>
    <row r="3823" spans="27:27" ht="17.899999999999999" customHeight="1">
      <c r="AA3823"/>
    </row>
    <row r="3824" spans="27:27" ht="17.899999999999999" customHeight="1">
      <c r="AA3824"/>
    </row>
    <row r="3825" spans="27:27" ht="17.899999999999999" customHeight="1">
      <c r="AA3825"/>
    </row>
    <row r="3826" spans="27:27" ht="17.899999999999999" customHeight="1">
      <c r="AA3826"/>
    </row>
    <row r="3827" spans="27:27" ht="17.899999999999999" customHeight="1">
      <c r="AA3827"/>
    </row>
    <row r="3828" spans="27:27" ht="17.899999999999999" customHeight="1">
      <c r="AA3828"/>
    </row>
    <row r="3829" spans="27:27" ht="17.899999999999999" customHeight="1">
      <c r="AA3829"/>
    </row>
    <row r="3830" spans="27:27" ht="17.899999999999999" customHeight="1">
      <c r="AA3830"/>
    </row>
    <row r="3831" spans="27:27" ht="17.899999999999999" customHeight="1">
      <c r="AA3831"/>
    </row>
    <row r="3832" spans="27:27" ht="17.899999999999999" customHeight="1">
      <c r="AA3832"/>
    </row>
    <row r="3833" spans="27:27" ht="17.899999999999999" customHeight="1">
      <c r="AA3833"/>
    </row>
    <row r="3834" spans="27:27" ht="17.899999999999999" customHeight="1">
      <c r="AA3834"/>
    </row>
    <row r="3835" spans="27:27" ht="17.899999999999999" customHeight="1">
      <c r="AA3835"/>
    </row>
    <row r="3836" spans="27:27" ht="17.899999999999999" customHeight="1">
      <c r="AA3836"/>
    </row>
    <row r="3837" spans="27:27" ht="17.899999999999999" customHeight="1">
      <c r="AA3837"/>
    </row>
    <row r="3838" spans="27:27" ht="17.899999999999999" customHeight="1">
      <c r="AA3838"/>
    </row>
    <row r="3839" spans="27:27" ht="17.899999999999999" customHeight="1">
      <c r="AA3839"/>
    </row>
    <row r="3840" spans="27:27" ht="17.899999999999999" customHeight="1">
      <c r="AA3840"/>
    </row>
    <row r="3841" spans="27:27" ht="17.899999999999999" customHeight="1">
      <c r="AA3841"/>
    </row>
    <row r="3842" spans="27:27" ht="17.899999999999999" customHeight="1">
      <c r="AA3842"/>
    </row>
    <row r="3843" spans="27:27" ht="17.899999999999999" customHeight="1">
      <c r="AA3843"/>
    </row>
    <row r="3844" spans="27:27" ht="17.899999999999999" customHeight="1">
      <c r="AA3844"/>
    </row>
    <row r="3845" spans="27:27" ht="17.899999999999999" customHeight="1">
      <c r="AA3845"/>
    </row>
    <row r="3846" spans="27:27" ht="17.899999999999999" customHeight="1">
      <c r="AA3846"/>
    </row>
    <row r="3847" spans="27:27" ht="17.899999999999999" customHeight="1">
      <c r="AA3847"/>
    </row>
    <row r="3848" spans="27:27" ht="17.899999999999999" customHeight="1">
      <c r="AA3848"/>
    </row>
    <row r="3849" spans="27:27" ht="17.899999999999999" customHeight="1">
      <c r="AA3849"/>
    </row>
    <row r="3850" spans="27:27" ht="17.899999999999999" customHeight="1">
      <c r="AA3850"/>
    </row>
    <row r="3851" spans="27:27" ht="17.899999999999999" customHeight="1">
      <c r="AA3851"/>
    </row>
    <row r="3852" spans="27:27" ht="17.899999999999999" customHeight="1">
      <c r="AA3852"/>
    </row>
    <row r="3853" spans="27:27" ht="17.899999999999999" customHeight="1">
      <c r="AA3853"/>
    </row>
    <row r="3854" spans="27:27" ht="17.899999999999999" customHeight="1">
      <c r="AA3854"/>
    </row>
    <row r="3855" spans="27:27" ht="17.899999999999999" customHeight="1">
      <c r="AA3855"/>
    </row>
    <row r="3856" spans="27:27" ht="17.899999999999999" customHeight="1">
      <c r="AA3856"/>
    </row>
    <row r="3857" spans="27:27" ht="17.899999999999999" customHeight="1">
      <c r="AA3857"/>
    </row>
    <row r="3858" spans="27:27" ht="17.899999999999999" customHeight="1">
      <c r="AA3858"/>
    </row>
    <row r="3859" spans="27:27" ht="17.899999999999999" customHeight="1">
      <c r="AA3859"/>
    </row>
    <row r="3860" spans="27:27" ht="17.899999999999999" customHeight="1">
      <c r="AA3860"/>
    </row>
    <row r="3861" spans="27:27" ht="17.899999999999999" customHeight="1">
      <c r="AA3861"/>
    </row>
    <row r="3862" spans="27:27" ht="17.899999999999999" customHeight="1">
      <c r="AA3862"/>
    </row>
    <row r="3863" spans="27:27" ht="17.899999999999999" customHeight="1">
      <c r="AA3863"/>
    </row>
    <row r="3864" spans="27:27" ht="17.899999999999999" customHeight="1">
      <c r="AA3864"/>
    </row>
    <row r="3865" spans="27:27" ht="17.899999999999999" customHeight="1">
      <c r="AA3865"/>
    </row>
    <row r="3866" spans="27:27" ht="17.899999999999999" customHeight="1">
      <c r="AA3866"/>
    </row>
    <row r="3867" spans="27:27" ht="17.899999999999999" customHeight="1">
      <c r="AA3867"/>
    </row>
    <row r="3868" spans="27:27" ht="17.899999999999999" customHeight="1">
      <c r="AA3868"/>
    </row>
    <row r="3869" spans="27:27" ht="17.899999999999999" customHeight="1">
      <c r="AA3869"/>
    </row>
    <row r="3870" spans="27:27" ht="17.899999999999999" customHeight="1">
      <c r="AA3870"/>
    </row>
    <row r="3871" spans="27:27" ht="17.899999999999999" customHeight="1">
      <c r="AA3871"/>
    </row>
    <row r="3872" spans="27:27" ht="17.899999999999999" customHeight="1">
      <c r="AA3872"/>
    </row>
    <row r="3873" spans="27:27" ht="17.899999999999999" customHeight="1">
      <c r="AA3873"/>
    </row>
    <row r="3874" spans="27:27" ht="17.899999999999999" customHeight="1">
      <c r="AA3874"/>
    </row>
    <row r="3875" spans="27:27" ht="17.899999999999999" customHeight="1">
      <c r="AA3875"/>
    </row>
    <row r="3876" spans="27:27" ht="17.899999999999999" customHeight="1">
      <c r="AA3876"/>
    </row>
    <row r="3877" spans="27:27" ht="17.899999999999999" customHeight="1">
      <c r="AA3877"/>
    </row>
    <row r="3878" spans="27:27" ht="17.899999999999999" customHeight="1">
      <c r="AA3878"/>
    </row>
    <row r="3879" spans="27:27" ht="17.899999999999999" customHeight="1">
      <c r="AA3879"/>
    </row>
    <row r="3880" spans="27:27" ht="17.899999999999999" customHeight="1">
      <c r="AA3880"/>
    </row>
    <row r="3881" spans="27:27" ht="17.899999999999999" customHeight="1">
      <c r="AA3881"/>
    </row>
    <row r="3882" spans="27:27" ht="17.899999999999999" customHeight="1">
      <c r="AA3882"/>
    </row>
    <row r="3883" spans="27:27" ht="17.899999999999999" customHeight="1">
      <c r="AA3883"/>
    </row>
    <row r="3884" spans="27:27" ht="17.899999999999999" customHeight="1">
      <c r="AA3884"/>
    </row>
    <row r="3885" spans="27:27" ht="17.899999999999999" customHeight="1">
      <c r="AA3885"/>
    </row>
    <row r="3886" spans="27:27" ht="17.899999999999999" customHeight="1">
      <c r="AA3886"/>
    </row>
    <row r="3887" spans="27:27" ht="17.899999999999999" customHeight="1">
      <c r="AA3887"/>
    </row>
    <row r="3888" spans="27:27" ht="17.899999999999999" customHeight="1">
      <c r="AA3888"/>
    </row>
    <row r="3889" spans="27:27" ht="17.899999999999999" customHeight="1">
      <c r="AA3889"/>
    </row>
    <row r="3890" spans="27:27" ht="17.899999999999999" customHeight="1">
      <c r="AA3890"/>
    </row>
    <row r="3891" spans="27:27" ht="17.899999999999999" customHeight="1">
      <c r="AA3891"/>
    </row>
    <row r="3892" spans="27:27" ht="17.899999999999999" customHeight="1">
      <c r="AA3892"/>
    </row>
    <row r="3893" spans="27:27" ht="17.899999999999999" customHeight="1">
      <c r="AA3893"/>
    </row>
    <row r="3894" spans="27:27" ht="17.899999999999999" customHeight="1">
      <c r="AA3894"/>
    </row>
    <row r="3895" spans="27:27" ht="17.899999999999999" customHeight="1">
      <c r="AA3895"/>
    </row>
    <row r="3896" spans="27:27" ht="17.899999999999999" customHeight="1">
      <c r="AA3896"/>
    </row>
    <row r="3897" spans="27:27" ht="17.899999999999999" customHeight="1">
      <c r="AA3897"/>
    </row>
    <row r="3898" spans="27:27" ht="17.899999999999999" customHeight="1">
      <c r="AA3898"/>
    </row>
    <row r="3899" spans="27:27" ht="17.899999999999999" customHeight="1">
      <c r="AA3899"/>
    </row>
    <row r="3900" spans="27:27" ht="17.899999999999999" customHeight="1">
      <c r="AA3900"/>
    </row>
    <row r="3901" spans="27:27" ht="17.899999999999999" customHeight="1">
      <c r="AA3901"/>
    </row>
    <row r="3902" spans="27:27" ht="17.899999999999999" customHeight="1">
      <c r="AA3902"/>
    </row>
    <row r="3903" spans="27:27" ht="17.899999999999999" customHeight="1">
      <c r="AA3903"/>
    </row>
    <row r="3904" spans="27:27" ht="17.899999999999999" customHeight="1">
      <c r="AA3904"/>
    </row>
    <row r="3905" spans="27:27" ht="17.899999999999999" customHeight="1">
      <c r="AA3905"/>
    </row>
    <row r="3906" spans="27:27" ht="17.899999999999999" customHeight="1">
      <c r="AA3906"/>
    </row>
    <row r="3907" spans="27:27" ht="17.899999999999999" customHeight="1">
      <c r="AA3907"/>
    </row>
    <row r="3908" spans="27:27" ht="17.899999999999999" customHeight="1">
      <c r="AA3908"/>
    </row>
    <row r="3909" spans="27:27" ht="17.899999999999999" customHeight="1">
      <c r="AA3909"/>
    </row>
    <row r="3910" spans="27:27" ht="17.899999999999999" customHeight="1">
      <c r="AA3910"/>
    </row>
    <row r="3911" spans="27:27" ht="17.899999999999999" customHeight="1">
      <c r="AA3911"/>
    </row>
    <row r="3912" spans="27:27" ht="17.899999999999999" customHeight="1">
      <c r="AA3912"/>
    </row>
    <row r="3913" spans="27:27" ht="17.899999999999999" customHeight="1">
      <c r="AA3913"/>
    </row>
    <row r="3914" spans="27:27" ht="17.899999999999999" customHeight="1">
      <c r="AA3914"/>
    </row>
    <row r="3915" spans="27:27" ht="17.899999999999999" customHeight="1">
      <c r="AA3915"/>
    </row>
    <row r="3916" spans="27:27" ht="17.899999999999999" customHeight="1">
      <c r="AA3916"/>
    </row>
    <row r="3917" spans="27:27" ht="17.899999999999999" customHeight="1">
      <c r="AA3917"/>
    </row>
    <row r="3918" spans="27:27" ht="17.899999999999999" customHeight="1">
      <c r="AA3918"/>
    </row>
    <row r="3919" spans="27:27" ht="17.899999999999999" customHeight="1">
      <c r="AA3919"/>
    </row>
    <row r="3920" spans="27:27" ht="17.899999999999999" customHeight="1">
      <c r="AA3920"/>
    </row>
    <row r="3921" spans="27:27" ht="17.899999999999999" customHeight="1">
      <c r="AA3921"/>
    </row>
    <row r="3922" spans="27:27" ht="17.899999999999999" customHeight="1">
      <c r="AA3922"/>
    </row>
    <row r="3923" spans="27:27" ht="17.899999999999999" customHeight="1">
      <c r="AA3923"/>
    </row>
    <row r="3924" spans="27:27" ht="17.899999999999999" customHeight="1">
      <c r="AA3924"/>
    </row>
    <row r="3925" spans="27:27" ht="17.899999999999999" customHeight="1">
      <c r="AA3925"/>
    </row>
    <row r="3926" spans="27:27" ht="17.899999999999999" customHeight="1">
      <c r="AA3926"/>
    </row>
    <row r="3927" spans="27:27" ht="17.899999999999999" customHeight="1">
      <c r="AA3927"/>
    </row>
    <row r="3928" spans="27:27" ht="17.899999999999999" customHeight="1">
      <c r="AA3928"/>
    </row>
    <row r="3929" spans="27:27" ht="17.899999999999999" customHeight="1">
      <c r="AA3929"/>
    </row>
    <row r="3930" spans="27:27" ht="17.899999999999999" customHeight="1">
      <c r="AA3930"/>
    </row>
    <row r="3931" spans="27:27" ht="17.899999999999999" customHeight="1">
      <c r="AA3931"/>
    </row>
    <row r="3932" spans="27:27" ht="17.899999999999999" customHeight="1">
      <c r="AA3932"/>
    </row>
    <row r="3933" spans="27:27" ht="17.899999999999999" customHeight="1">
      <c r="AA3933"/>
    </row>
    <row r="3934" spans="27:27" ht="17.899999999999999" customHeight="1">
      <c r="AA3934"/>
    </row>
    <row r="3935" spans="27:27" ht="17.899999999999999" customHeight="1">
      <c r="AA3935"/>
    </row>
    <row r="3936" spans="27:27" ht="17.899999999999999" customHeight="1">
      <c r="AA3936"/>
    </row>
    <row r="3937" spans="27:27" ht="17.899999999999999" customHeight="1">
      <c r="AA3937"/>
    </row>
    <row r="3938" spans="27:27" ht="17.899999999999999" customHeight="1">
      <c r="AA3938"/>
    </row>
    <row r="3939" spans="27:27" ht="17.899999999999999" customHeight="1">
      <c r="AA3939"/>
    </row>
    <row r="3940" spans="27:27" ht="17.899999999999999" customHeight="1">
      <c r="AA3940"/>
    </row>
    <row r="3941" spans="27:27" ht="17.899999999999999" customHeight="1">
      <c r="AA3941"/>
    </row>
    <row r="3942" spans="27:27" ht="17.899999999999999" customHeight="1">
      <c r="AA3942"/>
    </row>
    <row r="3943" spans="27:27" ht="17.899999999999999" customHeight="1">
      <c r="AA3943"/>
    </row>
    <row r="3944" spans="27:27" ht="17.899999999999999" customHeight="1">
      <c r="AA3944"/>
    </row>
    <row r="3945" spans="27:27" ht="17.899999999999999" customHeight="1">
      <c r="AA3945"/>
    </row>
    <row r="3946" spans="27:27" ht="17.899999999999999" customHeight="1">
      <c r="AA3946"/>
    </row>
    <row r="3947" spans="27:27" ht="17.899999999999999" customHeight="1">
      <c r="AA3947"/>
    </row>
    <row r="3948" spans="27:27" ht="17.899999999999999" customHeight="1">
      <c r="AA3948"/>
    </row>
    <row r="3949" spans="27:27" ht="17.899999999999999" customHeight="1">
      <c r="AA3949"/>
    </row>
    <row r="3950" spans="27:27" ht="17.899999999999999" customHeight="1">
      <c r="AA3950"/>
    </row>
    <row r="3951" spans="27:27" ht="17.899999999999999" customHeight="1">
      <c r="AA3951"/>
    </row>
    <row r="3952" spans="27:27" ht="17.899999999999999" customHeight="1">
      <c r="AA3952"/>
    </row>
    <row r="3953" spans="27:27" ht="17.899999999999999" customHeight="1">
      <c r="AA3953"/>
    </row>
    <row r="3954" spans="27:27" ht="17.899999999999999" customHeight="1">
      <c r="AA3954"/>
    </row>
    <row r="3955" spans="27:27" ht="17.899999999999999" customHeight="1">
      <c r="AA3955"/>
    </row>
    <row r="3956" spans="27:27" ht="17.899999999999999" customHeight="1">
      <c r="AA3956"/>
    </row>
    <row r="3957" spans="27:27" ht="17.899999999999999" customHeight="1">
      <c r="AA3957"/>
    </row>
    <row r="3958" spans="27:27" ht="17.899999999999999" customHeight="1">
      <c r="AA3958"/>
    </row>
    <row r="3959" spans="27:27" ht="17.899999999999999" customHeight="1">
      <c r="AA3959"/>
    </row>
    <row r="3960" spans="27:27" ht="17.899999999999999" customHeight="1">
      <c r="AA3960"/>
    </row>
    <row r="3961" spans="27:27" ht="17.899999999999999" customHeight="1">
      <c r="AA3961"/>
    </row>
    <row r="3962" spans="27:27" ht="17.899999999999999" customHeight="1">
      <c r="AA3962"/>
    </row>
    <row r="3963" spans="27:27" ht="17.899999999999999" customHeight="1">
      <c r="AA3963"/>
    </row>
    <row r="3964" spans="27:27" ht="17.899999999999999" customHeight="1">
      <c r="AA3964"/>
    </row>
    <row r="3965" spans="27:27" ht="17.899999999999999" customHeight="1">
      <c r="AA3965"/>
    </row>
    <row r="3966" spans="27:27" ht="17.899999999999999" customHeight="1">
      <c r="AA3966"/>
    </row>
    <row r="3967" spans="27:27" ht="17.899999999999999" customHeight="1">
      <c r="AA3967"/>
    </row>
    <row r="3968" spans="27:27" ht="17.899999999999999" customHeight="1">
      <c r="AA3968"/>
    </row>
    <row r="3969" spans="27:27" ht="17.899999999999999" customHeight="1">
      <c r="AA3969"/>
    </row>
    <row r="3970" spans="27:27" ht="17.899999999999999" customHeight="1">
      <c r="AA3970"/>
    </row>
    <row r="3971" spans="27:27" ht="17.899999999999999" customHeight="1">
      <c r="AA3971"/>
    </row>
    <row r="3972" spans="27:27" ht="17.899999999999999" customHeight="1">
      <c r="AA3972"/>
    </row>
    <row r="3973" spans="27:27" ht="17.899999999999999" customHeight="1">
      <c r="AA3973"/>
    </row>
    <row r="3974" spans="27:27" ht="17.899999999999999" customHeight="1">
      <c r="AA3974"/>
    </row>
    <row r="3975" spans="27:27" ht="17.899999999999999" customHeight="1">
      <c r="AA3975"/>
    </row>
    <row r="3976" spans="27:27" ht="17.899999999999999" customHeight="1">
      <c r="AA3976"/>
    </row>
    <row r="3977" spans="27:27" ht="17.899999999999999" customHeight="1">
      <c r="AA3977"/>
    </row>
    <row r="3978" spans="27:27" ht="17.899999999999999" customHeight="1">
      <c r="AA3978"/>
    </row>
    <row r="3979" spans="27:27" ht="17.899999999999999" customHeight="1">
      <c r="AA3979"/>
    </row>
    <row r="3980" spans="27:27" ht="17.899999999999999" customHeight="1">
      <c r="AA3980"/>
    </row>
    <row r="3981" spans="27:27" ht="17.899999999999999" customHeight="1">
      <c r="AA3981"/>
    </row>
    <row r="3982" spans="27:27" ht="17.899999999999999" customHeight="1">
      <c r="AA3982"/>
    </row>
    <row r="3983" spans="27:27" ht="17.899999999999999" customHeight="1">
      <c r="AA3983"/>
    </row>
    <row r="3984" spans="27:27" ht="17.899999999999999" customHeight="1">
      <c r="AA3984"/>
    </row>
    <row r="3985" spans="27:27" ht="17.899999999999999" customHeight="1">
      <c r="AA3985"/>
    </row>
    <row r="3986" spans="27:27" ht="17.899999999999999" customHeight="1">
      <c r="AA3986"/>
    </row>
    <row r="3987" spans="27:27" ht="17.899999999999999" customHeight="1">
      <c r="AA3987"/>
    </row>
    <row r="3988" spans="27:27" ht="17.899999999999999" customHeight="1">
      <c r="AA3988"/>
    </row>
    <row r="3989" spans="27:27" ht="17.899999999999999" customHeight="1">
      <c r="AA3989"/>
    </row>
    <row r="3990" spans="27:27" ht="17.899999999999999" customHeight="1">
      <c r="AA3990"/>
    </row>
    <row r="3991" spans="27:27" ht="17.899999999999999" customHeight="1">
      <c r="AA3991"/>
    </row>
    <row r="3992" spans="27:27" ht="17.899999999999999" customHeight="1">
      <c r="AA3992"/>
    </row>
    <row r="3993" spans="27:27" ht="17.899999999999999" customHeight="1">
      <c r="AA3993"/>
    </row>
    <row r="3994" spans="27:27" ht="17.899999999999999" customHeight="1">
      <c r="AA3994"/>
    </row>
    <row r="3995" spans="27:27" ht="17.899999999999999" customHeight="1">
      <c r="AA3995"/>
    </row>
    <row r="3996" spans="27:27" ht="17.899999999999999" customHeight="1">
      <c r="AA3996"/>
    </row>
    <row r="3997" spans="27:27" ht="17.899999999999999" customHeight="1">
      <c r="AA3997"/>
    </row>
    <row r="3998" spans="27:27" ht="17.899999999999999" customHeight="1">
      <c r="AA3998"/>
    </row>
    <row r="3999" spans="27:27" ht="17.899999999999999" customHeight="1">
      <c r="AA3999"/>
    </row>
    <row r="4000" spans="27:27" ht="17.899999999999999" customHeight="1">
      <c r="AA4000"/>
    </row>
    <row r="4001" spans="27:27" ht="17.899999999999999" customHeight="1">
      <c r="AA4001"/>
    </row>
    <row r="4002" spans="27:27" ht="17.899999999999999" customHeight="1">
      <c r="AA4002"/>
    </row>
    <row r="4003" spans="27:27" ht="17.899999999999999" customHeight="1">
      <c r="AA4003"/>
    </row>
    <row r="4004" spans="27:27" ht="17.899999999999999" customHeight="1">
      <c r="AA4004"/>
    </row>
    <row r="4005" spans="27:27" ht="17.899999999999999" customHeight="1">
      <c r="AA4005"/>
    </row>
    <row r="4006" spans="27:27" ht="17.899999999999999" customHeight="1">
      <c r="AA4006"/>
    </row>
    <row r="4007" spans="27:27" ht="17.899999999999999" customHeight="1">
      <c r="AA4007"/>
    </row>
    <row r="4008" spans="27:27" ht="17.899999999999999" customHeight="1">
      <c r="AA4008"/>
    </row>
    <row r="4009" spans="27:27" ht="17.899999999999999" customHeight="1">
      <c r="AA4009"/>
    </row>
    <row r="4010" spans="27:27" ht="17.899999999999999" customHeight="1">
      <c r="AA4010"/>
    </row>
    <row r="4011" spans="27:27" ht="17.899999999999999" customHeight="1">
      <c r="AA4011"/>
    </row>
    <row r="4012" spans="27:27" ht="17.899999999999999" customHeight="1">
      <c r="AA4012"/>
    </row>
    <row r="4013" spans="27:27" ht="17.899999999999999" customHeight="1">
      <c r="AA4013"/>
    </row>
    <row r="4014" spans="27:27" ht="17.899999999999999" customHeight="1">
      <c r="AA4014"/>
    </row>
    <row r="4015" spans="27:27" ht="17.899999999999999" customHeight="1">
      <c r="AA4015"/>
    </row>
    <row r="4016" spans="27:27" ht="17.899999999999999" customHeight="1">
      <c r="AA4016"/>
    </row>
    <row r="4017" spans="27:27" ht="17.899999999999999" customHeight="1">
      <c r="AA4017"/>
    </row>
    <row r="4018" spans="27:27" ht="17.899999999999999" customHeight="1">
      <c r="AA4018"/>
    </row>
    <row r="4019" spans="27:27" ht="17.899999999999999" customHeight="1">
      <c r="AA4019"/>
    </row>
    <row r="4020" spans="27:27" ht="17.899999999999999" customHeight="1">
      <c r="AA4020"/>
    </row>
    <row r="4021" spans="27:27" ht="17.899999999999999" customHeight="1">
      <c r="AA4021"/>
    </row>
    <row r="4022" spans="27:27" ht="17.899999999999999" customHeight="1">
      <c r="AA4022"/>
    </row>
    <row r="4023" spans="27:27" ht="17.899999999999999" customHeight="1">
      <c r="AA4023"/>
    </row>
    <row r="4024" spans="27:27" ht="17.899999999999999" customHeight="1">
      <c r="AA4024"/>
    </row>
    <row r="4025" spans="27:27" ht="17.899999999999999" customHeight="1">
      <c r="AA4025"/>
    </row>
    <row r="4026" spans="27:27" ht="17.899999999999999" customHeight="1">
      <c r="AA4026"/>
    </row>
    <row r="4027" spans="27:27" ht="17.899999999999999" customHeight="1">
      <c r="AA4027"/>
    </row>
    <row r="4028" spans="27:27" ht="17.899999999999999" customHeight="1">
      <c r="AA4028"/>
    </row>
    <row r="4029" spans="27:27" ht="17.899999999999999" customHeight="1">
      <c r="AA4029"/>
    </row>
    <row r="4030" spans="27:27" ht="17.899999999999999" customHeight="1">
      <c r="AA4030"/>
    </row>
    <row r="4031" spans="27:27" ht="17.899999999999999" customHeight="1">
      <c r="AA4031"/>
    </row>
    <row r="4032" spans="27:27" ht="17.899999999999999" customHeight="1">
      <c r="AA4032"/>
    </row>
    <row r="4033" spans="27:27" ht="17.899999999999999" customHeight="1">
      <c r="AA4033"/>
    </row>
    <row r="4034" spans="27:27" ht="17.899999999999999" customHeight="1">
      <c r="AA4034"/>
    </row>
    <row r="4035" spans="27:27" ht="17.899999999999999" customHeight="1">
      <c r="AA4035"/>
    </row>
    <row r="4036" spans="27:27" ht="17.899999999999999" customHeight="1">
      <c r="AA4036"/>
    </row>
    <row r="4037" spans="27:27" ht="17.899999999999999" customHeight="1">
      <c r="AA4037"/>
    </row>
    <row r="4038" spans="27:27" ht="17.899999999999999" customHeight="1">
      <c r="AA4038"/>
    </row>
    <row r="4039" spans="27:27" ht="17.899999999999999" customHeight="1">
      <c r="AA4039"/>
    </row>
    <row r="4040" spans="27:27" ht="17.899999999999999" customHeight="1">
      <c r="AA4040"/>
    </row>
    <row r="4041" spans="27:27" ht="17.899999999999999" customHeight="1">
      <c r="AA4041"/>
    </row>
    <row r="4042" spans="27:27" ht="17.899999999999999" customHeight="1">
      <c r="AA4042"/>
    </row>
    <row r="4043" spans="27:27" ht="17.899999999999999" customHeight="1">
      <c r="AA4043"/>
    </row>
    <row r="4044" spans="27:27" ht="17.899999999999999" customHeight="1">
      <c r="AA4044"/>
    </row>
    <row r="4045" spans="27:27" ht="17.899999999999999" customHeight="1">
      <c r="AA4045"/>
    </row>
    <row r="4046" spans="27:27" ht="17.899999999999999" customHeight="1">
      <c r="AA4046"/>
    </row>
    <row r="4047" spans="27:27" ht="17.899999999999999" customHeight="1">
      <c r="AA4047"/>
    </row>
    <row r="4048" spans="27:27" ht="17.899999999999999" customHeight="1">
      <c r="AA4048"/>
    </row>
    <row r="4049" spans="27:27" ht="17.899999999999999" customHeight="1">
      <c r="AA4049"/>
    </row>
    <row r="4050" spans="27:27" ht="17.899999999999999" customHeight="1">
      <c r="AA4050"/>
    </row>
    <row r="4051" spans="27:27" ht="17.899999999999999" customHeight="1">
      <c r="AA4051"/>
    </row>
    <row r="4052" spans="27:27" ht="17.899999999999999" customHeight="1">
      <c r="AA4052"/>
    </row>
    <row r="4053" spans="27:27" ht="17.899999999999999" customHeight="1">
      <c r="AA4053"/>
    </row>
    <row r="4054" spans="27:27" ht="17.899999999999999" customHeight="1">
      <c r="AA4054"/>
    </row>
    <row r="4055" spans="27:27" ht="17.899999999999999" customHeight="1">
      <c r="AA4055"/>
    </row>
    <row r="4056" spans="27:27" ht="17.899999999999999" customHeight="1">
      <c r="AA4056"/>
    </row>
    <row r="4057" spans="27:27" ht="17.899999999999999" customHeight="1">
      <c r="AA4057"/>
    </row>
    <row r="4058" spans="27:27" ht="17.899999999999999" customHeight="1">
      <c r="AA4058"/>
    </row>
    <row r="4059" spans="27:27" ht="17.899999999999999" customHeight="1">
      <c r="AA4059"/>
    </row>
    <row r="4060" spans="27:27" ht="17.899999999999999" customHeight="1">
      <c r="AA4060"/>
    </row>
    <row r="4061" spans="27:27" ht="17.899999999999999" customHeight="1">
      <c r="AA4061"/>
    </row>
    <row r="4062" spans="27:27" ht="17.899999999999999" customHeight="1">
      <c r="AA4062"/>
    </row>
    <row r="4063" spans="27:27" ht="17.899999999999999" customHeight="1">
      <c r="AA4063"/>
    </row>
    <row r="4064" spans="27:27" ht="17.899999999999999" customHeight="1">
      <c r="AA4064"/>
    </row>
    <row r="4065" spans="27:27" ht="17.899999999999999" customHeight="1">
      <c r="AA4065"/>
    </row>
    <row r="4066" spans="27:27" ht="17.899999999999999" customHeight="1">
      <c r="AA4066"/>
    </row>
    <row r="4067" spans="27:27" ht="17.899999999999999" customHeight="1">
      <c r="AA4067"/>
    </row>
    <row r="4068" spans="27:27" ht="17.899999999999999" customHeight="1">
      <c r="AA4068"/>
    </row>
    <row r="4069" spans="27:27" ht="17.899999999999999" customHeight="1">
      <c r="AA4069"/>
    </row>
    <row r="4070" spans="27:27" ht="17.899999999999999" customHeight="1">
      <c r="AA4070"/>
    </row>
    <row r="4071" spans="27:27" ht="17.899999999999999" customHeight="1">
      <c r="AA4071"/>
    </row>
    <row r="4072" spans="27:27" ht="17.899999999999999" customHeight="1">
      <c r="AA4072"/>
    </row>
    <row r="4073" spans="27:27" ht="17.899999999999999" customHeight="1">
      <c r="AA4073"/>
    </row>
    <row r="4074" spans="27:27" ht="17.899999999999999" customHeight="1">
      <c r="AA4074"/>
    </row>
    <row r="4075" spans="27:27" ht="17.899999999999999" customHeight="1">
      <c r="AA4075"/>
    </row>
    <row r="4076" spans="27:27" ht="17.899999999999999" customHeight="1">
      <c r="AA4076"/>
    </row>
    <row r="4077" spans="27:27" ht="17.899999999999999" customHeight="1">
      <c r="AA4077"/>
    </row>
    <row r="4078" spans="27:27" ht="17.899999999999999" customHeight="1">
      <c r="AA4078"/>
    </row>
    <row r="4079" spans="27:27" ht="17.899999999999999" customHeight="1">
      <c r="AA4079"/>
    </row>
    <row r="4080" spans="27:27" ht="17.899999999999999" customHeight="1">
      <c r="AA4080"/>
    </row>
    <row r="4081" spans="27:27" ht="17.899999999999999" customHeight="1">
      <c r="AA4081"/>
    </row>
    <row r="4082" spans="27:27" ht="17.899999999999999" customHeight="1">
      <c r="AA4082"/>
    </row>
    <row r="4083" spans="27:27" ht="17.899999999999999" customHeight="1">
      <c r="AA4083"/>
    </row>
    <row r="4084" spans="27:27" ht="17.899999999999999" customHeight="1">
      <c r="AA4084"/>
    </row>
    <row r="4085" spans="27:27" ht="17.899999999999999" customHeight="1">
      <c r="AA4085"/>
    </row>
    <row r="4086" spans="27:27" ht="17.899999999999999" customHeight="1">
      <c r="AA4086"/>
    </row>
    <row r="4087" spans="27:27" ht="17.899999999999999" customHeight="1">
      <c r="AA4087"/>
    </row>
    <row r="4088" spans="27:27" ht="17.899999999999999" customHeight="1">
      <c r="AA4088"/>
    </row>
    <row r="4089" spans="27:27" ht="17.899999999999999" customHeight="1">
      <c r="AA4089"/>
    </row>
    <row r="4090" spans="27:27" ht="17.899999999999999" customHeight="1">
      <c r="AA4090"/>
    </row>
    <row r="4091" spans="27:27" ht="17.899999999999999" customHeight="1">
      <c r="AA4091"/>
    </row>
    <row r="4092" spans="27:27" ht="17.899999999999999" customHeight="1">
      <c r="AA4092"/>
    </row>
    <row r="4093" spans="27:27" ht="17.899999999999999" customHeight="1">
      <c r="AA4093"/>
    </row>
    <row r="4094" spans="27:27" ht="17.899999999999999" customHeight="1">
      <c r="AA4094"/>
    </row>
    <row r="4095" spans="27:27" ht="17.899999999999999" customHeight="1">
      <c r="AA4095"/>
    </row>
    <row r="4096" spans="27:27" ht="17.899999999999999" customHeight="1">
      <c r="AA4096"/>
    </row>
    <row r="4097" spans="27:27" ht="17.899999999999999" customHeight="1">
      <c r="AA4097"/>
    </row>
    <row r="4098" spans="27:27" ht="17.899999999999999" customHeight="1">
      <c r="AA4098"/>
    </row>
    <row r="4099" spans="27:27" ht="17.899999999999999" customHeight="1">
      <c r="AA4099"/>
    </row>
    <row r="4100" spans="27:27" ht="17.899999999999999" customHeight="1">
      <c r="AA4100"/>
    </row>
    <row r="4101" spans="27:27" ht="17.899999999999999" customHeight="1">
      <c r="AA4101"/>
    </row>
    <row r="4102" spans="27:27" ht="17.899999999999999" customHeight="1">
      <c r="AA4102"/>
    </row>
    <row r="4103" spans="27:27" ht="17.899999999999999" customHeight="1">
      <c r="AA4103"/>
    </row>
    <row r="4104" spans="27:27" ht="17.899999999999999" customHeight="1">
      <c r="AA4104"/>
    </row>
    <row r="4105" spans="27:27" ht="17.899999999999999" customHeight="1">
      <c r="AA4105"/>
    </row>
    <row r="4106" spans="27:27" ht="17.899999999999999" customHeight="1">
      <c r="AA4106"/>
    </row>
    <row r="4107" spans="27:27" ht="17.899999999999999" customHeight="1">
      <c r="AA4107"/>
    </row>
    <row r="4108" spans="27:27" ht="17.899999999999999" customHeight="1">
      <c r="AA4108"/>
    </row>
    <row r="4109" spans="27:27" ht="17.899999999999999" customHeight="1">
      <c r="AA4109"/>
    </row>
    <row r="4110" spans="27:27" ht="17.899999999999999" customHeight="1">
      <c r="AA4110"/>
    </row>
    <row r="4111" spans="27:27" ht="17.899999999999999" customHeight="1">
      <c r="AA4111"/>
    </row>
    <row r="4112" spans="27:27" ht="17.899999999999999" customHeight="1">
      <c r="AA4112"/>
    </row>
    <row r="4113" spans="27:27" ht="17.899999999999999" customHeight="1">
      <c r="AA4113"/>
    </row>
    <row r="4114" spans="27:27" ht="17.899999999999999" customHeight="1">
      <c r="AA4114"/>
    </row>
    <row r="4115" spans="27:27" ht="17.899999999999999" customHeight="1">
      <c r="AA4115"/>
    </row>
    <row r="4116" spans="27:27" ht="17.899999999999999" customHeight="1">
      <c r="AA4116"/>
    </row>
    <row r="4117" spans="27:27" ht="17.899999999999999" customHeight="1">
      <c r="AA4117"/>
    </row>
    <row r="4118" spans="27:27" ht="17.899999999999999" customHeight="1">
      <c r="AA4118"/>
    </row>
    <row r="4119" spans="27:27" ht="17.899999999999999" customHeight="1">
      <c r="AA4119"/>
    </row>
    <row r="4120" spans="27:27" ht="17.899999999999999" customHeight="1">
      <c r="AA4120"/>
    </row>
    <row r="4121" spans="27:27" ht="17.899999999999999" customHeight="1">
      <c r="AA4121"/>
    </row>
    <row r="4122" spans="27:27" ht="17.899999999999999" customHeight="1">
      <c r="AA4122"/>
    </row>
    <row r="4123" spans="27:27" ht="17.899999999999999" customHeight="1">
      <c r="AA4123"/>
    </row>
    <row r="4124" spans="27:27" ht="17.899999999999999" customHeight="1">
      <c r="AA4124"/>
    </row>
    <row r="4125" spans="27:27" ht="17.899999999999999" customHeight="1">
      <c r="AA4125"/>
    </row>
    <row r="4126" spans="27:27" ht="17.899999999999999" customHeight="1">
      <c r="AA4126"/>
    </row>
    <row r="4127" spans="27:27" ht="17.899999999999999" customHeight="1">
      <c r="AA4127"/>
    </row>
    <row r="4128" spans="27:27" ht="17.899999999999999" customHeight="1">
      <c r="AA4128"/>
    </row>
    <row r="4129" spans="27:27" ht="17.899999999999999" customHeight="1">
      <c r="AA4129"/>
    </row>
    <row r="4130" spans="27:27" ht="17.899999999999999" customHeight="1">
      <c r="AA4130"/>
    </row>
    <row r="4131" spans="27:27" ht="17.899999999999999" customHeight="1">
      <c r="AA4131"/>
    </row>
    <row r="4132" spans="27:27" ht="17.899999999999999" customHeight="1">
      <c r="AA4132"/>
    </row>
    <row r="4133" spans="27:27" ht="17.899999999999999" customHeight="1">
      <c r="AA4133"/>
    </row>
    <row r="4134" spans="27:27" ht="17.899999999999999" customHeight="1">
      <c r="AA4134"/>
    </row>
    <row r="4135" spans="27:27" ht="17.899999999999999" customHeight="1">
      <c r="AA4135"/>
    </row>
    <row r="4136" spans="27:27" ht="17.899999999999999" customHeight="1">
      <c r="AA4136"/>
    </row>
    <row r="4137" spans="27:27" ht="17.899999999999999" customHeight="1">
      <c r="AA4137"/>
    </row>
    <row r="4138" spans="27:27" ht="17.899999999999999" customHeight="1">
      <c r="AA4138"/>
    </row>
    <row r="4139" spans="27:27" ht="17.899999999999999" customHeight="1">
      <c r="AA4139"/>
    </row>
    <row r="4140" spans="27:27" ht="17.899999999999999" customHeight="1">
      <c r="AA4140"/>
    </row>
    <row r="4141" spans="27:27" ht="17.899999999999999" customHeight="1">
      <c r="AA4141"/>
    </row>
    <row r="4142" spans="27:27" ht="17.899999999999999" customHeight="1">
      <c r="AA4142"/>
    </row>
    <row r="4143" spans="27:27" ht="17.899999999999999" customHeight="1">
      <c r="AA4143"/>
    </row>
    <row r="4144" spans="27:27" ht="17.899999999999999" customHeight="1">
      <c r="AA4144"/>
    </row>
    <row r="4145" spans="27:27" ht="17.899999999999999" customHeight="1">
      <c r="AA4145"/>
    </row>
    <row r="4146" spans="27:27" ht="17.899999999999999" customHeight="1">
      <c r="AA4146"/>
    </row>
    <row r="4147" spans="27:27" ht="17.899999999999999" customHeight="1">
      <c r="AA4147"/>
    </row>
    <row r="4148" spans="27:27" ht="17.899999999999999" customHeight="1">
      <c r="AA4148"/>
    </row>
    <row r="4149" spans="27:27" ht="17.899999999999999" customHeight="1">
      <c r="AA4149"/>
    </row>
    <row r="4150" spans="27:27" ht="17.899999999999999" customHeight="1">
      <c r="AA4150"/>
    </row>
    <row r="4151" spans="27:27" ht="17.899999999999999" customHeight="1">
      <c r="AA4151"/>
    </row>
    <row r="4152" spans="27:27" ht="17.899999999999999" customHeight="1">
      <c r="AA4152"/>
    </row>
    <row r="4153" spans="27:27" ht="17.899999999999999" customHeight="1">
      <c r="AA4153"/>
    </row>
    <row r="4154" spans="27:27" ht="17.899999999999999" customHeight="1">
      <c r="AA4154"/>
    </row>
    <row r="4155" spans="27:27" ht="17.899999999999999" customHeight="1">
      <c r="AA4155"/>
    </row>
    <row r="4156" spans="27:27" ht="17.899999999999999" customHeight="1">
      <c r="AA4156"/>
    </row>
    <row r="4157" spans="27:27" ht="17.899999999999999" customHeight="1">
      <c r="AA4157"/>
    </row>
    <row r="4158" spans="27:27" ht="17.899999999999999" customHeight="1">
      <c r="AA4158"/>
    </row>
    <row r="4159" spans="27:27" ht="17.899999999999999" customHeight="1">
      <c r="AA4159"/>
    </row>
    <row r="4160" spans="27:27" ht="17.899999999999999" customHeight="1">
      <c r="AA4160"/>
    </row>
    <row r="4161" spans="27:27" ht="17.899999999999999" customHeight="1">
      <c r="AA4161"/>
    </row>
    <row r="4162" spans="27:27" ht="17.899999999999999" customHeight="1">
      <c r="AA4162"/>
    </row>
    <row r="4163" spans="27:27" ht="17.899999999999999" customHeight="1">
      <c r="AA4163"/>
    </row>
    <row r="4164" spans="27:27" ht="17.899999999999999" customHeight="1">
      <c r="AA4164"/>
    </row>
    <row r="4165" spans="27:27" ht="17.899999999999999" customHeight="1">
      <c r="AA4165"/>
    </row>
    <row r="4166" spans="27:27" ht="17.899999999999999" customHeight="1">
      <c r="AA4166"/>
    </row>
    <row r="4167" spans="27:27" ht="17.899999999999999" customHeight="1">
      <c r="AA4167"/>
    </row>
    <row r="4168" spans="27:27" ht="17.899999999999999" customHeight="1">
      <c r="AA4168"/>
    </row>
    <row r="4169" spans="27:27" ht="17.899999999999999" customHeight="1">
      <c r="AA4169"/>
    </row>
    <row r="4170" spans="27:27" ht="17.899999999999999" customHeight="1">
      <c r="AA4170"/>
    </row>
    <row r="4171" spans="27:27" ht="17.899999999999999" customHeight="1">
      <c r="AA4171"/>
    </row>
    <row r="4172" spans="27:27" ht="17.899999999999999" customHeight="1">
      <c r="AA4172"/>
    </row>
    <row r="4173" spans="27:27" ht="17.899999999999999" customHeight="1">
      <c r="AA4173"/>
    </row>
    <row r="4174" spans="27:27" ht="17.899999999999999" customHeight="1">
      <c r="AA4174"/>
    </row>
    <row r="4175" spans="27:27" ht="17.899999999999999" customHeight="1">
      <c r="AA4175"/>
    </row>
    <row r="4176" spans="27:27" ht="17.899999999999999" customHeight="1">
      <c r="AA4176"/>
    </row>
    <row r="4177" spans="27:27" ht="17.899999999999999" customHeight="1">
      <c r="AA4177"/>
    </row>
    <row r="4178" spans="27:27" ht="17.899999999999999" customHeight="1">
      <c r="AA4178"/>
    </row>
    <row r="4179" spans="27:27" ht="17.899999999999999" customHeight="1">
      <c r="AA4179"/>
    </row>
    <row r="4180" spans="27:27" ht="17.899999999999999" customHeight="1">
      <c r="AA4180"/>
    </row>
    <row r="4181" spans="27:27" ht="17.899999999999999" customHeight="1">
      <c r="AA4181"/>
    </row>
    <row r="4182" spans="27:27" ht="17.899999999999999" customHeight="1">
      <c r="AA4182"/>
    </row>
    <row r="4183" spans="27:27" ht="17.899999999999999" customHeight="1">
      <c r="AA4183"/>
    </row>
    <row r="4184" spans="27:27" ht="17.899999999999999" customHeight="1">
      <c r="AA4184"/>
    </row>
    <row r="4185" spans="27:27" ht="17.899999999999999" customHeight="1">
      <c r="AA4185"/>
    </row>
    <row r="4186" spans="27:27" ht="17.899999999999999" customHeight="1">
      <c r="AA4186"/>
    </row>
    <row r="4187" spans="27:27" ht="17.899999999999999" customHeight="1">
      <c r="AA4187"/>
    </row>
    <row r="4188" spans="27:27" ht="17.899999999999999" customHeight="1">
      <c r="AA4188"/>
    </row>
    <row r="4189" spans="27:27" ht="17.899999999999999" customHeight="1">
      <c r="AA4189"/>
    </row>
    <row r="4190" spans="27:27" ht="17.899999999999999" customHeight="1">
      <c r="AA4190"/>
    </row>
    <row r="4191" spans="27:27" ht="17.899999999999999" customHeight="1">
      <c r="AA4191"/>
    </row>
    <row r="4192" spans="27:27" ht="17.899999999999999" customHeight="1">
      <c r="AA4192"/>
    </row>
    <row r="4193" spans="27:27" ht="17.899999999999999" customHeight="1">
      <c r="AA4193"/>
    </row>
    <row r="4194" spans="27:27" ht="17.899999999999999" customHeight="1">
      <c r="AA4194"/>
    </row>
    <row r="4195" spans="27:27" ht="17.899999999999999" customHeight="1">
      <c r="AA4195"/>
    </row>
    <row r="4196" spans="27:27" ht="17.899999999999999" customHeight="1">
      <c r="AA4196"/>
    </row>
    <row r="4197" spans="27:27" ht="17.899999999999999" customHeight="1">
      <c r="AA4197"/>
    </row>
    <row r="4198" spans="27:27" ht="17.899999999999999" customHeight="1">
      <c r="AA4198"/>
    </row>
    <row r="4199" spans="27:27" ht="17.899999999999999" customHeight="1">
      <c r="AA4199"/>
    </row>
    <row r="4200" spans="27:27" ht="17.899999999999999" customHeight="1">
      <c r="AA4200"/>
    </row>
    <row r="4201" spans="27:27" ht="17.899999999999999" customHeight="1">
      <c r="AA4201"/>
    </row>
    <row r="4202" spans="27:27" ht="17.899999999999999" customHeight="1">
      <c r="AA4202"/>
    </row>
    <row r="4203" spans="27:27" ht="17.899999999999999" customHeight="1">
      <c r="AA4203"/>
    </row>
    <row r="4204" spans="27:27" ht="17.899999999999999" customHeight="1">
      <c r="AA4204"/>
    </row>
    <row r="4205" spans="27:27" ht="17.899999999999999" customHeight="1">
      <c r="AA4205"/>
    </row>
    <row r="4206" spans="27:27" ht="17.899999999999999" customHeight="1">
      <c r="AA4206"/>
    </row>
    <row r="4207" spans="27:27" ht="17.899999999999999" customHeight="1">
      <c r="AA4207"/>
    </row>
    <row r="4208" spans="27:27" ht="17.899999999999999" customHeight="1">
      <c r="AA4208"/>
    </row>
    <row r="4209" spans="27:27" ht="17.899999999999999" customHeight="1">
      <c r="AA4209"/>
    </row>
    <row r="4210" spans="27:27" ht="17.899999999999999" customHeight="1">
      <c r="AA4210"/>
    </row>
    <row r="4211" spans="27:27" ht="17.899999999999999" customHeight="1">
      <c r="AA4211"/>
    </row>
    <row r="4212" spans="27:27" ht="17.899999999999999" customHeight="1">
      <c r="AA4212"/>
    </row>
    <row r="4213" spans="27:27" ht="17.899999999999999" customHeight="1">
      <c r="AA4213"/>
    </row>
    <row r="4214" spans="27:27" ht="17.899999999999999" customHeight="1">
      <c r="AA4214"/>
    </row>
    <row r="4215" spans="27:27" ht="17.899999999999999" customHeight="1">
      <c r="AA4215"/>
    </row>
    <row r="4216" spans="27:27" ht="17.899999999999999" customHeight="1">
      <c r="AA4216"/>
    </row>
    <row r="4217" spans="27:27" ht="17.899999999999999" customHeight="1">
      <c r="AA4217"/>
    </row>
    <row r="4218" spans="27:27" ht="17.899999999999999" customHeight="1">
      <c r="AA4218"/>
    </row>
    <row r="4219" spans="27:27" ht="17.899999999999999" customHeight="1">
      <c r="AA4219"/>
    </row>
    <row r="4220" spans="27:27" ht="17.899999999999999" customHeight="1">
      <c r="AA4220"/>
    </row>
    <row r="4221" spans="27:27" ht="17.899999999999999" customHeight="1">
      <c r="AA4221"/>
    </row>
    <row r="4222" spans="27:27" ht="17.899999999999999" customHeight="1">
      <c r="AA4222"/>
    </row>
    <row r="4223" spans="27:27" ht="17.899999999999999" customHeight="1">
      <c r="AA4223"/>
    </row>
    <row r="4224" spans="27:27" ht="17.899999999999999" customHeight="1">
      <c r="AA4224"/>
    </row>
    <row r="4225" spans="27:27" ht="17.899999999999999" customHeight="1">
      <c r="AA4225"/>
    </row>
    <row r="4226" spans="27:27" ht="17.899999999999999" customHeight="1">
      <c r="AA4226"/>
    </row>
    <row r="4227" spans="27:27" ht="17.899999999999999" customHeight="1">
      <c r="AA4227"/>
    </row>
    <row r="4228" spans="27:27" ht="17.899999999999999" customHeight="1">
      <c r="AA4228"/>
    </row>
    <row r="4229" spans="27:27" ht="17.899999999999999" customHeight="1">
      <c r="AA4229"/>
    </row>
    <row r="4230" spans="27:27" ht="17.899999999999999" customHeight="1">
      <c r="AA4230"/>
    </row>
    <row r="4231" spans="27:27" ht="17.899999999999999" customHeight="1">
      <c r="AA4231"/>
    </row>
    <row r="4232" spans="27:27" ht="17.899999999999999" customHeight="1">
      <c r="AA4232"/>
    </row>
    <row r="4233" spans="27:27" ht="17.899999999999999" customHeight="1">
      <c r="AA4233"/>
    </row>
    <row r="4234" spans="27:27" ht="17.899999999999999" customHeight="1">
      <c r="AA4234"/>
    </row>
    <row r="4235" spans="27:27" ht="17.899999999999999" customHeight="1">
      <c r="AA4235"/>
    </row>
    <row r="4236" spans="27:27" ht="17.899999999999999" customHeight="1">
      <c r="AA4236"/>
    </row>
    <row r="4237" spans="27:27" ht="17.899999999999999" customHeight="1">
      <c r="AA4237"/>
    </row>
    <row r="4238" spans="27:27" ht="17.899999999999999" customHeight="1">
      <c r="AA4238"/>
    </row>
    <row r="4239" spans="27:27" ht="17.899999999999999" customHeight="1">
      <c r="AA4239"/>
    </row>
    <row r="4240" spans="27:27" ht="17.899999999999999" customHeight="1">
      <c r="AA4240"/>
    </row>
    <row r="4241" spans="27:27" ht="17.899999999999999" customHeight="1">
      <c r="AA4241"/>
    </row>
    <row r="4242" spans="27:27" ht="17.899999999999999" customHeight="1">
      <c r="AA4242"/>
    </row>
    <row r="4243" spans="27:27" ht="17.899999999999999" customHeight="1">
      <c r="AA4243"/>
    </row>
    <row r="4244" spans="27:27" ht="17.899999999999999" customHeight="1">
      <c r="AA4244"/>
    </row>
    <row r="4245" spans="27:27" ht="17.899999999999999" customHeight="1">
      <c r="AA4245"/>
    </row>
    <row r="4246" spans="27:27" ht="17.899999999999999" customHeight="1">
      <c r="AA4246"/>
    </row>
    <row r="4247" spans="27:27" ht="17.899999999999999" customHeight="1">
      <c r="AA4247"/>
    </row>
    <row r="4248" spans="27:27" ht="17.899999999999999" customHeight="1">
      <c r="AA4248"/>
    </row>
    <row r="4249" spans="27:27" ht="17.899999999999999" customHeight="1">
      <c r="AA4249"/>
    </row>
    <row r="4250" spans="27:27" ht="17.899999999999999" customHeight="1">
      <c r="AA4250"/>
    </row>
    <row r="4251" spans="27:27" ht="17.899999999999999" customHeight="1">
      <c r="AA4251"/>
    </row>
    <row r="4252" spans="27:27" ht="17.899999999999999" customHeight="1">
      <c r="AA4252"/>
    </row>
    <row r="4253" spans="27:27" ht="17.899999999999999" customHeight="1">
      <c r="AA4253"/>
    </row>
    <row r="4254" spans="27:27" ht="17.899999999999999" customHeight="1">
      <c r="AA4254"/>
    </row>
    <row r="4255" spans="27:27" ht="17.899999999999999" customHeight="1">
      <c r="AA4255"/>
    </row>
    <row r="4256" spans="27:27" ht="17.899999999999999" customHeight="1">
      <c r="AA4256"/>
    </row>
    <row r="4257" spans="27:27" ht="17.899999999999999" customHeight="1">
      <c r="AA4257"/>
    </row>
    <row r="4258" spans="27:27" ht="17.899999999999999" customHeight="1">
      <c r="AA4258"/>
    </row>
    <row r="4259" spans="27:27" ht="17.899999999999999" customHeight="1">
      <c r="AA4259"/>
    </row>
    <row r="4260" spans="27:27" ht="17.899999999999999" customHeight="1">
      <c r="AA4260"/>
    </row>
    <row r="4261" spans="27:27" ht="17.899999999999999" customHeight="1">
      <c r="AA4261"/>
    </row>
    <row r="4262" spans="27:27" ht="17.899999999999999" customHeight="1">
      <c r="AA4262"/>
    </row>
    <row r="4263" spans="27:27" ht="17.899999999999999" customHeight="1">
      <c r="AA4263"/>
    </row>
    <row r="4264" spans="27:27" ht="17.899999999999999" customHeight="1">
      <c r="AA4264"/>
    </row>
    <row r="4265" spans="27:27" ht="17.899999999999999" customHeight="1">
      <c r="AA4265"/>
    </row>
    <row r="4266" spans="27:27" ht="17.899999999999999" customHeight="1">
      <c r="AA4266"/>
    </row>
    <row r="4267" spans="27:27" ht="17.899999999999999" customHeight="1">
      <c r="AA4267"/>
    </row>
    <row r="4268" spans="27:27" ht="17.899999999999999" customHeight="1">
      <c r="AA4268"/>
    </row>
    <row r="4269" spans="27:27" ht="17.899999999999999" customHeight="1">
      <c r="AA4269"/>
    </row>
    <row r="4270" spans="27:27" ht="17.899999999999999" customHeight="1">
      <c r="AA4270"/>
    </row>
    <row r="4271" spans="27:27" ht="17.899999999999999" customHeight="1">
      <c r="AA4271"/>
    </row>
    <row r="4272" spans="27:27" ht="17.899999999999999" customHeight="1">
      <c r="AA4272"/>
    </row>
    <row r="4273" spans="27:27" ht="17.899999999999999" customHeight="1">
      <c r="AA4273"/>
    </row>
    <row r="4274" spans="27:27" ht="17.899999999999999" customHeight="1">
      <c r="AA4274"/>
    </row>
    <row r="4275" spans="27:27" ht="17.899999999999999" customHeight="1">
      <c r="AA4275"/>
    </row>
    <row r="4276" spans="27:27" ht="17.899999999999999" customHeight="1">
      <c r="AA4276"/>
    </row>
    <row r="4277" spans="27:27" ht="17.899999999999999" customHeight="1">
      <c r="AA4277"/>
    </row>
    <row r="4278" spans="27:27" ht="17.899999999999999" customHeight="1">
      <c r="AA4278"/>
    </row>
    <row r="4279" spans="27:27" ht="17.899999999999999" customHeight="1">
      <c r="AA4279"/>
    </row>
    <row r="4280" spans="27:27" ht="17.899999999999999" customHeight="1">
      <c r="AA4280"/>
    </row>
    <row r="4281" spans="27:27" ht="17.899999999999999" customHeight="1">
      <c r="AA4281"/>
    </row>
    <row r="4282" spans="27:27" ht="17.899999999999999" customHeight="1">
      <c r="AA4282"/>
    </row>
    <row r="4283" spans="27:27" ht="17.899999999999999" customHeight="1">
      <c r="AA4283"/>
    </row>
    <row r="4284" spans="27:27" ht="17.899999999999999" customHeight="1">
      <c r="AA4284"/>
    </row>
    <row r="4285" spans="27:27" ht="17.899999999999999" customHeight="1">
      <c r="AA4285"/>
    </row>
    <row r="4286" spans="27:27" ht="17.899999999999999" customHeight="1">
      <c r="AA4286"/>
    </row>
    <row r="4287" spans="27:27" ht="17.899999999999999" customHeight="1">
      <c r="AA4287"/>
    </row>
    <row r="4288" spans="27:27" ht="17.899999999999999" customHeight="1">
      <c r="AA4288"/>
    </row>
    <row r="4289" spans="27:27" ht="17.899999999999999" customHeight="1">
      <c r="AA4289"/>
    </row>
    <row r="4290" spans="27:27" ht="17.899999999999999" customHeight="1">
      <c r="AA4290"/>
    </row>
    <row r="4291" spans="27:27" ht="17.899999999999999" customHeight="1">
      <c r="AA4291"/>
    </row>
    <row r="4292" spans="27:27" ht="17.899999999999999" customHeight="1">
      <c r="AA4292"/>
    </row>
    <row r="4293" spans="27:27" ht="17.899999999999999" customHeight="1">
      <c r="AA4293"/>
    </row>
    <row r="4294" spans="27:27" ht="17.899999999999999" customHeight="1">
      <c r="AA4294"/>
    </row>
    <row r="4295" spans="27:27" ht="17.899999999999999" customHeight="1">
      <c r="AA4295"/>
    </row>
    <row r="4296" spans="27:27" ht="17.899999999999999" customHeight="1">
      <c r="AA4296"/>
    </row>
    <row r="4297" spans="27:27" ht="17.899999999999999" customHeight="1">
      <c r="AA4297"/>
    </row>
    <row r="4298" spans="27:27" ht="17.899999999999999" customHeight="1">
      <c r="AA4298"/>
    </row>
    <row r="4299" spans="27:27" ht="17.899999999999999" customHeight="1">
      <c r="AA4299"/>
    </row>
    <row r="4300" spans="27:27" ht="17.899999999999999" customHeight="1">
      <c r="AA4300"/>
    </row>
    <row r="4301" spans="27:27" ht="17.899999999999999" customHeight="1">
      <c r="AA4301"/>
    </row>
    <row r="4302" spans="27:27" ht="17.899999999999999" customHeight="1">
      <c r="AA4302"/>
    </row>
    <row r="4303" spans="27:27" ht="17.899999999999999" customHeight="1">
      <c r="AA4303"/>
    </row>
    <row r="4304" spans="27:27" ht="17.899999999999999" customHeight="1">
      <c r="AA4304"/>
    </row>
    <row r="4305" spans="27:27" ht="17.899999999999999" customHeight="1">
      <c r="AA4305"/>
    </row>
    <row r="4306" spans="27:27" ht="17.899999999999999" customHeight="1">
      <c r="AA4306"/>
    </row>
    <row r="4307" spans="27:27" ht="17.899999999999999" customHeight="1">
      <c r="AA4307"/>
    </row>
    <row r="4308" spans="27:27" ht="17.899999999999999" customHeight="1">
      <c r="AA4308"/>
    </row>
    <row r="4309" spans="27:27" ht="17.899999999999999" customHeight="1">
      <c r="AA4309"/>
    </row>
    <row r="4310" spans="27:27" ht="17.899999999999999" customHeight="1">
      <c r="AA4310"/>
    </row>
    <row r="4311" spans="27:27" ht="17.899999999999999" customHeight="1">
      <c r="AA4311"/>
    </row>
    <row r="4312" spans="27:27" ht="17.899999999999999" customHeight="1">
      <c r="AA4312"/>
    </row>
    <row r="4313" spans="27:27" ht="17.899999999999999" customHeight="1">
      <c r="AA4313"/>
    </row>
    <row r="4314" spans="27:27" ht="17.899999999999999" customHeight="1">
      <c r="AA4314"/>
    </row>
    <row r="4315" spans="27:27" ht="17.899999999999999" customHeight="1">
      <c r="AA4315"/>
    </row>
    <row r="4316" spans="27:27" ht="17.899999999999999" customHeight="1">
      <c r="AA4316"/>
    </row>
    <row r="4317" spans="27:27" ht="17.899999999999999" customHeight="1">
      <c r="AA4317"/>
    </row>
    <row r="4318" spans="27:27" ht="17.899999999999999" customHeight="1">
      <c r="AA4318"/>
    </row>
    <row r="4319" spans="27:27" ht="17.899999999999999" customHeight="1">
      <c r="AA4319"/>
    </row>
    <row r="4320" spans="27:27" ht="17.899999999999999" customHeight="1">
      <c r="AA4320"/>
    </row>
    <row r="4321" spans="27:27" ht="17.899999999999999" customHeight="1">
      <c r="AA4321"/>
    </row>
    <row r="4322" spans="27:27" ht="17.899999999999999" customHeight="1">
      <c r="AA4322"/>
    </row>
    <row r="4323" spans="27:27" ht="17.899999999999999" customHeight="1">
      <c r="AA4323"/>
    </row>
    <row r="4324" spans="27:27" ht="17.899999999999999" customHeight="1">
      <c r="AA4324"/>
    </row>
    <row r="4325" spans="27:27" ht="17.899999999999999" customHeight="1">
      <c r="AA4325"/>
    </row>
    <row r="4326" spans="27:27" ht="17.899999999999999" customHeight="1">
      <c r="AA4326"/>
    </row>
    <row r="4327" spans="27:27" ht="17.899999999999999" customHeight="1">
      <c r="AA4327"/>
    </row>
    <row r="4328" spans="27:27" ht="17.899999999999999" customHeight="1">
      <c r="AA4328"/>
    </row>
    <row r="4329" spans="27:27" ht="17.899999999999999" customHeight="1">
      <c r="AA4329"/>
    </row>
    <row r="4330" spans="27:27" ht="17.899999999999999" customHeight="1">
      <c r="AA4330"/>
    </row>
    <row r="4331" spans="27:27" ht="17.899999999999999" customHeight="1">
      <c r="AA4331"/>
    </row>
    <row r="4332" spans="27:27" ht="17.899999999999999" customHeight="1">
      <c r="AA4332"/>
    </row>
    <row r="4333" spans="27:27" ht="17.899999999999999" customHeight="1">
      <c r="AA4333"/>
    </row>
    <row r="4334" spans="27:27" ht="17.899999999999999" customHeight="1">
      <c r="AA4334"/>
    </row>
    <row r="4335" spans="27:27" ht="17.899999999999999" customHeight="1">
      <c r="AA4335"/>
    </row>
    <row r="4336" spans="27:27" ht="17.899999999999999" customHeight="1">
      <c r="AA4336"/>
    </row>
    <row r="4337" spans="27:27" ht="17.899999999999999" customHeight="1">
      <c r="AA4337"/>
    </row>
    <row r="4338" spans="27:27" ht="17.899999999999999" customHeight="1">
      <c r="AA4338"/>
    </row>
    <row r="4339" spans="27:27" ht="17.899999999999999" customHeight="1">
      <c r="AA4339"/>
    </row>
    <row r="4340" spans="27:27" ht="17.899999999999999" customHeight="1">
      <c r="AA4340"/>
    </row>
    <row r="4341" spans="27:27" ht="17.899999999999999" customHeight="1">
      <c r="AA4341"/>
    </row>
    <row r="4342" spans="27:27" ht="17.899999999999999" customHeight="1">
      <c r="AA4342"/>
    </row>
    <row r="4343" spans="27:27" ht="17.899999999999999" customHeight="1">
      <c r="AA4343"/>
    </row>
    <row r="4344" spans="27:27" ht="17.899999999999999" customHeight="1">
      <c r="AA4344"/>
    </row>
    <row r="4345" spans="27:27" ht="17.899999999999999" customHeight="1">
      <c r="AA4345"/>
    </row>
    <row r="4346" spans="27:27" ht="17.899999999999999" customHeight="1">
      <c r="AA4346"/>
    </row>
    <row r="4347" spans="27:27" ht="17.899999999999999" customHeight="1">
      <c r="AA4347"/>
    </row>
    <row r="4348" spans="27:27" ht="17.899999999999999" customHeight="1">
      <c r="AA4348"/>
    </row>
    <row r="4349" spans="27:27" ht="17.899999999999999" customHeight="1">
      <c r="AA4349"/>
    </row>
    <row r="4350" spans="27:27" ht="17.899999999999999" customHeight="1">
      <c r="AA4350"/>
    </row>
    <row r="4351" spans="27:27" ht="17.899999999999999" customHeight="1">
      <c r="AA4351"/>
    </row>
    <row r="4352" spans="27:27" ht="17.899999999999999" customHeight="1">
      <c r="AA4352"/>
    </row>
    <row r="4353" spans="27:27" ht="17.899999999999999" customHeight="1">
      <c r="AA4353"/>
    </row>
    <row r="4354" spans="27:27" ht="17.899999999999999" customHeight="1">
      <c r="AA4354"/>
    </row>
    <row r="4355" spans="27:27" ht="17.899999999999999" customHeight="1">
      <c r="AA4355"/>
    </row>
    <row r="4356" spans="27:27" ht="17.899999999999999" customHeight="1">
      <c r="AA4356"/>
    </row>
    <row r="4357" spans="27:27" ht="17.899999999999999" customHeight="1">
      <c r="AA4357"/>
    </row>
    <row r="4358" spans="27:27" ht="17.899999999999999" customHeight="1">
      <c r="AA4358"/>
    </row>
    <row r="4359" spans="27:27" ht="17.899999999999999" customHeight="1">
      <c r="AA4359"/>
    </row>
    <row r="4360" spans="27:27" ht="17.899999999999999" customHeight="1">
      <c r="AA4360"/>
    </row>
    <row r="4361" spans="27:27" ht="17.899999999999999" customHeight="1">
      <c r="AA4361"/>
    </row>
    <row r="4362" spans="27:27" ht="17.899999999999999" customHeight="1">
      <c r="AA4362"/>
    </row>
    <row r="4363" spans="27:27" ht="17.899999999999999" customHeight="1">
      <c r="AA4363"/>
    </row>
    <row r="4364" spans="27:27" ht="17.899999999999999" customHeight="1">
      <c r="AA4364"/>
    </row>
    <row r="4365" spans="27:27" ht="17.899999999999999" customHeight="1">
      <c r="AA4365"/>
    </row>
    <row r="4366" spans="27:27" ht="17.899999999999999" customHeight="1">
      <c r="AA4366"/>
    </row>
    <row r="4367" spans="27:27" ht="17.899999999999999" customHeight="1">
      <c r="AA4367"/>
    </row>
    <row r="4368" spans="27:27" ht="17.899999999999999" customHeight="1">
      <c r="AA4368"/>
    </row>
    <row r="4369" spans="27:27" ht="17.899999999999999" customHeight="1">
      <c r="AA4369"/>
    </row>
    <row r="4370" spans="27:27" ht="17.899999999999999" customHeight="1">
      <c r="AA4370"/>
    </row>
    <row r="4371" spans="27:27" ht="17.899999999999999" customHeight="1">
      <c r="AA4371"/>
    </row>
    <row r="4372" spans="27:27" ht="17.899999999999999" customHeight="1">
      <c r="AA4372"/>
    </row>
    <row r="4373" spans="27:27" ht="17.899999999999999" customHeight="1">
      <c r="AA4373"/>
    </row>
    <row r="4374" spans="27:27" ht="17.899999999999999" customHeight="1">
      <c r="AA4374"/>
    </row>
    <row r="4375" spans="27:27" ht="17.899999999999999" customHeight="1">
      <c r="AA4375"/>
    </row>
    <row r="4376" spans="27:27" ht="17.899999999999999" customHeight="1">
      <c r="AA4376"/>
    </row>
    <row r="4377" spans="27:27" ht="17.899999999999999" customHeight="1">
      <c r="AA4377"/>
    </row>
    <row r="4378" spans="27:27" ht="17.899999999999999" customHeight="1">
      <c r="AA4378"/>
    </row>
    <row r="4379" spans="27:27" ht="17.899999999999999" customHeight="1">
      <c r="AA4379"/>
    </row>
    <row r="4380" spans="27:27" ht="17.899999999999999" customHeight="1">
      <c r="AA4380"/>
    </row>
    <row r="4381" spans="27:27" ht="17.899999999999999" customHeight="1">
      <c r="AA4381"/>
    </row>
    <row r="4382" spans="27:27" ht="17.899999999999999" customHeight="1">
      <c r="AA4382"/>
    </row>
    <row r="4383" spans="27:27" ht="17.899999999999999" customHeight="1">
      <c r="AA4383"/>
    </row>
    <row r="4384" spans="27:27" ht="17.899999999999999" customHeight="1">
      <c r="AA4384"/>
    </row>
    <row r="4385" spans="27:27" ht="17.899999999999999" customHeight="1">
      <c r="AA4385"/>
    </row>
    <row r="4386" spans="27:27" ht="17.899999999999999" customHeight="1">
      <c r="AA4386"/>
    </row>
    <row r="4387" spans="27:27" ht="17.899999999999999" customHeight="1">
      <c r="AA4387"/>
    </row>
    <row r="4388" spans="27:27" ht="17.899999999999999" customHeight="1">
      <c r="AA4388"/>
    </row>
    <row r="4389" spans="27:27" ht="17.899999999999999" customHeight="1">
      <c r="AA4389"/>
    </row>
    <row r="4390" spans="27:27" ht="17.899999999999999" customHeight="1">
      <c r="AA4390"/>
    </row>
    <row r="4391" spans="27:27" ht="17.899999999999999" customHeight="1">
      <c r="AA4391"/>
    </row>
    <row r="4392" spans="27:27" ht="17.899999999999999" customHeight="1">
      <c r="AA4392"/>
    </row>
    <row r="4393" spans="27:27" ht="17.899999999999999" customHeight="1">
      <c r="AA4393"/>
    </row>
    <row r="4394" spans="27:27" ht="17.899999999999999" customHeight="1">
      <c r="AA4394"/>
    </row>
    <row r="4395" spans="27:27" ht="17.899999999999999" customHeight="1">
      <c r="AA4395"/>
    </row>
    <row r="4396" spans="27:27" ht="17.899999999999999" customHeight="1">
      <c r="AA4396"/>
    </row>
    <row r="4397" spans="27:27" ht="17.899999999999999" customHeight="1">
      <c r="AA4397"/>
    </row>
    <row r="4398" spans="27:27" ht="17.899999999999999" customHeight="1">
      <c r="AA4398"/>
    </row>
    <row r="4399" spans="27:27" ht="17.899999999999999" customHeight="1">
      <c r="AA4399"/>
    </row>
    <row r="4400" spans="27:27" ht="17.899999999999999" customHeight="1">
      <c r="AA4400"/>
    </row>
    <row r="4401" spans="27:27" ht="17.899999999999999" customHeight="1">
      <c r="AA4401"/>
    </row>
    <row r="4402" spans="27:27" ht="17.899999999999999" customHeight="1">
      <c r="AA4402"/>
    </row>
    <row r="4403" spans="27:27" ht="17.899999999999999" customHeight="1">
      <c r="AA4403"/>
    </row>
    <row r="4404" spans="27:27" ht="17.899999999999999" customHeight="1">
      <c r="AA4404"/>
    </row>
    <row r="4405" spans="27:27" ht="17.899999999999999" customHeight="1">
      <c r="AA4405"/>
    </row>
    <row r="4406" spans="27:27" ht="17.899999999999999" customHeight="1">
      <c r="AA4406"/>
    </row>
    <row r="4407" spans="27:27" ht="17.899999999999999" customHeight="1">
      <c r="AA4407"/>
    </row>
    <row r="4408" spans="27:27" ht="17.899999999999999" customHeight="1">
      <c r="AA4408"/>
    </row>
    <row r="4409" spans="27:27" ht="17.899999999999999" customHeight="1">
      <c r="AA4409"/>
    </row>
    <row r="4410" spans="27:27" ht="17.899999999999999" customHeight="1">
      <c r="AA4410"/>
    </row>
    <row r="4411" spans="27:27" ht="17.899999999999999" customHeight="1">
      <c r="AA4411"/>
    </row>
    <row r="4412" spans="27:27" ht="17.899999999999999" customHeight="1">
      <c r="AA4412"/>
    </row>
    <row r="4413" spans="27:27" ht="17.899999999999999" customHeight="1">
      <c r="AA4413"/>
    </row>
    <row r="4414" spans="27:27" ht="17.899999999999999" customHeight="1">
      <c r="AA4414"/>
    </row>
    <row r="4415" spans="27:27" ht="17.899999999999999" customHeight="1">
      <c r="AA4415"/>
    </row>
    <row r="4416" spans="27:27" ht="17.899999999999999" customHeight="1">
      <c r="AA4416"/>
    </row>
    <row r="4417" spans="27:27" ht="17.899999999999999" customHeight="1">
      <c r="AA4417"/>
    </row>
    <row r="4418" spans="27:27" ht="17.899999999999999" customHeight="1">
      <c r="AA4418"/>
    </row>
    <row r="4419" spans="27:27" ht="17.899999999999999" customHeight="1">
      <c r="AA4419"/>
    </row>
    <row r="4420" spans="27:27" ht="17.899999999999999" customHeight="1">
      <c r="AA4420"/>
    </row>
    <row r="4421" spans="27:27" ht="17.899999999999999" customHeight="1">
      <c r="AA4421"/>
    </row>
    <row r="4422" spans="27:27" ht="17.899999999999999" customHeight="1">
      <c r="AA4422"/>
    </row>
    <row r="4423" spans="27:27" ht="17.899999999999999" customHeight="1">
      <c r="AA4423"/>
    </row>
    <row r="4424" spans="27:27" ht="17.899999999999999" customHeight="1">
      <c r="AA4424"/>
    </row>
    <row r="4425" spans="27:27" ht="17.899999999999999" customHeight="1">
      <c r="AA4425"/>
    </row>
    <row r="4426" spans="27:27" ht="17.899999999999999" customHeight="1">
      <c r="AA4426"/>
    </row>
    <row r="4427" spans="27:27" ht="17.899999999999999" customHeight="1">
      <c r="AA4427"/>
    </row>
    <row r="4428" spans="27:27" ht="17.899999999999999" customHeight="1">
      <c r="AA4428"/>
    </row>
    <row r="4429" spans="27:27" ht="17.899999999999999" customHeight="1">
      <c r="AA4429"/>
    </row>
    <row r="4430" spans="27:27" ht="17.899999999999999" customHeight="1">
      <c r="AA4430"/>
    </row>
    <row r="4431" spans="27:27" ht="17.899999999999999" customHeight="1">
      <c r="AA4431"/>
    </row>
    <row r="4432" spans="27:27" ht="17.899999999999999" customHeight="1">
      <c r="AA4432"/>
    </row>
    <row r="4433" spans="27:27" ht="17.899999999999999" customHeight="1">
      <c r="AA4433"/>
    </row>
    <row r="4434" spans="27:27" ht="17.899999999999999" customHeight="1">
      <c r="AA4434"/>
    </row>
    <row r="4435" spans="27:27" ht="17.899999999999999" customHeight="1">
      <c r="AA4435"/>
    </row>
    <row r="4436" spans="27:27" ht="17.899999999999999" customHeight="1">
      <c r="AA4436"/>
    </row>
    <row r="4437" spans="27:27" ht="17.899999999999999" customHeight="1">
      <c r="AA4437"/>
    </row>
    <row r="4438" spans="27:27" ht="17.899999999999999" customHeight="1">
      <c r="AA4438"/>
    </row>
    <row r="4439" spans="27:27" ht="17.899999999999999" customHeight="1">
      <c r="AA4439"/>
    </row>
    <row r="4440" spans="27:27" ht="17.899999999999999" customHeight="1">
      <c r="AA4440"/>
    </row>
    <row r="4441" spans="27:27" ht="17.899999999999999" customHeight="1">
      <c r="AA4441"/>
    </row>
    <row r="4442" spans="27:27" ht="17.899999999999999" customHeight="1">
      <c r="AA4442"/>
    </row>
    <row r="4443" spans="27:27" ht="17.899999999999999" customHeight="1">
      <c r="AA4443"/>
    </row>
    <row r="4444" spans="27:27" ht="17.899999999999999" customHeight="1">
      <c r="AA4444"/>
    </row>
    <row r="4445" spans="27:27" ht="17.899999999999999" customHeight="1">
      <c r="AA4445"/>
    </row>
    <row r="4446" spans="27:27" ht="17.899999999999999" customHeight="1">
      <c r="AA4446"/>
    </row>
    <row r="4447" spans="27:27" ht="17.899999999999999" customHeight="1">
      <c r="AA4447"/>
    </row>
    <row r="4448" spans="27:27" ht="17.899999999999999" customHeight="1">
      <c r="AA4448"/>
    </row>
    <row r="4449" spans="27:27" ht="17.899999999999999" customHeight="1">
      <c r="AA4449"/>
    </row>
    <row r="4450" spans="27:27" ht="17.899999999999999" customHeight="1">
      <c r="AA4450"/>
    </row>
    <row r="4451" spans="27:27" ht="17.899999999999999" customHeight="1">
      <c r="AA4451"/>
    </row>
    <row r="4452" spans="27:27" ht="17.899999999999999" customHeight="1">
      <c r="AA4452"/>
    </row>
    <row r="4453" spans="27:27" ht="17.899999999999999" customHeight="1">
      <c r="AA4453"/>
    </row>
    <row r="4454" spans="27:27" ht="17.899999999999999" customHeight="1">
      <c r="AA4454"/>
    </row>
    <row r="4455" spans="27:27" ht="17.899999999999999" customHeight="1">
      <c r="AA4455"/>
    </row>
    <row r="4456" spans="27:27" ht="17.899999999999999" customHeight="1">
      <c r="AA4456"/>
    </row>
    <row r="4457" spans="27:27" ht="17.899999999999999" customHeight="1">
      <c r="AA4457"/>
    </row>
    <row r="4458" spans="27:27" ht="17.899999999999999" customHeight="1">
      <c r="AA4458"/>
    </row>
    <row r="4459" spans="27:27" ht="17.899999999999999" customHeight="1">
      <c r="AA4459"/>
    </row>
    <row r="4460" spans="27:27" ht="17.899999999999999" customHeight="1">
      <c r="AA4460"/>
    </row>
    <row r="4461" spans="27:27" ht="17.899999999999999" customHeight="1">
      <c r="AA4461"/>
    </row>
    <row r="4462" spans="27:27" ht="17.899999999999999" customHeight="1">
      <c r="AA4462"/>
    </row>
    <row r="4463" spans="27:27" ht="17.899999999999999" customHeight="1">
      <c r="AA4463"/>
    </row>
    <row r="4464" spans="27:27" ht="17.899999999999999" customHeight="1">
      <c r="AA4464"/>
    </row>
    <row r="4465" spans="27:27" ht="17.899999999999999" customHeight="1">
      <c r="AA4465"/>
    </row>
    <row r="4466" spans="27:27" ht="17.899999999999999" customHeight="1">
      <c r="AA4466"/>
    </row>
    <row r="4467" spans="27:27" ht="17.899999999999999" customHeight="1">
      <c r="AA4467"/>
    </row>
    <row r="4468" spans="27:27" ht="17.899999999999999" customHeight="1">
      <c r="AA4468"/>
    </row>
    <row r="4469" spans="27:27" ht="17.899999999999999" customHeight="1">
      <c r="AA4469"/>
    </row>
    <row r="4470" spans="27:27" ht="17.899999999999999" customHeight="1">
      <c r="AA4470"/>
    </row>
    <row r="4471" spans="27:27" ht="17.899999999999999" customHeight="1">
      <c r="AA4471"/>
    </row>
    <row r="4472" spans="27:27" ht="17.899999999999999" customHeight="1">
      <c r="AA4472"/>
    </row>
    <row r="4473" spans="27:27" ht="17.899999999999999" customHeight="1">
      <c r="AA4473"/>
    </row>
    <row r="4474" spans="27:27" ht="17.899999999999999" customHeight="1">
      <c r="AA4474"/>
    </row>
    <row r="4475" spans="27:27" ht="17.899999999999999" customHeight="1">
      <c r="AA4475"/>
    </row>
    <row r="4476" spans="27:27" ht="17.899999999999999" customHeight="1">
      <c r="AA4476"/>
    </row>
    <row r="4477" spans="27:27" ht="17.899999999999999" customHeight="1">
      <c r="AA4477"/>
    </row>
    <row r="4478" spans="27:27" ht="17.899999999999999" customHeight="1">
      <c r="AA4478"/>
    </row>
    <row r="4479" spans="27:27" ht="17.899999999999999" customHeight="1">
      <c r="AA4479"/>
    </row>
    <row r="4480" spans="27:27" ht="17.899999999999999" customHeight="1">
      <c r="AA4480"/>
    </row>
    <row r="4481" spans="27:27" ht="17.899999999999999" customHeight="1">
      <c r="AA4481"/>
    </row>
    <row r="4482" spans="27:27" ht="17.899999999999999" customHeight="1">
      <c r="AA4482"/>
    </row>
    <row r="4483" spans="27:27" ht="17.899999999999999" customHeight="1">
      <c r="AA4483"/>
    </row>
    <row r="4484" spans="27:27" ht="17.899999999999999" customHeight="1">
      <c r="AA4484"/>
    </row>
    <row r="4485" spans="27:27" ht="17.899999999999999" customHeight="1">
      <c r="AA4485"/>
    </row>
    <row r="4486" spans="27:27" ht="17.899999999999999" customHeight="1">
      <c r="AA4486"/>
    </row>
    <row r="4487" spans="27:27" ht="17.899999999999999" customHeight="1">
      <c r="AA4487"/>
    </row>
    <row r="4488" spans="27:27" ht="17.899999999999999" customHeight="1">
      <c r="AA4488"/>
    </row>
    <row r="4489" spans="27:27" ht="17.899999999999999" customHeight="1">
      <c r="AA4489"/>
    </row>
    <row r="4490" spans="27:27" ht="17.899999999999999" customHeight="1">
      <c r="AA4490"/>
    </row>
    <row r="4491" spans="27:27" ht="17.899999999999999" customHeight="1">
      <c r="AA4491"/>
    </row>
    <row r="4492" spans="27:27" ht="17.899999999999999" customHeight="1">
      <c r="AA4492"/>
    </row>
    <row r="4493" spans="27:27" ht="17.899999999999999" customHeight="1">
      <c r="AA4493"/>
    </row>
    <row r="4494" spans="27:27" ht="17.899999999999999" customHeight="1">
      <c r="AA4494"/>
    </row>
    <row r="4495" spans="27:27" ht="17.899999999999999" customHeight="1">
      <c r="AA4495"/>
    </row>
    <row r="4496" spans="27:27" ht="17.899999999999999" customHeight="1">
      <c r="AA4496"/>
    </row>
    <row r="4497" spans="27:27" ht="17.899999999999999" customHeight="1">
      <c r="AA4497"/>
    </row>
    <row r="4498" spans="27:27" ht="17.899999999999999" customHeight="1">
      <c r="AA4498"/>
    </row>
    <row r="4499" spans="27:27" ht="17.899999999999999" customHeight="1">
      <c r="AA4499"/>
    </row>
    <row r="4500" spans="27:27" ht="17.899999999999999" customHeight="1">
      <c r="AA4500"/>
    </row>
    <row r="4501" spans="27:27" ht="17.899999999999999" customHeight="1">
      <c r="AA4501"/>
    </row>
    <row r="4502" spans="27:27" ht="17.899999999999999" customHeight="1">
      <c r="AA4502"/>
    </row>
    <row r="4503" spans="27:27" ht="17.899999999999999" customHeight="1">
      <c r="AA4503"/>
    </row>
    <row r="4504" spans="27:27" ht="17.899999999999999" customHeight="1">
      <c r="AA4504"/>
    </row>
    <row r="4505" spans="27:27" ht="17.899999999999999" customHeight="1">
      <c r="AA4505"/>
    </row>
    <row r="4506" spans="27:27" ht="17.899999999999999" customHeight="1">
      <c r="AA4506"/>
    </row>
    <row r="4507" spans="27:27" ht="17.899999999999999" customHeight="1">
      <c r="AA4507"/>
    </row>
    <row r="4508" spans="27:27" ht="17.899999999999999" customHeight="1">
      <c r="AA4508"/>
    </row>
    <row r="4509" spans="27:27" ht="17.899999999999999" customHeight="1">
      <c r="AA4509"/>
    </row>
    <row r="4510" spans="27:27" ht="17.899999999999999" customHeight="1">
      <c r="AA4510"/>
    </row>
    <row r="4511" spans="27:27" ht="17.899999999999999" customHeight="1">
      <c r="AA4511"/>
    </row>
    <row r="4512" spans="27:27" ht="17.899999999999999" customHeight="1">
      <c r="AA4512"/>
    </row>
    <row r="4513" spans="27:27" ht="17.899999999999999" customHeight="1">
      <c r="AA4513"/>
    </row>
    <row r="4514" spans="27:27" ht="17.899999999999999" customHeight="1">
      <c r="AA4514"/>
    </row>
    <row r="4515" spans="27:27" ht="17.899999999999999" customHeight="1">
      <c r="AA4515"/>
    </row>
    <row r="4516" spans="27:27" ht="17.899999999999999" customHeight="1">
      <c r="AA4516"/>
    </row>
    <row r="4517" spans="27:27" ht="17.899999999999999" customHeight="1">
      <c r="AA4517"/>
    </row>
    <row r="4518" spans="27:27" ht="17.899999999999999" customHeight="1">
      <c r="AA4518"/>
    </row>
    <row r="4519" spans="27:27" ht="17.899999999999999" customHeight="1">
      <c r="AA4519"/>
    </row>
    <row r="4520" spans="27:27" ht="17.899999999999999" customHeight="1">
      <c r="AA4520"/>
    </row>
    <row r="4521" spans="27:27" ht="17.899999999999999" customHeight="1">
      <c r="AA4521"/>
    </row>
    <row r="4522" spans="27:27" ht="17.899999999999999" customHeight="1">
      <c r="AA4522"/>
    </row>
    <row r="4523" spans="27:27" ht="17.899999999999999" customHeight="1">
      <c r="AA4523"/>
    </row>
    <row r="4524" spans="27:27" ht="17.899999999999999" customHeight="1">
      <c r="AA4524"/>
    </row>
    <row r="4525" spans="27:27" ht="17.899999999999999" customHeight="1">
      <c r="AA4525"/>
    </row>
    <row r="4526" spans="27:27" ht="17.899999999999999" customHeight="1">
      <c r="AA4526"/>
    </row>
    <row r="4527" spans="27:27" ht="17.899999999999999" customHeight="1">
      <c r="AA4527"/>
    </row>
    <row r="4528" spans="27:27" ht="17.899999999999999" customHeight="1">
      <c r="AA4528"/>
    </row>
    <row r="4529" spans="27:27" ht="17.899999999999999" customHeight="1">
      <c r="AA4529"/>
    </row>
    <row r="4530" spans="27:27" ht="17.899999999999999" customHeight="1">
      <c r="AA4530"/>
    </row>
    <row r="4531" spans="27:27" ht="17.899999999999999" customHeight="1">
      <c r="AA4531"/>
    </row>
    <row r="4532" spans="27:27" ht="17.899999999999999" customHeight="1">
      <c r="AA4532"/>
    </row>
    <row r="4533" spans="27:27" ht="17.899999999999999" customHeight="1">
      <c r="AA4533"/>
    </row>
    <row r="4534" spans="27:27" ht="17.899999999999999" customHeight="1">
      <c r="AA4534"/>
    </row>
    <row r="4535" spans="27:27" ht="17.899999999999999" customHeight="1">
      <c r="AA4535"/>
    </row>
    <row r="4536" spans="27:27" ht="17.899999999999999" customHeight="1">
      <c r="AA4536"/>
    </row>
    <row r="4537" spans="27:27" ht="17.899999999999999" customHeight="1">
      <c r="AA4537"/>
    </row>
    <row r="4538" spans="27:27" ht="17.899999999999999" customHeight="1">
      <c r="AA4538"/>
    </row>
    <row r="4539" spans="27:27" ht="17.899999999999999" customHeight="1">
      <c r="AA4539"/>
    </row>
    <row r="4540" spans="27:27" ht="17.899999999999999" customHeight="1">
      <c r="AA4540"/>
    </row>
    <row r="4541" spans="27:27" ht="17.899999999999999" customHeight="1">
      <c r="AA4541"/>
    </row>
    <row r="4542" spans="27:27" ht="17.899999999999999" customHeight="1">
      <c r="AA4542"/>
    </row>
    <row r="4543" spans="27:27" ht="17.899999999999999" customHeight="1">
      <c r="AA4543"/>
    </row>
    <row r="4544" spans="27:27" ht="17.899999999999999" customHeight="1">
      <c r="AA4544"/>
    </row>
    <row r="4545" spans="27:27" ht="17.899999999999999" customHeight="1">
      <c r="AA4545"/>
    </row>
    <row r="4546" spans="27:27" ht="17.899999999999999" customHeight="1">
      <c r="AA4546"/>
    </row>
    <row r="4547" spans="27:27" ht="17.899999999999999" customHeight="1">
      <c r="AA4547"/>
    </row>
    <row r="4548" spans="27:27" ht="17.899999999999999" customHeight="1">
      <c r="AA4548"/>
    </row>
    <row r="4549" spans="27:27" ht="17.899999999999999" customHeight="1">
      <c r="AA4549"/>
    </row>
    <row r="4550" spans="27:27" ht="17.899999999999999" customHeight="1">
      <c r="AA4550"/>
    </row>
    <row r="4551" spans="27:27" ht="17.899999999999999" customHeight="1">
      <c r="AA4551"/>
    </row>
    <row r="4552" spans="27:27" ht="17.899999999999999" customHeight="1">
      <c r="AA4552"/>
    </row>
    <row r="4553" spans="27:27" ht="17.899999999999999" customHeight="1">
      <c r="AA4553"/>
    </row>
    <row r="4554" spans="27:27" ht="17.899999999999999" customHeight="1">
      <c r="AA4554"/>
    </row>
    <row r="4555" spans="27:27" ht="17.899999999999999" customHeight="1">
      <c r="AA4555"/>
    </row>
    <row r="4556" spans="27:27" ht="17.899999999999999" customHeight="1">
      <c r="AA4556"/>
    </row>
    <row r="4557" spans="27:27" ht="17.899999999999999" customHeight="1">
      <c r="AA4557"/>
    </row>
    <row r="4558" spans="27:27" ht="17.899999999999999" customHeight="1">
      <c r="AA4558"/>
    </row>
    <row r="4559" spans="27:27" ht="17.899999999999999" customHeight="1">
      <c r="AA4559"/>
    </row>
    <row r="4560" spans="27:27" ht="17.899999999999999" customHeight="1">
      <c r="AA4560"/>
    </row>
    <row r="4561" spans="27:27" ht="17.899999999999999" customHeight="1">
      <c r="AA4561"/>
    </row>
    <row r="4562" spans="27:27" ht="17.899999999999999" customHeight="1">
      <c r="AA4562"/>
    </row>
    <row r="4563" spans="27:27" ht="17.899999999999999" customHeight="1">
      <c r="AA4563"/>
    </row>
    <row r="4564" spans="27:27" ht="17.899999999999999" customHeight="1">
      <c r="AA4564"/>
    </row>
    <row r="4565" spans="27:27" ht="17.899999999999999" customHeight="1">
      <c r="AA4565"/>
    </row>
    <row r="4566" spans="27:27" ht="17.899999999999999" customHeight="1">
      <c r="AA4566"/>
    </row>
    <row r="4567" spans="27:27" ht="17.899999999999999" customHeight="1">
      <c r="AA4567"/>
    </row>
    <row r="4568" spans="27:27" ht="17.899999999999999" customHeight="1">
      <c r="AA4568"/>
    </row>
    <row r="4569" spans="27:27" ht="17.899999999999999" customHeight="1">
      <c r="AA4569"/>
    </row>
    <row r="4570" spans="27:27" ht="17.899999999999999" customHeight="1">
      <c r="AA4570"/>
    </row>
    <row r="4571" spans="27:27" ht="17.899999999999999" customHeight="1">
      <c r="AA4571"/>
    </row>
    <row r="4572" spans="27:27" ht="17.899999999999999" customHeight="1">
      <c r="AA4572"/>
    </row>
    <row r="4573" spans="27:27" ht="17.899999999999999" customHeight="1">
      <c r="AA4573"/>
    </row>
    <row r="4574" spans="27:27" ht="17.899999999999999" customHeight="1">
      <c r="AA4574"/>
    </row>
    <row r="4575" spans="27:27" ht="17.899999999999999" customHeight="1">
      <c r="AA4575"/>
    </row>
    <row r="4576" spans="27:27" ht="17.899999999999999" customHeight="1">
      <c r="AA4576"/>
    </row>
    <row r="4577" spans="27:27" ht="17.899999999999999" customHeight="1">
      <c r="AA4577"/>
    </row>
    <row r="4578" spans="27:27" ht="17.899999999999999" customHeight="1">
      <c r="AA4578"/>
    </row>
    <row r="4579" spans="27:27" ht="17.899999999999999" customHeight="1">
      <c r="AA4579"/>
    </row>
    <row r="4580" spans="27:27" ht="17.899999999999999" customHeight="1">
      <c r="AA4580"/>
    </row>
    <row r="4581" spans="27:27" ht="17.899999999999999" customHeight="1">
      <c r="AA4581"/>
    </row>
    <row r="4582" spans="27:27" ht="17.899999999999999" customHeight="1">
      <c r="AA4582"/>
    </row>
    <row r="4583" spans="27:27" ht="17.899999999999999" customHeight="1">
      <c r="AA4583"/>
    </row>
    <row r="4584" spans="27:27" ht="17.899999999999999" customHeight="1">
      <c r="AA4584"/>
    </row>
    <row r="4585" spans="27:27" ht="17.899999999999999" customHeight="1">
      <c r="AA4585"/>
    </row>
    <row r="4586" spans="27:27" ht="17.899999999999999" customHeight="1">
      <c r="AA4586"/>
    </row>
    <row r="4587" spans="27:27" ht="17.899999999999999" customHeight="1">
      <c r="AA4587"/>
    </row>
    <row r="4588" spans="27:27" ht="17.899999999999999" customHeight="1">
      <c r="AA4588"/>
    </row>
    <row r="4589" spans="27:27" ht="17.899999999999999" customHeight="1">
      <c r="AA4589"/>
    </row>
    <row r="4590" spans="27:27" ht="17.899999999999999" customHeight="1">
      <c r="AA4590"/>
    </row>
    <row r="4591" spans="27:27" ht="17.899999999999999" customHeight="1">
      <c r="AA4591"/>
    </row>
    <row r="4592" spans="27:27" ht="17.899999999999999" customHeight="1">
      <c r="AA4592"/>
    </row>
    <row r="4593" spans="27:27" ht="17.899999999999999" customHeight="1">
      <c r="AA4593"/>
    </row>
    <row r="4594" spans="27:27" ht="17.899999999999999" customHeight="1">
      <c r="AA4594"/>
    </row>
    <row r="4595" spans="27:27" ht="17.899999999999999" customHeight="1">
      <c r="AA4595"/>
    </row>
    <row r="4596" spans="27:27" ht="17.899999999999999" customHeight="1">
      <c r="AA4596"/>
    </row>
    <row r="4597" spans="27:27" ht="17.899999999999999" customHeight="1">
      <c r="AA4597"/>
    </row>
    <row r="4598" spans="27:27" ht="17.899999999999999" customHeight="1">
      <c r="AA4598"/>
    </row>
    <row r="4599" spans="27:27" ht="17.899999999999999" customHeight="1">
      <c r="AA4599"/>
    </row>
    <row r="4600" spans="27:27" ht="17.899999999999999" customHeight="1">
      <c r="AA4600"/>
    </row>
    <row r="4601" spans="27:27" ht="17.899999999999999" customHeight="1">
      <c r="AA4601"/>
    </row>
    <row r="4602" spans="27:27" ht="17.899999999999999" customHeight="1">
      <c r="AA4602"/>
    </row>
    <row r="4603" spans="27:27" ht="17.899999999999999" customHeight="1">
      <c r="AA4603"/>
    </row>
    <row r="4604" spans="27:27" ht="17.899999999999999" customHeight="1">
      <c r="AA4604"/>
    </row>
    <row r="4605" spans="27:27" ht="17.899999999999999" customHeight="1">
      <c r="AA4605"/>
    </row>
    <row r="4606" spans="27:27" ht="17.899999999999999" customHeight="1">
      <c r="AA4606"/>
    </row>
    <row r="4607" spans="27:27" ht="17.899999999999999" customHeight="1">
      <c r="AA4607"/>
    </row>
    <row r="4608" spans="27:27" ht="17.899999999999999" customHeight="1">
      <c r="AA4608"/>
    </row>
    <row r="4609" spans="27:27" ht="17.899999999999999" customHeight="1">
      <c r="AA4609"/>
    </row>
    <row r="4610" spans="27:27" ht="17.899999999999999" customHeight="1">
      <c r="AA4610"/>
    </row>
    <row r="4611" spans="27:27" ht="17.899999999999999" customHeight="1">
      <c r="AA4611"/>
    </row>
    <row r="4612" spans="27:27" ht="17.899999999999999" customHeight="1">
      <c r="AA4612"/>
    </row>
    <row r="4613" spans="27:27" ht="17.899999999999999" customHeight="1">
      <c r="AA4613"/>
    </row>
    <row r="4614" spans="27:27" ht="17.899999999999999" customHeight="1">
      <c r="AA4614"/>
    </row>
    <row r="4615" spans="27:27" ht="17.899999999999999" customHeight="1">
      <c r="AA4615"/>
    </row>
    <row r="4616" spans="27:27" ht="17.899999999999999" customHeight="1">
      <c r="AA4616"/>
    </row>
    <row r="4617" spans="27:27" ht="17.899999999999999" customHeight="1">
      <c r="AA4617"/>
    </row>
    <row r="4618" spans="27:27" ht="17.899999999999999" customHeight="1">
      <c r="AA4618"/>
    </row>
    <row r="4619" spans="27:27" ht="17.899999999999999" customHeight="1">
      <c r="AA4619"/>
    </row>
    <row r="4620" spans="27:27" ht="17.899999999999999" customHeight="1">
      <c r="AA4620"/>
    </row>
    <row r="4621" spans="27:27" ht="17.899999999999999" customHeight="1">
      <c r="AA4621"/>
    </row>
    <row r="4622" spans="27:27" ht="17.899999999999999" customHeight="1">
      <c r="AA4622"/>
    </row>
    <row r="4623" spans="27:27" ht="17.899999999999999" customHeight="1">
      <c r="AA4623"/>
    </row>
    <row r="4624" spans="27:27" ht="17.899999999999999" customHeight="1">
      <c r="AA4624"/>
    </row>
    <row r="4625" spans="27:27" ht="17.899999999999999" customHeight="1">
      <c r="AA4625"/>
    </row>
    <row r="4626" spans="27:27" ht="17.899999999999999" customHeight="1">
      <c r="AA4626"/>
    </row>
    <row r="4627" spans="27:27" ht="17.899999999999999" customHeight="1">
      <c r="AA4627"/>
    </row>
    <row r="4628" spans="27:27" ht="17.899999999999999" customHeight="1">
      <c r="AA4628"/>
    </row>
    <row r="4629" spans="27:27" ht="17.899999999999999" customHeight="1">
      <c r="AA4629"/>
    </row>
    <row r="4630" spans="27:27" ht="17.899999999999999" customHeight="1">
      <c r="AA4630"/>
    </row>
    <row r="4631" spans="27:27" ht="17.899999999999999" customHeight="1">
      <c r="AA4631"/>
    </row>
    <row r="4632" spans="27:27" ht="17.899999999999999" customHeight="1">
      <c r="AA4632"/>
    </row>
    <row r="4633" spans="27:27" ht="17.899999999999999" customHeight="1">
      <c r="AA4633"/>
    </row>
    <row r="4634" spans="27:27" ht="17.899999999999999" customHeight="1">
      <c r="AA4634"/>
    </row>
    <row r="4635" spans="27:27" ht="17.899999999999999" customHeight="1">
      <c r="AA4635"/>
    </row>
    <row r="4636" spans="27:27" ht="17.899999999999999" customHeight="1">
      <c r="AA4636"/>
    </row>
    <row r="4637" spans="27:27" ht="17.899999999999999" customHeight="1">
      <c r="AA4637"/>
    </row>
    <row r="4638" spans="27:27" ht="17.899999999999999" customHeight="1">
      <c r="AA4638"/>
    </row>
    <row r="4639" spans="27:27" ht="17.899999999999999" customHeight="1">
      <c r="AA4639"/>
    </row>
    <row r="4640" spans="27:27" ht="17.899999999999999" customHeight="1">
      <c r="AA4640"/>
    </row>
    <row r="4641" spans="27:27" ht="17.899999999999999" customHeight="1">
      <c r="AA4641"/>
    </row>
    <row r="4642" spans="27:27" ht="17.899999999999999" customHeight="1">
      <c r="AA4642"/>
    </row>
    <row r="4643" spans="27:27" ht="17.899999999999999" customHeight="1">
      <c r="AA4643"/>
    </row>
    <row r="4644" spans="27:27" ht="17.899999999999999" customHeight="1">
      <c r="AA4644"/>
    </row>
    <row r="4645" spans="27:27" ht="17.899999999999999" customHeight="1">
      <c r="AA4645"/>
    </row>
    <row r="4646" spans="27:27" ht="17.899999999999999" customHeight="1">
      <c r="AA4646"/>
    </row>
    <row r="4647" spans="27:27" ht="17.899999999999999" customHeight="1">
      <c r="AA4647"/>
    </row>
    <row r="4648" spans="27:27" ht="17.899999999999999" customHeight="1">
      <c r="AA4648"/>
    </row>
    <row r="4649" spans="27:27" ht="17.899999999999999" customHeight="1">
      <c r="AA4649"/>
    </row>
    <row r="4650" spans="27:27" ht="17.899999999999999" customHeight="1">
      <c r="AA4650"/>
    </row>
    <row r="4651" spans="27:27" ht="17.899999999999999" customHeight="1">
      <c r="AA4651"/>
    </row>
    <row r="4652" spans="27:27" ht="17.899999999999999" customHeight="1">
      <c r="AA4652"/>
    </row>
    <row r="4653" spans="27:27" ht="17.899999999999999" customHeight="1">
      <c r="AA4653"/>
    </row>
    <row r="4654" spans="27:27" ht="17.899999999999999" customHeight="1">
      <c r="AA4654"/>
    </row>
    <row r="4655" spans="27:27" ht="17.899999999999999" customHeight="1">
      <c r="AA4655"/>
    </row>
    <row r="4656" spans="27:27" ht="17.899999999999999" customHeight="1">
      <c r="AA4656"/>
    </row>
    <row r="4657" spans="27:27" ht="17.899999999999999" customHeight="1">
      <c r="AA4657"/>
    </row>
    <row r="4658" spans="27:27" ht="17.899999999999999" customHeight="1">
      <c r="AA4658"/>
    </row>
    <row r="4659" spans="27:27" ht="17.899999999999999" customHeight="1">
      <c r="AA4659"/>
    </row>
    <row r="4660" spans="27:27" ht="17.899999999999999" customHeight="1">
      <c r="AA4660"/>
    </row>
    <row r="4661" spans="27:27" ht="17.899999999999999" customHeight="1">
      <c r="AA4661"/>
    </row>
    <row r="4662" spans="27:27" ht="17.899999999999999" customHeight="1">
      <c r="AA4662"/>
    </row>
    <row r="4663" spans="27:27" ht="17.899999999999999" customHeight="1">
      <c r="AA4663"/>
    </row>
    <row r="4664" spans="27:27" ht="17.899999999999999" customHeight="1">
      <c r="AA4664"/>
    </row>
    <row r="4665" spans="27:27" ht="17.899999999999999" customHeight="1">
      <c r="AA4665"/>
    </row>
    <row r="4666" spans="27:27" ht="17.899999999999999" customHeight="1">
      <c r="AA4666"/>
    </row>
    <row r="4667" spans="27:27" ht="17.899999999999999" customHeight="1">
      <c r="AA4667"/>
    </row>
    <row r="4668" spans="27:27" ht="17.899999999999999" customHeight="1">
      <c r="AA4668"/>
    </row>
    <row r="4669" spans="27:27" ht="17.899999999999999" customHeight="1">
      <c r="AA4669"/>
    </row>
    <row r="4670" spans="27:27" ht="17.899999999999999" customHeight="1">
      <c r="AA4670"/>
    </row>
    <row r="4671" spans="27:27" ht="17.899999999999999" customHeight="1">
      <c r="AA4671"/>
    </row>
    <row r="4672" spans="27:27" ht="17.899999999999999" customHeight="1">
      <c r="AA4672"/>
    </row>
    <row r="4673" spans="27:27" ht="17.899999999999999" customHeight="1">
      <c r="AA4673"/>
    </row>
    <row r="4674" spans="27:27" ht="17.899999999999999" customHeight="1">
      <c r="AA4674"/>
    </row>
    <row r="4675" spans="27:27" ht="17.899999999999999" customHeight="1">
      <c r="AA4675"/>
    </row>
    <row r="4676" spans="27:27" ht="17.899999999999999" customHeight="1">
      <c r="AA4676"/>
    </row>
    <row r="4677" spans="27:27" ht="17.899999999999999" customHeight="1">
      <c r="AA4677"/>
    </row>
    <row r="4678" spans="27:27" ht="17.899999999999999" customHeight="1">
      <c r="AA4678"/>
    </row>
    <row r="4679" spans="27:27" ht="17.899999999999999" customHeight="1">
      <c r="AA4679"/>
    </row>
    <row r="4680" spans="27:27" ht="17.899999999999999" customHeight="1">
      <c r="AA4680"/>
    </row>
    <row r="4681" spans="27:27" ht="17.899999999999999" customHeight="1">
      <c r="AA4681"/>
    </row>
    <row r="4682" spans="27:27" ht="17.899999999999999" customHeight="1">
      <c r="AA4682"/>
    </row>
    <row r="4683" spans="27:27" ht="17.899999999999999" customHeight="1">
      <c r="AA4683"/>
    </row>
    <row r="4684" spans="27:27" ht="17.899999999999999" customHeight="1">
      <c r="AA4684"/>
    </row>
    <row r="4685" spans="27:27" ht="17.899999999999999" customHeight="1">
      <c r="AA4685"/>
    </row>
    <row r="4686" spans="27:27" ht="17.899999999999999" customHeight="1">
      <c r="AA4686"/>
    </row>
    <row r="4687" spans="27:27" ht="17.899999999999999" customHeight="1">
      <c r="AA4687"/>
    </row>
    <row r="4688" spans="27:27" ht="17.899999999999999" customHeight="1">
      <c r="AA4688"/>
    </row>
    <row r="4689" spans="27:27" ht="17.899999999999999" customHeight="1">
      <c r="AA4689"/>
    </row>
    <row r="4690" spans="27:27" ht="17.899999999999999" customHeight="1">
      <c r="AA4690"/>
    </row>
    <row r="4691" spans="27:27" ht="17.899999999999999" customHeight="1">
      <c r="AA4691"/>
    </row>
    <row r="4692" spans="27:27" ht="17.899999999999999" customHeight="1">
      <c r="AA4692"/>
    </row>
    <row r="4693" spans="27:27" ht="17.899999999999999" customHeight="1">
      <c r="AA4693"/>
    </row>
    <row r="4694" spans="27:27" ht="17.899999999999999" customHeight="1">
      <c r="AA4694"/>
    </row>
    <row r="4695" spans="27:27" ht="17.899999999999999" customHeight="1">
      <c r="AA4695"/>
    </row>
    <row r="4696" spans="27:27" ht="17.899999999999999" customHeight="1">
      <c r="AA4696"/>
    </row>
    <row r="4697" spans="27:27" ht="17.899999999999999" customHeight="1">
      <c r="AA4697"/>
    </row>
    <row r="4698" spans="27:27" ht="17.899999999999999" customHeight="1">
      <c r="AA4698"/>
    </row>
    <row r="4699" spans="27:27" ht="17.899999999999999" customHeight="1">
      <c r="AA4699"/>
    </row>
    <row r="4700" spans="27:27" ht="17.899999999999999" customHeight="1">
      <c r="AA4700"/>
    </row>
    <row r="4701" spans="27:27" ht="17.899999999999999" customHeight="1">
      <c r="AA4701"/>
    </row>
    <row r="4702" spans="27:27" ht="17.899999999999999" customHeight="1">
      <c r="AA4702"/>
    </row>
    <row r="4703" spans="27:27" ht="17.899999999999999" customHeight="1">
      <c r="AA4703"/>
    </row>
    <row r="4704" spans="27:27" ht="17.899999999999999" customHeight="1">
      <c r="AA4704"/>
    </row>
    <row r="4705" spans="27:27" ht="17.899999999999999" customHeight="1">
      <c r="AA4705"/>
    </row>
    <row r="4706" spans="27:27" ht="17.899999999999999" customHeight="1">
      <c r="AA4706"/>
    </row>
    <row r="4707" spans="27:27" ht="17.899999999999999" customHeight="1">
      <c r="AA4707"/>
    </row>
    <row r="4708" spans="27:27" ht="17.899999999999999" customHeight="1">
      <c r="AA4708"/>
    </row>
    <row r="4709" spans="27:27" ht="17.899999999999999" customHeight="1">
      <c r="AA4709"/>
    </row>
    <row r="4710" spans="27:27" ht="17.899999999999999" customHeight="1">
      <c r="AA4710"/>
    </row>
    <row r="4711" spans="27:27" ht="17.899999999999999" customHeight="1">
      <c r="AA4711"/>
    </row>
    <row r="4712" spans="27:27" ht="17.899999999999999" customHeight="1">
      <c r="AA4712"/>
    </row>
    <row r="4713" spans="27:27" ht="17.899999999999999" customHeight="1">
      <c r="AA4713"/>
    </row>
    <row r="4714" spans="27:27" ht="17.899999999999999" customHeight="1">
      <c r="AA4714"/>
    </row>
    <row r="4715" spans="27:27" ht="17.899999999999999" customHeight="1">
      <c r="AA4715"/>
    </row>
    <row r="4716" spans="27:27" ht="17.899999999999999" customHeight="1">
      <c r="AA4716"/>
    </row>
    <row r="4717" spans="27:27" ht="17.899999999999999" customHeight="1">
      <c r="AA4717"/>
    </row>
    <row r="4718" spans="27:27" ht="17.899999999999999" customHeight="1">
      <c r="AA4718"/>
    </row>
    <row r="4719" spans="27:27" ht="17.899999999999999" customHeight="1">
      <c r="AA4719"/>
    </row>
    <row r="4720" spans="27:27" ht="17.899999999999999" customHeight="1">
      <c r="AA4720"/>
    </row>
    <row r="4721" spans="27:27" ht="17.899999999999999" customHeight="1">
      <c r="AA4721"/>
    </row>
    <row r="4722" spans="27:27" ht="17.899999999999999" customHeight="1">
      <c r="AA4722"/>
    </row>
    <row r="4723" spans="27:27" ht="17.899999999999999" customHeight="1">
      <c r="AA4723"/>
    </row>
    <row r="4724" spans="27:27" ht="17.899999999999999" customHeight="1">
      <c r="AA4724"/>
    </row>
    <row r="4725" spans="27:27" ht="17.899999999999999" customHeight="1">
      <c r="AA4725"/>
    </row>
    <row r="4726" spans="27:27" ht="17.899999999999999" customHeight="1">
      <c r="AA4726"/>
    </row>
    <row r="4727" spans="27:27" ht="17.899999999999999" customHeight="1">
      <c r="AA4727"/>
    </row>
    <row r="4728" spans="27:27" ht="17.899999999999999" customHeight="1">
      <c r="AA4728"/>
    </row>
    <row r="4729" spans="27:27" ht="17.899999999999999" customHeight="1">
      <c r="AA4729"/>
    </row>
    <row r="4730" spans="27:27" ht="17.899999999999999" customHeight="1">
      <c r="AA4730"/>
    </row>
    <row r="4731" spans="27:27" ht="17.899999999999999" customHeight="1">
      <c r="AA4731"/>
    </row>
    <row r="4732" spans="27:27" ht="17.899999999999999" customHeight="1">
      <c r="AA4732"/>
    </row>
    <row r="4733" spans="27:27" ht="17.899999999999999" customHeight="1">
      <c r="AA4733"/>
    </row>
    <row r="4734" spans="27:27" ht="17.899999999999999" customHeight="1">
      <c r="AA4734"/>
    </row>
    <row r="4735" spans="27:27" ht="17.899999999999999" customHeight="1">
      <c r="AA4735"/>
    </row>
    <row r="4736" spans="27:27" ht="17.899999999999999" customHeight="1">
      <c r="AA4736"/>
    </row>
    <row r="4737" spans="27:27" ht="17.899999999999999" customHeight="1">
      <c r="AA4737"/>
    </row>
    <row r="4738" spans="27:27" ht="17.899999999999999" customHeight="1">
      <c r="AA4738"/>
    </row>
    <row r="4739" spans="27:27" ht="17.899999999999999" customHeight="1">
      <c r="AA4739"/>
    </row>
    <row r="4740" spans="27:27" ht="17.899999999999999" customHeight="1">
      <c r="AA4740"/>
    </row>
    <row r="4741" spans="27:27" ht="17.899999999999999" customHeight="1">
      <c r="AA4741"/>
    </row>
    <row r="4742" spans="27:27" ht="17.899999999999999" customHeight="1">
      <c r="AA4742"/>
    </row>
    <row r="4743" spans="27:27" ht="17.899999999999999" customHeight="1">
      <c r="AA4743"/>
    </row>
    <row r="4744" spans="27:27" ht="17.899999999999999" customHeight="1">
      <c r="AA4744"/>
    </row>
    <row r="4745" spans="27:27" ht="17.899999999999999" customHeight="1">
      <c r="AA4745"/>
    </row>
    <row r="4746" spans="27:27" ht="17.899999999999999" customHeight="1">
      <c r="AA4746"/>
    </row>
    <row r="4747" spans="27:27" ht="17.899999999999999" customHeight="1">
      <c r="AA4747"/>
    </row>
    <row r="4748" spans="27:27" ht="17.899999999999999" customHeight="1">
      <c r="AA4748"/>
    </row>
    <row r="4749" spans="27:27" ht="17.899999999999999" customHeight="1">
      <c r="AA4749"/>
    </row>
    <row r="4750" spans="27:27" ht="17.899999999999999" customHeight="1">
      <c r="AA4750"/>
    </row>
    <row r="4751" spans="27:27" ht="17.899999999999999" customHeight="1">
      <c r="AA4751"/>
    </row>
    <row r="4752" spans="27:27" ht="17.899999999999999" customHeight="1">
      <c r="AA4752"/>
    </row>
    <row r="4753" spans="27:27" ht="17.899999999999999" customHeight="1">
      <c r="AA4753"/>
    </row>
    <row r="4754" spans="27:27" ht="17.899999999999999" customHeight="1">
      <c r="AA4754"/>
    </row>
    <row r="4755" spans="27:27" ht="17.899999999999999" customHeight="1">
      <c r="AA4755"/>
    </row>
    <row r="4756" spans="27:27" ht="17.899999999999999" customHeight="1">
      <c r="AA4756"/>
    </row>
    <row r="4757" spans="27:27" ht="17.899999999999999" customHeight="1">
      <c r="AA4757"/>
    </row>
    <row r="4758" spans="27:27" ht="17.899999999999999" customHeight="1">
      <c r="AA4758"/>
    </row>
    <row r="4759" spans="27:27" ht="17.899999999999999" customHeight="1">
      <c r="AA4759"/>
    </row>
    <row r="4760" spans="27:27" ht="17.899999999999999" customHeight="1">
      <c r="AA4760"/>
    </row>
    <row r="4761" spans="27:27" ht="17.899999999999999" customHeight="1">
      <c r="AA4761"/>
    </row>
    <row r="4762" spans="27:27" ht="17.899999999999999" customHeight="1">
      <c r="AA4762"/>
    </row>
    <row r="4763" spans="27:27" ht="17.899999999999999" customHeight="1">
      <c r="AA4763"/>
    </row>
    <row r="4764" spans="27:27" ht="17.899999999999999" customHeight="1">
      <c r="AA4764"/>
    </row>
    <row r="4765" spans="27:27" ht="17.899999999999999" customHeight="1">
      <c r="AA4765"/>
    </row>
    <row r="4766" spans="27:27" ht="17.899999999999999" customHeight="1">
      <c r="AA4766"/>
    </row>
    <row r="4767" spans="27:27" ht="17.899999999999999" customHeight="1">
      <c r="AA4767"/>
    </row>
    <row r="4768" spans="27:27" ht="17.899999999999999" customHeight="1">
      <c r="AA4768"/>
    </row>
    <row r="4769" spans="27:27" ht="17.899999999999999" customHeight="1">
      <c r="AA4769"/>
    </row>
    <row r="4770" spans="27:27" ht="17.899999999999999" customHeight="1">
      <c r="AA4770"/>
    </row>
    <row r="4771" spans="27:27" ht="17.899999999999999" customHeight="1">
      <c r="AA4771"/>
    </row>
    <row r="4772" spans="27:27" ht="17.899999999999999" customHeight="1">
      <c r="AA4772"/>
    </row>
    <row r="4773" spans="27:27" ht="17.899999999999999" customHeight="1">
      <c r="AA4773"/>
    </row>
    <row r="4774" spans="27:27" ht="17.899999999999999" customHeight="1">
      <c r="AA4774"/>
    </row>
    <row r="4775" spans="27:27" ht="17.899999999999999" customHeight="1">
      <c r="AA4775"/>
    </row>
    <row r="4776" spans="27:27" ht="17.899999999999999" customHeight="1">
      <c r="AA4776"/>
    </row>
    <row r="4777" spans="27:27" ht="17.899999999999999" customHeight="1">
      <c r="AA4777"/>
    </row>
    <row r="4778" spans="27:27" ht="17.899999999999999" customHeight="1">
      <c r="AA4778"/>
    </row>
    <row r="4779" spans="27:27" ht="17.899999999999999" customHeight="1">
      <c r="AA4779"/>
    </row>
    <row r="4780" spans="27:27" ht="17.899999999999999" customHeight="1">
      <c r="AA4780"/>
    </row>
    <row r="4781" spans="27:27" ht="17.899999999999999" customHeight="1">
      <c r="AA4781"/>
    </row>
    <row r="4782" spans="27:27" ht="17.899999999999999" customHeight="1">
      <c r="AA4782"/>
    </row>
    <row r="4783" spans="27:27" ht="17.899999999999999" customHeight="1">
      <c r="AA4783"/>
    </row>
    <row r="4784" spans="27:27" ht="17.899999999999999" customHeight="1">
      <c r="AA4784"/>
    </row>
    <row r="4785" spans="27:27" ht="17.899999999999999" customHeight="1">
      <c r="AA4785"/>
    </row>
    <row r="4786" spans="27:27" ht="17.899999999999999" customHeight="1">
      <c r="AA4786"/>
    </row>
    <row r="4787" spans="27:27" ht="17.899999999999999" customHeight="1">
      <c r="AA4787"/>
    </row>
    <row r="4788" spans="27:27" ht="17.899999999999999" customHeight="1">
      <c r="AA4788"/>
    </row>
    <row r="4789" spans="27:27" ht="17.899999999999999" customHeight="1">
      <c r="AA4789"/>
    </row>
    <row r="4790" spans="27:27" ht="17.899999999999999" customHeight="1">
      <c r="AA4790"/>
    </row>
    <row r="4791" spans="27:27" ht="17.899999999999999" customHeight="1">
      <c r="AA4791"/>
    </row>
    <row r="4792" spans="27:27" ht="17.899999999999999" customHeight="1">
      <c r="AA4792"/>
    </row>
    <row r="4793" spans="27:27" ht="17.899999999999999" customHeight="1">
      <c r="AA4793"/>
    </row>
    <row r="4794" spans="27:27" ht="17.899999999999999" customHeight="1">
      <c r="AA4794"/>
    </row>
    <row r="4795" spans="27:27" ht="17.899999999999999" customHeight="1">
      <c r="AA4795"/>
    </row>
    <row r="4796" spans="27:27" ht="17.899999999999999" customHeight="1">
      <c r="AA4796"/>
    </row>
    <row r="4797" spans="27:27" ht="17.899999999999999" customHeight="1">
      <c r="AA4797"/>
    </row>
    <row r="4798" spans="27:27" ht="17.899999999999999" customHeight="1">
      <c r="AA4798"/>
    </row>
    <row r="4799" spans="27:27" ht="17.899999999999999" customHeight="1">
      <c r="AA4799"/>
    </row>
    <row r="4800" spans="27:27" ht="17.899999999999999" customHeight="1">
      <c r="AA4800"/>
    </row>
    <row r="4801" spans="27:27" ht="17.899999999999999" customHeight="1">
      <c r="AA4801"/>
    </row>
    <row r="4802" spans="27:27" ht="17.899999999999999" customHeight="1">
      <c r="AA4802"/>
    </row>
    <row r="4803" spans="27:27" ht="17.899999999999999" customHeight="1">
      <c r="AA4803"/>
    </row>
    <row r="4804" spans="27:27" ht="17.899999999999999" customHeight="1">
      <c r="AA4804"/>
    </row>
    <row r="4805" spans="27:27" ht="17.899999999999999" customHeight="1">
      <c r="AA4805"/>
    </row>
    <row r="4806" spans="27:27" ht="17.899999999999999" customHeight="1">
      <c r="AA4806"/>
    </row>
    <row r="4807" spans="27:27" ht="17.899999999999999" customHeight="1">
      <c r="AA4807"/>
    </row>
    <row r="4808" spans="27:27" ht="17.899999999999999" customHeight="1">
      <c r="AA4808"/>
    </row>
    <row r="4809" spans="27:27" ht="17.899999999999999" customHeight="1">
      <c r="AA4809"/>
    </row>
    <row r="4810" spans="27:27" ht="17.899999999999999" customHeight="1">
      <c r="AA4810"/>
    </row>
    <row r="4811" spans="27:27" ht="17.899999999999999" customHeight="1">
      <c r="AA4811"/>
    </row>
    <row r="4812" spans="27:27" ht="17.899999999999999" customHeight="1">
      <c r="AA4812"/>
    </row>
    <row r="4813" spans="27:27" ht="17.899999999999999" customHeight="1">
      <c r="AA4813"/>
    </row>
    <row r="4814" spans="27:27" ht="17.899999999999999" customHeight="1">
      <c r="AA4814"/>
    </row>
    <row r="4815" spans="27:27" ht="17.899999999999999" customHeight="1">
      <c r="AA4815"/>
    </row>
    <row r="4816" spans="27:27" ht="17.899999999999999" customHeight="1">
      <c r="AA4816"/>
    </row>
    <row r="4817" spans="27:27" ht="17.899999999999999" customHeight="1">
      <c r="AA4817"/>
    </row>
    <row r="4818" spans="27:27" ht="17.899999999999999" customHeight="1">
      <c r="AA4818"/>
    </row>
    <row r="4819" spans="27:27" ht="17.899999999999999" customHeight="1">
      <c r="AA4819"/>
    </row>
    <row r="4820" spans="27:27" ht="17.899999999999999" customHeight="1">
      <c r="AA4820"/>
    </row>
    <row r="4821" spans="27:27" ht="17.899999999999999" customHeight="1">
      <c r="AA4821"/>
    </row>
    <row r="4822" spans="27:27" ht="17.899999999999999" customHeight="1">
      <c r="AA4822"/>
    </row>
    <row r="4823" spans="27:27" ht="17.899999999999999" customHeight="1">
      <c r="AA4823"/>
    </row>
    <row r="4824" spans="27:27" ht="17.899999999999999" customHeight="1">
      <c r="AA4824"/>
    </row>
    <row r="4825" spans="27:27" ht="17.899999999999999" customHeight="1">
      <c r="AA4825"/>
    </row>
    <row r="4826" spans="27:27" ht="17.899999999999999" customHeight="1">
      <c r="AA4826"/>
    </row>
    <row r="4827" spans="27:27" ht="17.899999999999999" customHeight="1">
      <c r="AA4827"/>
    </row>
    <row r="4828" spans="27:27" ht="17.899999999999999" customHeight="1">
      <c r="AA4828"/>
    </row>
    <row r="4829" spans="27:27" ht="17.899999999999999" customHeight="1">
      <c r="AA4829"/>
    </row>
    <row r="4830" spans="27:27" ht="17.899999999999999" customHeight="1">
      <c r="AA4830"/>
    </row>
    <row r="4831" spans="27:27" ht="17.899999999999999" customHeight="1">
      <c r="AA4831"/>
    </row>
    <row r="4832" spans="27:27" ht="17.899999999999999" customHeight="1">
      <c r="AA4832"/>
    </row>
    <row r="4833" spans="27:27" ht="17.899999999999999" customHeight="1">
      <c r="AA4833"/>
    </row>
    <row r="4834" spans="27:27" ht="17.899999999999999" customHeight="1">
      <c r="AA4834"/>
    </row>
    <row r="4835" spans="27:27" ht="17.899999999999999" customHeight="1">
      <c r="AA4835"/>
    </row>
    <row r="4836" spans="27:27" ht="17.899999999999999" customHeight="1">
      <c r="AA4836"/>
    </row>
    <row r="4837" spans="27:27" ht="17.899999999999999" customHeight="1">
      <c r="AA4837"/>
    </row>
    <row r="4838" spans="27:27" ht="17.899999999999999" customHeight="1">
      <c r="AA4838"/>
    </row>
    <row r="4839" spans="27:27" ht="17.899999999999999" customHeight="1">
      <c r="AA4839"/>
    </row>
    <row r="4840" spans="27:27" ht="17.899999999999999" customHeight="1">
      <c r="AA4840"/>
    </row>
    <row r="4841" spans="27:27" ht="17.899999999999999" customHeight="1">
      <c r="AA4841"/>
    </row>
    <row r="4842" spans="27:27" ht="17.899999999999999" customHeight="1">
      <c r="AA4842"/>
    </row>
    <row r="4843" spans="27:27" ht="17.899999999999999" customHeight="1">
      <c r="AA4843"/>
    </row>
    <row r="4844" spans="27:27" ht="17.899999999999999" customHeight="1">
      <c r="AA4844"/>
    </row>
    <row r="4845" spans="27:27" ht="17.899999999999999" customHeight="1">
      <c r="AA4845"/>
    </row>
    <row r="4846" spans="27:27" ht="17.899999999999999" customHeight="1">
      <c r="AA4846"/>
    </row>
    <row r="4847" spans="27:27" ht="17.899999999999999" customHeight="1">
      <c r="AA4847"/>
    </row>
    <row r="4848" spans="27:27" ht="17.899999999999999" customHeight="1">
      <c r="AA4848"/>
    </row>
    <row r="4849" spans="27:27" ht="17.899999999999999" customHeight="1">
      <c r="AA4849"/>
    </row>
    <row r="4850" spans="27:27" ht="17.899999999999999" customHeight="1">
      <c r="AA4850"/>
    </row>
    <row r="4851" spans="27:27" ht="17.899999999999999" customHeight="1">
      <c r="AA4851"/>
    </row>
    <row r="4852" spans="27:27" ht="17.899999999999999" customHeight="1">
      <c r="AA4852"/>
    </row>
    <row r="4853" spans="27:27" ht="17.899999999999999" customHeight="1">
      <c r="AA4853"/>
    </row>
    <row r="4854" spans="27:27" ht="17.899999999999999" customHeight="1">
      <c r="AA4854"/>
    </row>
    <row r="4855" spans="27:27" ht="17.899999999999999" customHeight="1">
      <c r="AA4855"/>
    </row>
    <row r="4856" spans="27:27" ht="17.899999999999999" customHeight="1">
      <c r="AA4856"/>
    </row>
    <row r="4857" spans="27:27" ht="17.899999999999999" customHeight="1">
      <c r="AA4857"/>
    </row>
    <row r="4858" spans="27:27" ht="17.899999999999999" customHeight="1">
      <c r="AA4858"/>
    </row>
    <row r="4859" spans="27:27" ht="17.899999999999999" customHeight="1">
      <c r="AA4859"/>
    </row>
    <row r="4860" spans="27:27" ht="17.899999999999999" customHeight="1">
      <c r="AA4860"/>
    </row>
    <row r="4861" spans="27:27" ht="17.899999999999999" customHeight="1">
      <c r="AA4861"/>
    </row>
    <row r="4862" spans="27:27" ht="17.899999999999999" customHeight="1">
      <c r="AA4862"/>
    </row>
    <row r="4863" spans="27:27" ht="17.899999999999999" customHeight="1">
      <c r="AA4863"/>
    </row>
    <row r="4864" spans="27:27" ht="17.899999999999999" customHeight="1">
      <c r="AA4864"/>
    </row>
    <row r="4865" spans="27:27" ht="17.899999999999999" customHeight="1">
      <c r="AA4865"/>
    </row>
    <row r="4866" spans="27:27" ht="17.899999999999999" customHeight="1">
      <c r="AA4866"/>
    </row>
    <row r="4867" spans="27:27" ht="17.899999999999999" customHeight="1">
      <c r="AA4867"/>
    </row>
    <row r="4868" spans="27:27" ht="17.899999999999999" customHeight="1">
      <c r="AA4868"/>
    </row>
    <row r="4869" spans="27:27" ht="17.899999999999999" customHeight="1">
      <c r="AA4869"/>
    </row>
    <row r="4870" spans="27:27" ht="17.899999999999999" customHeight="1">
      <c r="AA4870"/>
    </row>
    <row r="4871" spans="27:27" ht="17.899999999999999" customHeight="1">
      <c r="AA4871"/>
    </row>
    <row r="4872" spans="27:27" ht="17.899999999999999" customHeight="1">
      <c r="AA4872"/>
    </row>
    <row r="4873" spans="27:27" ht="17.899999999999999" customHeight="1">
      <c r="AA4873"/>
    </row>
    <row r="4874" spans="27:27" ht="17.899999999999999" customHeight="1">
      <c r="AA4874"/>
    </row>
    <row r="4875" spans="27:27" ht="17.899999999999999" customHeight="1">
      <c r="AA4875"/>
    </row>
    <row r="4876" spans="27:27" ht="17.899999999999999" customHeight="1">
      <c r="AA4876"/>
    </row>
    <row r="4877" spans="27:27" ht="17.899999999999999" customHeight="1">
      <c r="AA4877"/>
    </row>
    <row r="4878" spans="27:27" ht="17.899999999999999" customHeight="1">
      <c r="AA4878"/>
    </row>
    <row r="4879" spans="27:27" ht="17.899999999999999" customHeight="1">
      <c r="AA4879"/>
    </row>
    <row r="4880" spans="27:27" ht="17.899999999999999" customHeight="1">
      <c r="AA4880"/>
    </row>
    <row r="4881" spans="27:27" ht="17.899999999999999" customHeight="1">
      <c r="AA4881"/>
    </row>
    <row r="4882" spans="27:27" ht="17.899999999999999" customHeight="1">
      <c r="AA4882"/>
    </row>
    <row r="4883" spans="27:27" ht="17.899999999999999" customHeight="1">
      <c r="AA4883"/>
    </row>
    <row r="4884" spans="27:27" ht="17.899999999999999" customHeight="1">
      <c r="AA4884"/>
    </row>
    <row r="4885" spans="27:27" ht="17.899999999999999" customHeight="1">
      <c r="AA4885"/>
    </row>
    <row r="4886" spans="27:27" ht="17.899999999999999" customHeight="1">
      <c r="AA4886"/>
    </row>
    <row r="4887" spans="27:27" ht="17.899999999999999" customHeight="1">
      <c r="AA4887"/>
    </row>
    <row r="4888" spans="27:27" ht="17.899999999999999" customHeight="1">
      <c r="AA4888"/>
    </row>
    <row r="4889" spans="27:27" ht="17.899999999999999" customHeight="1">
      <c r="AA4889"/>
    </row>
    <row r="4890" spans="27:27" ht="17.899999999999999" customHeight="1">
      <c r="AA4890"/>
    </row>
    <row r="4891" spans="27:27" ht="17.899999999999999" customHeight="1">
      <c r="AA4891"/>
    </row>
    <row r="4892" spans="27:27" ht="17.899999999999999" customHeight="1">
      <c r="AA4892"/>
    </row>
    <row r="4893" spans="27:27" ht="17.899999999999999" customHeight="1">
      <c r="AA4893"/>
    </row>
    <row r="4894" spans="27:27" ht="17.899999999999999" customHeight="1">
      <c r="AA4894"/>
    </row>
    <row r="4895" spans="27:27" ht="17.899999999999999" customHeight="1">
      <c r="AA4895"/>
    </row>
    <row r="4896" spans="27:27" ht="17.899999999999999" customHeight="1">
      <c r="AA4896"/>
    </row>
    <row r="4897" spans="27:27" ht="17.899999999999999" customHeight="1">
      <c r="AA4897"/>
    </row>
    <row r="4898" spans="27:27" ht="17.899999999999999" customHeight="1">
      <c r="AA4898"/>
    </row>
    <row r="4899" spans="27:27" ht="17.899999999999999" customHeight="1">
      <c r="AA4899"/>
    </row>
    <row r="4900" spans="27:27" ht="17.899999999999999" customHeight="1">
      <c r="AA4900"/>
    </row>
    <row r="4901" spans="27:27" ht="17.899999999999999" customHeight="1">
      <c r="AA4901"/>
    </row>
    <row r="4902" spans="27:27" ht="17.899999999999999" customHeight="1">
      <c r="AA4902"/>
    </row>
    <row r="4903" spans="27:27" ht="17.899999999999999" customHeight="1">
      <c r="AA4903"/>
    </row>
    <row r="4904" spans="27:27" ht="17.899999999999999" customHeight="1">
      <c r="AA4904"/>
    </row>
    <row r="4905" spans="27:27" ht="17.899999999999999" customHeight="1">
      <c r="AA4905"/>
    </row>
    <row r="4906" spans="27:27" ht="17.899999999999999" customHeight="1">
      <c r="AA4906"/>
    </row>
    <row r="4907" spans="27:27" ht="17.899999999999999" customHeight="1">
      <c r="AA4907"/>
    </row>
    <row r="4908" spans="27:27" ht="17.899999999999999" customHeight="1">
      <c r="AA4908"/>
    </row>
    <row r="4909" spans="27:27" ht="17.899999999999999" customHeight="1">
      <c r="AA4909"/>
    </row>
    <row r="4910" spans="27:27" ht="17.899999999999999" customHeight="1">
      <c r="AA4910"/>
    </row>
    <row r="4911" spans="27:27" ht="17.899999999999999" customHeight="1">
      <c r="AA4911"/>
    </row>
    <row r="4912" spans="27:27" ht="17.899999999999999" customHeight="1">
      <c r="AA4912"/>
    </row>
    <row r="4913" spans="27:27" ht="17.899999999999999" customHeight="1">
      <c r="AA4913"/>
    </row>
    <row r="4914" spans="27:27" ht="17.899999999999999" customHeight="1">
      <c r="AA4914"/>
    </row>
    <row r="4915" spans="27:27" ht="17.899999999999999" customHeight="1">
      <c r="AA4915"/>
    </row>
    <row r="4916" spans="27:27" ht="17.899999999999999" customHeight="1">
      <c r="AA4916"/>
    </row>
    <row r="4917" spans="27:27" ht="17.899999999999999" customHeight="1">
      <c r="AA4917"/>
    </row>
    <row r="4918" spans="27:27" ht="17.899999999999999" customHeight="1">
      <c r="AA4918"/>
    </row>
    <row r="4919" spans="27:27" ht="17.899999999999999" customHeight="1">
      <c r="AA4919"/>
    </row>
    <row r="4920" spans="27:27" ht="17.899999999999999" customHeight="1">
      <c r="AA4920"/>
    </row>
    <row r="4921" spans="27:27" ht="17.899999999999999" customHeight="1">
      <c r="AA4921"/>
    </row>
    <row r="4922" spans="27:27" ht="17.899999999999999" customHeight="1">
      <c r="AA4922"/>
    </row>
    <row r="4923" spans="27:27" ht="17.899999999999999" customHeight="1">
      <c r="AA4923"/>
    </row>
    <row r="4924" spans="27:27" ht="17.899999999999999" customHeight="1">
      <c r="AA4924"/>
    </row>
    <row r="4925" spans="27:27" ht="17.899999999999999" customHeight="1">
      <c r="AA4925"/>
    </row>
    <row r="4926" spans="27:27" ht="17.899999999999999" customHeight="1">
      <c r="AA4926"/>
    </row>
    <row r="4927" spans="27:27" ht="17.899999999999999" customHeight="1">
      <c r="AA4927"/>
    </row>
    <row r="4928" spans="27:27" ht="17.899999999999999" customHeight="1">
      <c r="AA4928"/>
    </row>
    <row r="4929" spans="27:27" ht="17.899999999999999" customHeight="1">
      <c r="AA4929"/>
    </row>
    <row r="4930" spans="27:27" ht="17.899999999999999" customHeight="1">
      <c r="AA4930"/>
    </row>
    <row r="4931" spans="27:27" ht="17.899999999999999" customHeight="1">
      <c r="AA4931"/>
    </row>
    <row r="4932" spans="27:27" ht="17.899999999999999" customHeight="1">
      <c r="AA4932"/>
    </row>
    <row r="4933" spans="27:27" ht="17.899999999999999" customHeight="1">
      <c r="AA4933"/>
    </row>
    <row r="4934" spans="27:27" ht="17.899999999999999" customHeight="1">
      <c r="AA4934"/>
    </row>
    <row r="4935" spans="27:27" ht="17.899999999999999" customHeight="1">
      <c r="AA4935"/>
    </row>
    <row r="4936" spans="27:27" ht="17.899999999999999" customHeight="1">
      <c r="AA4936"/>
    </row>
    <row r="4937" spans="27:27" ht="17.899999999999999" customHeight="1">
      <c r="AA4937"/>
    </row>
    <row r="4938" spans="27:27" ht="17.899999999999999" customHeight="1">
      <c r="AA4938"/>
    </row>
    <row r="4939" spans="27:27" ht="17.899999999999999" customHeight="1">
      <c r="AA4939"/>
    </row>
    <row r="4940" spans="27:27" ht="17.899999999999999" customHeight="1">
      <c r="AA4940"/>
    </row>
    <row r="4941" spans="27:27" ht="17.899999999999999" customHeight="1">
      <c r="AA4941"/>
    </row>
    <row r="4942" spans="27:27" ht="17.899999999999999" customHeight="1">
      <c r="AA4942"/>
    </row>
    <row r="4943" spans="27:27" ht="17.899999999999999" customHeight="1">
      <c r="AA4943"/>
    </row>
    <row r="4944" spans="27:27" ht="17.899999999999999" customHeight="1">
      <c r="AA4944"/>
    </row>
    <row r="4945" spans="27:27" ht="17.899999999999999" customHeight="1">
      <c r="AA4945"/>
    </row>
    <row r="4946" spans="27:27" ht="17.899999999999999" customHeight="1">
      <c r="AA4946"/>
    </row>
    <row r="4947" spans="27:27" ht="17.899999999999999" customHeight="1">
      <c r="AA4947"/>
    </row>
    <row r="4948" spans="27:27" ht="17.899999999999999" customHeight="1">
      <c r="AA4948"/>
    </row>
    <row r="4949" spans="27:27" ht="17.899999999999999" customHeight="1">
      <c r="AA4949"/>
    </row>
    <row r="4950" spans="27:27" ht="17.899999999999999" customHeight="1">
      <c r="AA4950"/>
    </row>
    <row r="4951" spans="27:27" ht="17.899999999999999" customHeight="1">
      <c r="AA4951"/>
    </row>
    <row r="4952" spans="27:27" ht="17.899999999999999" customHeight="1">
      <c r="AA4952"/>
    </row>
    <row r="4953" spans="27:27" ht="17.899999999999999" customHeight="1">
      <c r="AA4953"/>
    </row>
    <row r="4954" spans="27:27" ht="17.899999999999999" customHeight="1">
      <c r="AA4954"/>
    </row>
    <row r="4955" spans="27:27" ht="17.899999999999999" customHeight="1">
      <c r="AA4955"/>
    </row>
    <row r="4956" spans="27:27" ht="17.899999999999999" customHeight="1">
      <c r="AA4956"/>
    </row>
    <row r="4957" spans="27:27" ht="17.899999999999999" customHeight="1">
      <c r="AA4957"/>
    </row>
    <row r="4958" spans="27:27" ht="17.899999999999999" customHeight="1">
      <c r="AA4958"/>
    </row>
    <row r="4959" spans="27:27" ht="17.899999999999999" customHeight="1">
      <c r="AA4959"/>
    </row>
    <row r="4960" spans="27:27" ht="17.899999999999999" customHeight="1">
      <c r="AA4960"/>
    </row>
    <row r="4961" spans="27:27" ht="17.899999999999999" customHeight="1">
      <c r="AA4961"/>
    </row>
    <row r="4962" spans="27:27" ht="17.899999999999999" customHeight="1">
      <c r="AA4962"/>
    </row>
    <row r="4963" spans="27:27" ht="17.899999999999999" customHeight="1">
      <c r="AA4963"/>
    </row>
    <row r="4964" spans="27:27" ht="17.899999999999999" customHeight="1">
      <c r="AA4964"/>
    </row>
    <row r="4965" spans="27:27" ht="17.899999999999999" customHeight="1">
      <c r="AA4965"/>
    </row>
    <row r="4966" spans="27:27" ht="17.899999999999999" customHeight="1">
      <c r="AA4966"/>
    </row>
    <row r="4967" spans="27:27" ht="17.899999999999999" customHeight="1">
      <c r="AA4967"/>
    </row>
    <row r="4968" spans="27:27" ht="17.899999999999999" customHeight="1">
      <c r="AA4968"/>
    </row>
    <row r="4969" spans="27:27" ht="17.899999999999999" customHeight="1">
      <c r="AA4969"/>
    </row>
    <row r="4970" spans="27:27" ht="17.899999999999999" customHeight="1">
      <c r="AA4970"/>
    </row>
    <row r="4971" spans="27:27" ht="17.899999999999999" customHeight="1">
      <c r="AA4971"/>
    </row>
    <row r="4972" spans="27:27" ht="17.899999999999999" customHeight="1">
      <c r="AA4972"/>
    </row>
    <row r="4973" spans="27:27" ht="17.899999999999999" customHeight="1">
      <c r="AA4973"/>
    </row>
    <row r="4974" spans="27:27" ht="17.899999999999999" customHeight="1">
      <c r="AA4974"/>
    </row>
    <row r="4975" spans="27:27" ht="17.899999999999999" customHeight="1">
      <c r="AA4975"/>
    </row>
    <row r="4976" spans="27:27" ht="17.899999999999999" customHeight="1">
      <c r="AA4976"/>
    </row>
    <row r="4977" spans="27:27" ht="17.899999999999999" customHeight="1">
      <c r="AA4977"/>
    </row>
    <row r="4978" spans="27:27" ht="17.899999999999999" customHeight="1">
      <c r="AA4978"/>
    </row>
    <row r="4979" spans="27:27" ht="17.899999999999999" customHeight="1">
      <c r="AA4979"/>
    </row>
    <row r="4980" spans="27:27" ht="17.899999999999999" customHeight="1">
      <c r="AA4980"/>
    </row>
    <row r="4981" spans="27:27" ht="17.899999999999999" customHeight="1">
      <c r="AA4981"/>
    </row>
    <row r="4982" spans="27:27" ht="17.899999999999999" customHeight="1">
      <c r="AA4982"/>
    </row>
    <row r="4983" spans="27:27" ht="17.899999999999999" customHeight="1">
      <c r="AA4983"/>
    </row>
    <row r="4984" spans="27:27" ht="17.899999999999999" customHeight="1">
      <c r="AA4984"/>
    </row>
    <row r="4985" spans="27:27" ht="17.899999999999999" customHeight="1">
      <c r="AA4985"/>
    </row>
    <row r="4986" spans="27:27" ht="17.899999999999999" customHeight="1">
      <c r="AA4986"/>
    </row>
    <row r="4987" spans="27:27" ht="17.899999999999999" customHeight="1">
      <c r="AA4987"/>
    </row>
    <row r="4988" spans="27:27" ht="17.899999999999999" customHeight="1">
      <c r="AA4988"/>
    </row>
    <row r="4989" spans="27:27" ht="17.899999999999999" customHeight="1">
      <c r="AA4989"/>
    </row>
    <row r="4990" spans="27:27" ht="17.899999999999999" customHeight="1">
      <c r="AA4990"/>
    </row>
    <row r="4991" spans="27:27" ht="17.899999999999999" customHeight="1">
      <c r="AA4991"/>
    </row>
    <row r="4992" spans="27:27" ht="17.899999999999999" customHeight="1">
      <c r="AA4992"/>
    </row>
    <row r="4993" spans="27:27" ht="17.899999999999999" customHeight="1">
      <c r="AA4993"/>
    </row>
    <row r="4994" spans="27:27" ht="17.899999999999999" customHeight="1">
      <c r="AA4994"/>
    </row>
    <row r="4995" spans="27:27" ht="17.899999999999999" customHeight="1">
      <c r="AA4995"/>
    </row>
    <row r="4996" spans="27:27" ht="17.899999999999999" customHeight="1">
      <c r="AA4996"/>
    </row>
    <row r="4997" spans="27:27" ht="17.899999999999999" customHeight="1">
      <c r="AA4997"/>
    </row>
    <row r="4998" spans="27:27" ht="17.899999999999999" customHeight="1">
      <c r="AA4998"/>
    </row>
    <row r="4999" spans="27:27" ht="17.899999999999999" customHeight="1">
      <c r="AA4999"/>
    </row>
    <row r="5000" spans="27:27" ht="17.899999999999999" customHeight="1">
      <c r="AA5000"/>
    </row>
    <row r="5001" spans="27:27" ht="17.899999999999999" customHeight="1">
      <c r="AA5001"/>
    </row>
    <row r="5002" spans="27:27" ht="17.899999999999999" customHeight="1">
      <c r="AA5002"/>
    </row>
    <row r="5003" spans="27:27" ht="17.899999999999999" customHeight="1">
      <c r="AA5003"/>
    </row>
    <row r="5004" spans="27:27" ht="17.899999999999999" customHeight="1">
      <c r="AA5004"/>
    </row>
    <row r="5005" spans="27:27" ht="17.899999999999999" customHeight="1">
      <c r="AA5005"/>
    </row>
    <row r="5006" spans="27:27" ht="17.899999999999999" customHeight="1">
      <c r="AA5006"/>
    </row>
    <row r="5007" spans="27:27" ht="17.899999999999999" customHeight="1">
      <c r="AA5007"/>
    </row>
    <row r="5008" spans="27:27" ht="17.899999999999999" customHeight="1">
      <c r="AA5008"/>
    </row>
    <row r="5009" spans="27:27" ht="17.899999999999999" customHeight="1">
      <c r="AA5009"/>
    </row>
    <row r="5010" spans="27:27" ht="17.899999999999999" customHeight="1">
      <c r="AA5010"/>
    </row>
    <row r="5011" spans="27:27" ht="17.899999999999999" customHeight="1">
      <c r="AA5011"/>
    </row>
    <row r="5012" spans="27:27" ht="17.899999999999999" customHeight="1">
      <c r="AA5012"/>
    </row>
    <row r="5013" spans="27:27" ht="17.899999999999999" customHeight="1">
      <c r="AA5013"/>
    </row>
    <row r="5014" spans="27:27" ht="17.899999999999999" customHeight="1">
      <c r="AA5014"/>
    </row>
    <row r="5015" spans="27:27" ht="17.899999999999999" customHeight="1">
      <c r="AA5015"/>
    </row>
    <row r="5016" spans="27:27" ht="17.899999999999999" customHeight="1">
      <c r="AA5016"/>
    </row>
    <row r="5017" spans="27:27" ht="17.899999999999999" customHeight="1">
      <c r="AA5017"/>
    </row>
    <row r="5018" spans="27:27" ht="17.899999999999999" customHeight="1">
      <c r="AA5018"/>
    </row>
    <row r="5019" spans="27:27" ht="17.899999999999999" customHeight="1">
      <c r="AA5019"/>
    </row>
    <row r="5020" spans="27:27" ht="17.899999999999999" customHeight="1">
      <c r="AA5020"/>
    </row>
    <row r="5021" spans="27:27" ht="17.899999999999999" customHeight="1">
      <c r="AA5021"/>
    </row>
    <row r="5022" spans="27:27" ht="17.899999999999999" customHeight="1">
      <c r="AA5022"/>
    </row>
    <row r="5023" spans="27:27" ht="17.899999999999999" customHeight="1">
      <c r="AA5023"/>
    </row>
    <row r="5024" spans="27:27" ht="17.899999999999999" customHeight="1">
      <c r="AA5024"/>
    </row>
    <row r="5025" spans="27:27" ht="17.899999999999999" customHeight="1">
      <c r="AA5025"/>
    </row>
    <row r="5026" spans="27:27" ht="17.899999999999999" customHeight="1">
      <c r="AA5026"/>
    </row>
    <row r="5027" spans="27:27" ht="17.899999999999999" customHeight="1">
      <c r="AA5027"/>
    </row>
    <row r="5028" spans="27:27" ht="17.899999999999999" customHeight="1">
      <c r="AA5028"/>
    </row>
    <row r="5029" spans="27:27" ht="17.899999999999999" customHeight="1">
      <c r="AA5029"/>
    </row>
    <row r="5030" spans="27:27" ht="17.899999999999999" customHeight="1">
      <c r="AA5030"/>
    </row>
    <row r="5031" spans="27:27" ht="17.899999999999999" customHeight="1">
      <c r="AA5031"/>
    </row>
    <row r="5032" spans="27:27" ht="17.899999999999999" customHeight="1">
      <c r="AA5032"/>
    </row>
    <row r="5033" spans="27:27" ht="17.899999999999999" customHeight="1">
      <c r="AA5033"/>
    </row>
    <row r="5034" spans="27:27" ht="17.899999999999999" customHeight="1">
      <c r="AA5034"/>
    </row>
    <row r="5035" spans="27:27" ht="17.899999999999999" customHeight="1">
      <c r="AA5035"/>
    </row>
    <row r="5036" spans="27:27" ht="17.899999999999999" customHeight="1">
      <c r="AA5036"/>
    </row>
    <row r="5037" spans="27:27" ht="17.899999999999999" customHeight="1">
      <c r="AA5037"/>
    </row>
    <row r="5038" spans="27:27" ht="17.899999999999999" customHeight="1">
      <c r="AA5038"/>
    </row>
    <row r="5039" spans="27:27" ht="17.899999999999999" customHeight="1">
      <c r="AA5039"/>
    </row>
    <row r="5040" spans="27:27" ht="17.899999999999999" customHeight="1">
      <c r="AA5040"/>
    </row>
    <row r="5041" spans="27:27" ht="17.899999999999999" customHeight="1">
      <c r="AA5041"/>
    </row>
    <row r="5042" spans="27:27" ht="17.899999999999999" customHeight="1">
      <c r="AA5042"/>
    </row>
    <row r="5043" spans="27:27" ht="17.899999999999999" customHeight="1">
      <c r="AA5043"/>
    </row>
    <row r="5044" spans="27:27" ht="17.899999999999999" customHeight="1">
      <c r="AA5044"/>
    </row>
    <row r="5045" spans="27:27" ht="17.899999999999999" customHeight="1">
      <c r="AA5045"/>
    </row>
    <row r="5046" spans="27:27" ht="17.899999999999999" customHeight="1">
      <c r="AA5046"/>
    </row>
    <row r="5047" spans="27:27" ht="17.899999999999999" customHeight="1">
      <c r="AA5047"/>
    </row>
    <row r="5048" spans="27:27" ht="17.899999999999999" customHeight="1">
      <c r="AA5048"/>
    </row>
    <row r="5049" spans="27:27" ht="17.899999999999999" customHeight="1">
      <c r="AA5049"/>
    </row>
    <row r="5050" spans="27:27" ht="17.899999999999999" customHeight="1">
      <c r="AA5050"/>
    </row>
    <row r="5051" spans="27:27" ht="17.899999999999999" customHeight="1">
      <c r="AA5051"/>
    </row>
    <row r="5052" spans="27:27" ht="17.899999999999999" customHeight="1">
      <c r="AA5052"/>
    </row>
    <row r="5053" spans="27:27" ht="17.899999999999999" customHeight="1">
      <c r="AA5053"/>
    </row>
    <row r="5054" spans="27:27" ht="17.899999999999999" customHeight="1">
      <c r="AA5054"/>
    </row>
    <row r="5055" spans="27:27" ht="17.899999999999999" customHeight="1">
      <c r="AA5055"/>
    </row>
    <row r="5056" spans="27:27" ht="17.899999999999999" customHeight="1">
      <c r="AA5056"/>
    </row>
    <row r="5057" spans="27:27" ht="17.899999999999999" customHeight="1">
      <c r="AA5057"/>
    </row>
    <row r="5058" spans="27:27" ht="17.899999999999999" customHeight="1">
      <c r="AA5058"/>
    </row>
    <row r="5059" spans="27:27" ht="17.899999999999999" customHeight="1">
      <c r="AA5059"/>
    </row>
    <row r="5060" spans="27:27" ht="17.899999999999999" customHeight="1">
      <c r="AA5060"/>
    </row>
    <row r="5061" spans="27:27" ht="17.899999999999999" customHeight="1">
      <c r="AA5061"/>
    </row>
    <row r="5062" spans="27:27" ht="17.899999999999999" customHeight="1">
      <c r="AA5062"/>
    </row>
    <row r="5063" spans="27:27" ht="17.899999999999999" customHeight="1">
      <c r="AA5063"/>
    </row>
    <row r="5064" spans="27:27" ht="17.899999999999999" customHeight="1">
      <c r="AA5064"/>
    </row>
    <row r="5065" spans="27:27" ht="17.899999999999999" customHeight="1">
      <c r="AA5065"/>
    </row>
    <row r="5066" spans="27:27" ht="17.899999999999999" customHeight="1">
      <c r="AA5066"/>
    </row>
    <row r="5067" spans="27:27" ht="17.899999999999999" customHeight="1">
      <c r="AA5067"/>
    </row>
    <row r="5068" spans="27:27" ht="17.899999999999999" customHeight="1">
      <c r="AA5068"/>
    </row>
    <row r="5069" spans="27:27" ht="17.899999999999999" customHeight="1">
      <c r="AA5069"/>
    </row>
    <row r="5070" spans="27:27" ht="17.899999999999999" customHeight="1">
      <c r="AA5070"/>
    </row>
    <row r="5071" spans="27:27" ht="17.899999999999999" customHeight="1">
      <c r="AA5071"/>
    </row>
    <row r="5072" spans="27:27" ht="17.899999999999999" customHeight="1">
      <c r="AA5072"/>
    </row>
    <row r="5073" spans="27:27" ht="17.899999999999999" customHeight="1">
      <c r="AA5073"/>
    </row>
    <row r="5074" spans="27:27" ht="17.899999999999999" customHeight="1">
      <c r="AA5074"/>
    </row>
    <row r="5075" spans="27:27" ht="17.899999999999999" customHeight="1">
      <c r="AA5075"/>
    </row>
    <row r="5076" spans="27:27" ht="17.899999999999999" customHeight="1">
      <c r="AA5076"/>
    </row>
    <row r="5077" spans="27:27" ht="17.899999999999999" customHeight="1">
      <c r="AA5077"/>
    </row>
    <row r="5078" spans="27:27" ht="17.899999999999999" customHeight="1">
      <c r="AA5078"/>
    </row>
    <row r="5079" spans="27:27" ht="17.899999999999999" customHeight="1">
      <c r="AA5079"/>
    </row>
    <row r="5080" spans="27:27" ht="17.899999999999999" customHeight="1">
      <c r="AA5080"/>
    </row>
    <row r="5081" spans="27:27" ht="17.899999999999999" customHeight="1">
      <c r="AA5081"/>
    </row>
    <row r="5082" spans="27:27" ht="17.899999999999999" customHeight="1">
      <c r="AA5082"/>
    </row>
    <row r="5083" spans="27:27" ht="17.899999999999999" customHeight="1">
      <c r="AA5083"/>
    </row>
    <row r="5084" spans="27:27" ht="17.899999999999999" customHeight="1">
      <c r="AA5084"/>
    </row>
    <row r="5085" spans="27:27" ht="17.899999999999999" customHeight="1">
      <c r="AA5085"/>
    </row>
    <row r="5086" spans="27:27" ht="17.899999999999999" customHeight="1">
      <c r="AA5086"/>
    </row>
    <row r="5087" spans="27:27" ht="17.899999999999999" customHeight="1">
      <c r="AA5087"/>
    </row>
    <row r="5088" spans="27:27" ht="17.899999999999999" customHeight="1">
      <c r="AA5088"/>
    </row>
    <row r="5089" spans="27:27" ht="17.899999999999999" customHeight="1">
      <c r="AA5089"/>
    </row>
    <row r="5090" spans="27:27" ht="17.899999999999999" customHeight="1">
      <c r="AA5090"/>
    </row>
    <row r="5091" spans="27:27" ht="17.899999999999999" customHeight="1">
      <c r="AA5091"/>
    </row>
    <row r="5092" spans="27:27" ht="17.899999999999999" customHeight="1">
      <c r="AA5092"/>
    </row>
    <row r="5093" spans="27:27" ht="17.899999999999999" customHeight="1">
      <c r="AA5093"/>
    </row>
    <row r="5094" spans="27:27" ht="17.899999999999999" customHeight="1">
      <c r="AA5094"/>
    </row>
    <row r="5095" spans="27:27" ht="17.899999999999999" customHeight="1">
      <c r="AA5095"/>
    </row>
    <row r="5096" spans="27:27" ht="17.899999999999999" customHeight="1">
      <c r="AA5096"/>
    </row>
    <row r="5097" spans="27:27" ht="17.899999999999999" customHeight="1">
      <c r="AA5097"/>
    </row>
    <row r="5098" spans="27:27" ht="17.899999999999999" customHeight="1">
      <c r="AA5098"/>
    </row>
    <row r="5099" spans="27:27" ht="17.899999999999999" customHeight="1">
      <c r="AA5099"/>
    </row>
    <row r="5100" spans="27:27" ht="17.899999999999999" customHeight="1">
      <c r="AA5100"/>
    </row>
    <row r="5101" spans="27:27" ht="17.899999999999999" customHeight="1">
      <c r="AA5101"/>
    </row>
    <row r="5102" spans="27:27" ht="17.899999999999999" customHeight="1">
      <c r="AA5102"/>
    </row>
    <row r="5103" spans="27:27" ht="17.899999999999999" customHeight="1">
      <c r="AA5103"/>
    </row>
    <row r="5104" spans="27:27" ht="17.899999999999999" customHeight="1">
      <c r="AA5104"/>
    </row>
    <row r="5105" spans="27:27" ht="17.899999999999999" customHeight="1">
      <c r="AA5105"/>
    </row>
    <row r="5106" spans="27:27" ht="17.899999999999999" customHeight="1">
      <c r="AA5106"/>
    </row>
    <row r="5107" spans="27:27" ht="17.899999999999999" customHeight="1">
      <c r="AA5107"/>
    </row>
    <row r="5108" spans="27:27" ht="17.899999999999999" customHeight="1">
      <c r="AA5108"/>
    </row>
    <row r="5109" spans="27:27" ht="17.899999999999999" customHeight="1">
      <c r="AA5109"/>
    </row>
    <row r="5110" spans="27:27" ht="17.899999999999999" customHeight="1">
      <c r="AA5110"/>
    </row>
    <row r="5111" spans="27:27" ht="17.899999999999999" customHeight="1">
      <c r="AA5111"/>
    </row>
    <row r="5112" spans="27:27" ht="17.899999999999999" customHeight="1">
      <c r="AA5112"/>
    </row>
    <row r="5113" spans="27:27" ht="17.899999999999999" customHeight="1">
      <c r="AA5113"/>
    </row>
    <row r="5114" spans="27:27" ht="17.899999999999999" customHeight="1">
      <c r="AA5114"/>
    </row>
    <row r="5115" spans="27:27" ht="17.899999999999999" customHeight="1">
      <c r="AA5115"/>
    </row>
    <row r="5116" spans="27:27" ht="17.899999999999999" customHeight="1">
      <c r="AA5116"/>
    </row>
    <row r="5117" spans="27:27" ht="17.899999999999999" customHeight="1">
      <c r="AA5117"/>
    </row>
    <row r="5118" spans="27:27" ht="17.899999999999999" customHeight="1">
      <c r="AA5118"/>
    </row>
    <row r="5119" spans="27:27" ht="17.899999999999999" customHeight="1">
      <c r="AA5119"/>
    </row>
    <row r="5120" spans="27:27" ht="17.899999999999999" customHeight="1">
      <c r="AA5120"/>
    </row>
    <row r="5121" spans="27:27" ht="17.899999999999999" customHeight="1">
      <c r="AA5121"/>
    </row>
    <row r="5122" spans="27:27" ht="17.899999999999999" customHeight="1">
      <c r="AA5122"/>
    </row>
    <row r="5123" spans="27:27" ht="17.899999999999999" customHeight="1">
      <c r="AA5123"/>
    </row>
    <row r="5124" spans="27:27" ht="17.899999999999999" customHeight="1">
      <c r="AA5124"/>
    </row>
    <row r="5125" spans="27:27" ht="17.899999999999999" customHeight="1">
      <c r="AA5125"/>
    </row>
    <row r="5126" spans="27:27" ht="17.899999999999999" customHeight="1">
      <c r="AA5126"/>
    </row>
    <row r="5127" spans="27:27" ht="17.899999999999999" customHeight="1">
      <c r="AA5127"/>
    </row>
    <row r="5128" spans="27:27" ht="17.899999999999999" customHeight="1">
      <c r="AA5128"/>
    </row>
    <row r="5129" spans="27:27" ht="17.899999999999999" customHeight="1">
      <c r="AA5129"/>
    </row>
    <row r="5130" spans="27:27" ht="17.899999999999999" customHeight="1">
      <c r="AA5130"/>
    </row>
    <row r="5131" spans="27:27" ht="17.899999999999999" customHeight="1">
      <c r="AA5131"/>
    </row>
    <row r="5132" spans="27:27" ht="17.899999999999999" customHeight="1">
      <c r="AA5132"/>
    </row>
    <row r="5133" spans="27:27" ht="17.899999999999999" customHeight="1">
      <c r="AA5133"/>
    </row>
    <row r="5134" spans="27:27" ht="17.899999999999999" customHeight="1">
      <c r="AA5134"/>
    </row>
    <row r="5135" spans="27:27" ht="17.899999999999999" customHeight="1">
      <c r="AA5135"/>
    </row>
    <row r="5136" spans="27:27" ht="17.899999999999999" customHeight="1">
      <c r="AA5136"/>
    </row>
    <row r="5137" spans="27:27" ht="17.899999999999999" customHeight="1">
      <c r="AA5137"/>
    </row>
    <row r="5138" spans="27:27" ht="17.899999999999999" customHeight="1">
      <c r="AA5138"/>
    </row>
    <row r="5139" spans="27:27" ht="17.899999999999999" customHeight="1">
      <c r="AA5139"/>
    </row>
    <row r="5140" spans="27:27" ht="17.899999999999999" customHeight="1">
      <c r="AA5140"/>
    </row>
    <row r="5141" spans="27:27" ht="17.899999999999999" customHeight="1">
      <c r="AA5141"/>
    </row>
    <row r="5142" spans="27:27" ht="17.899999999999999" customHeight="1">
      <c r="AA5142"/>
    </row>
    <row r="5143" spans="27:27" ht="17.899999999999999" customHeight="1">
      <c r="AA5143"/>
    </row>
    <row r="5144" spans="27:27" ht="17.899999999999999" customHeight="1">
      <c r="AA5144"/>
    </row>
    <row r="5145" spans="27:27" ht="17.899999999999999" customHeight="1">
      <c r="AA5145"/>
    </row>
    <row r="5146" spans="27:27" ht="17.899999999999999" customHeight="1">
      <c r="AA5146"/>
    </row>
    <row r="5147" spans="27:27" ht="17.899999999999999" customHeight="1">
      <c r="AA5147"/>
    </row>
    <row r="5148" spans="27:27" ht="17.899999999999999" customHeight="1">
      <c r="AA5148"/>
    </row>
    <row r="5149" spans="27:27" ht="17.899999999999999" customHeight="1">
      <c r="AA5149"/>
    </row>
    <row r="5150" spans="27:27" ht="17.899999999999999" customHeight="1">
      <c r="AA5150"/>
    </row>
    <row r="5151" spans="27:27" ht="17.899999999999999" customHeight="1">
      <c r="AA5151"/>
    </row>
    <row r="5152" spans="27:27" ht="17.899999999999999" customHeight="1">
      <c r="AA5152"/>
    </row>
    <row r="5153" spans="27:27" ht="17.899999999999999" customHeight="1">
      <c r="AA5153"/>
    </row>
    <row r="5154" spans="27:27" ht="17.899999999999999" customHeight="1">
      <c r="AA5154"/>
    </row>
    <row r="5155" spans="27:27" ht="17.899999999999999" customHeight="1">
      <c r="AA5155"/>
    </row>
    <row r="5156" spans="27:27" ht="17.899999999999999" customHeight="1">
      <c r="AA5156"/>
    </row>
    <row r="5157" spans="27:27" ht="17.899999999999999" customHeight="1">
      <c r="AA5157"/>
    </row>
    <row r="5158" spans="27:27" ht="17.899999999999999" customHeight="1">
      <c r="AA5158"/>
    </row>
    <row r="5159" spans="27:27" ht="17.899999999999999" customHeight="1">
      <c r="AA5159"/>
    </row>
    <row r="5160" spans="27:27" ht="17.899999999999999" customHeight="1">
      <c r="AA5160"/>
    </row>
    <row r="5161" spans="27:27" ht="17.899999999999999" customHeight="1">
      <c r="AA5161"/>
    </row>
    <row r="5162" spans="27:27" ht="17.899999999999999" customHeight="1">
      <c r="AA5162"/>
    </row>
    <row r="5163" spans="27:27" ht="17.899999999999999" customHeight="1">
      <c r="AA5163"/>
    </row>
    <row r="5164" spans="27:27" ht="17.899999999999999" customHeight="1">
      <c r="AA5164"/>
    </row>
    <row r="5165" spans="27:27" ht="17.899999999999999" customHeight="1">
      <c r="AA5165"/>
    </row>
    <row r="5166" spans="27:27" ht="17.899999999999999" customHeight="1">
      <c r="AA5166"/>
    </row>
    <row r="5167" spans="27:27" ht="17.899999999999999" customHeight="1">
      <c r="AA5167"/>
    </row>
    <row r="5168" spans="27:27" ht="17.899999999999999" customHeight="1">
      <c r="AA5168"/>
    </row>
    <row r="5169" spans="27:27" ht="17.899999999999999" customHeight="1">
      <c r="AA5169"/>
    </row>
    <row r="5170" spans="27:27" ht="17.899999999999999" customHeight="1">
      <c r="AA5170"/>
    </row>
    <row r="5171" spans="27:27" ht="17.899999999999999" customHeight="1">
      <c r="AA5171"/>
    </row>
    <row r="5172" spans="27:27" ht="17.899999999999999" customHeight="1">
      <c r="AA5172"/>
    </row>
    <row r="5173" spans="27:27" ht="17.899999999999999" customHeight="1">
      <c r="AA5173"/>
    </row>
    <row r="5174" spans="27:27" ht="17.899999999999999" customHeight="1">
      <c r="AA5174"/>
    </row>
    <row r="5175" spans="27:27" ht="17.899999999999999" customHeight="1">
      <c r="AA5175"/>
    </row>
    <row r="5176" spans="27:27" ht="17.899999999999999" customHeight="1">
      <c r="AA5176"/>
    </row>
    <row r="5177" spans="27:27" ht="17.899999999999999" customHeight="1">
      <c r="AA5177"/>
    </row>
    <row r="5178" spans="27:27" ht="17.899999999999999" customHeight="1">
      <c r="AA5178"/>
    </row>
    <row r="5179" spans="27:27" ht="17.899999999999999" customHeight="1">
      <c r="AA5179"/>
    </row>
    <row r="5180" spans="27:27" ht="17.899999999999999" customHeight="1">
      <c r="AA5180"/>
    </row>
    <row r="5181" spans="27:27" ht="17.899999999999999" customHeight="1">
      <c r="AA5181"/>
    </row>
    <row r="5182" spans="27:27" ht="17.899999999999999" customHeight="1">
      <c r="AA5182"/>
    </row>
    <row r="5183" spans="27:27" ht="17.899999999999999" customHeight="1">
      <c r="AA5183"/>
    </row>
    <row r="5184" spans="27:27" ht="17.899999999999999" customHeight="1">
      <c r="AA5184"/>
    </row>
    <row r="5185" spans="27:27" ht="17.899999999999999" customHeight="1">
      <c r="AA5185"/>
    </row>
    <row r="5186" spans="27:27" ht="17.899999999999999" customHeight="1">
      <c r="AA5186"/>
    </row>
    <row r="5187" spans="27:27" ht="17.899999999999999" customHeight="1">
      <c r="AA5187"/>
    </row>
    <row r="5188" spans="27:27" ht="17.899999999999999" customHeight="1">
      <c r="AA5188"/>
    </row>
    <row r="5189" spans="27:27" ht="17.899999999999999" customHeight="1">
      <c r="AA5189"/>
    </row>
    <row r="5190" spans="27:27" ht="17.899999999999999" customHeight="1">
      <c r="AA5190"/>
    </row>
    <row r="5191" spans="27:27" ht="17.899999999999999" customHeight="1">
      <c r="AA5191"/>
    </row>
    <row r="5192" spans="27:27" ht="17.899999999999999" customHeight="1">
      <c r="AA5192"/>
    </row>
    <row r="5193" spans="27:27" ht="17.899999999999999" customHeight="1">
      <c r="AA5193"/>
    </row>
    <row r="5194" spans="27:27" ht="17.899999999999999" customHeight="1">
      <c r="AA5194"/>
    </row>
    <row r="5195" spans="27:27" ht="17.899999999999999" customHeight="1">
      <c r="AA5195"/>
    </row>
    <row r="5196" spans="27:27" ht="17.899999999999999" customHeight="1">
      <c r="AA5196"/>
    </row>
    <row r="5197" spans="27:27" ht="17.899999999999999" customHeight="1">
      <c r="AA5197"/>
    </row>
    <row r="5198" spans="27:27" ht="17.899999999999999" customHeight="1">
      <c r="AA5198"/>
    </row>
    <row r="5199" spans="27:27" ht="17.899999999999999" customHeight="1">
      <c r="AA5199"/>
    </row>
    <row r="5200" spans="27:27" ht="17.899999999999999" customHeight="1">
      <c r="AA5200"/>
    </row>
    <row r="5201" spans="27:27" ht="17.899999999999999" customHeight="1">
      <c r="AA5201"/>
    </row>
    <row r="5202" spans="27:27" ht="17.899999999999999" customHeight="1">
      <c r="AA5202"/>
    </row>
    <row r="5203" spans="27:27" ht="17.899999999999999" customHeight="1">
      <c r="AA5203"/>
    </row>
    <row r="5204" spans="27:27" ht="17.899999999999999" customHeight="1">
      <c r="AA5204"/>
    </row>
    <row r="5205" spans="27:27" ht="17.899999999999999" customHeight="1">
      <c r="AA5205"/>
    </row>
    <row r="5206" spans="27:27" ht="17.899999999999999" customHeight="1">
      <c r="AA5206"/>
    </row>
    <row r="5207" spans="27:27" ht="17.899999999999999" customHeight="1">
      <c r="AA5207"/>
    </row>
    <row r="5208" spans="27:27" ht="17.899999999999999" customHeight="1">
      <c r="AA5208"/>
    </row>
    <row r="5209" spans="27:27" ht="17.899999999999999" customHeight="1">
      <c r="AA5209"/>
    </row>
    <row r="5210" spans="27:27" ht="17.899999999999999" customHeight="1">
      <c r="AA5210"/>
    </row>
    <row r="5211" spans="27:27" ht="17.899999999999999" customHeight="1">
      <c r="AA5211"/>
    </row>
    <row r="5212" spans="27:27" ht="17.899999999999999" customHeight="1">
      <c r="AA5212"/>
    </row>
    <row r="5213" spans="27:27" ht="17.899999999999999" customHeight="1">
      <c r="AA5213"/>
    </row>
    <row r="5214" spans="27:27" ht="17.899999999999999" customHeight="1">
      <c r="AA5214"/>
    </row>
    <row r="5215" spans="27:27" ht="17.899999999999999" customHeight="1">
      <c r="AA5215"/>
    </row>
    <row r="5216" spans="27:27" ht="17.899999999999999" customHeight="1">
      <c r="AA5216"/>
    </row>
    <row r="5217" spans="27:27" ht="17.899999999999999" customHeight="1">
      <c r="AA5217"/>
    </row>
    <row r="5218" spans="27:27" ht="17.899999999999999" customHeight="1">
      <c r="AA5218"/>
    </row>
    <row r="5219" spans="27:27" ht="17.899999999999999" customHeight="1">
      <c r="AA5219"/>
    </row>
    <row r="5220" spans="27:27" ht="17.899999999999999" customHeight="1">
      <c r="AA5220"/>
    </row>
    <row r="5221" spans="27:27" ht="17.899999999999999" customHeight="1">
      <c r="AA5221"/>
    </row>
    <row r="5222" spans="27:27" ht="17.899999999999999" customHeight="1">
      <c r="AA5222"/>
    </row>
    <row r="5223" spans="27:27" ht="17.899999999999999" customHeight="1">
      <c r="AA5223"/>
    </row>
    <row r="5224" spans="27:27" ht="17.899999999999999" customHeight="1">
      <c r="AA5224"/>
    </row>
    <row r="5225" spans="27:27" ht="17.899999999999999" customHeight="1">
      <c r="AA5225"/>
    </row>
    <row r="5226" spans="27:27" ht="17.899999999999999" customHeight="1">
      <c r="AA5226"/>
    </row>
    <row r="5227" spans="27:27" ht="17.899999999999999" customHeight="1">
      <c r="AA5227"/>
    </row>
    <row r="5228" spans="27:27" ht="17.899999999999999" customHeight="1">
      <c r="AA5228"/>
    </row>
    <row r="5229" spans="27:27" ht="17.899999999999999" customHeight="1">
      <c r="AA5229"/>
    </row>
    <row r="5230" spans="27:27" ht="17.899999999999999" customHeight="1">
      <c r="AA5230"/>
    </row>
    <row r="5231" spans="27:27" ht="17.899999999999999" customHeight="1">
      <c r="AA5231"/>
    </row>
    <row r="5232" spans="27:27" ht="17.899999999999999" customHeight="1">
      <c r="AA5232"/>
    </row>
    <row r="5233" spans="27:27" ht="17.899999999999999" customHeight="1">
      <c r="AA5233"/>
    </row>
    <row r="5234" spans="27:27" ht="17.899999999999999" customHeight="1">
      <c r="AA5234"/>
    </row>
    <row r="5235" spans="27:27" ht="17.899999999999999" customHeight="1">
      <c r="AA5235"/>
    </row>
    <row r="5236" spans="27:27" ht="17.899999999999999" customHeight="1">
      <c r="AA5236"/>
    </row>
    <row r="5237" spans="27:27" ht="17.899999999999999" customHeight="1">
      <c r="AA5237"/>
    </row>
    <row r="5238" spans="27:27" ht="17.899999999999999" customHeight="1">
      <c r="AA5238"/>
    </row>
    <row r="5239" spans="27:27" ht="17.899999999999999" customHeight="1">
      <c r="AA5239"/>
    </row>
    <row r="5240" spans="27:27" ht="17.899999999999999" customHeight="1">
      <c r="AA5240"/>
    </row>
    <row r="5241" spans="27:27" ht="17.899999999999999" customHeight="1">
      <c r="AA5241"/>
    </row>
    <row r="5242" spans="27:27" ht="17.899999999999999" customHeight="1">
      <c r="AA5242"/>
    </row>
    <row r="5243" spans="27:27" ht="17.899999999999999" customHeight="1">
      <c r="AA5243"/>
    </row>
    <row r="5244" spans="27:27" ht="17.899999999999999" customHeight="1">
      <c r="AA5244"/>
    </row>
    <row r="5245" spans="27:27" ht="17.899999999999999" customHeight="1">
      <c r="AA5245"/>
    </row>
    <row r="5246" spans="27:27" ht="17.899999999999999" customHeight="1">
      <c r="AA5246"/>
    </row>
    <row r="5247" spans="27:27" ht="17.899999999999999" customHeight="1">
      <c r="AA5247"/>
    </row>
    <row r="5248" spans="27:27" ht="17.899999999999999" customHeight="1">
      <c r="AA5248"/>
    </row>
    <row r="5249" spans="27:27" ht="17.899999999999999" customHeight="1">
      <c r="AA5249"/>
    </row>
    <row r="5250" spans="27:27" ht="17.899999999999999" customHeight="1">
      <c r="AA5250"/>
    </row>
    <row r="5251" spans="27:27" ht="17.899999999999999" customHeight="1">
      <c r="AA5251"/>
    </row>
    <row r="5252" spans="27:27" ht="17.899999999999999" customHeight="1">
      <c r="AA5252"/>
    </row>
    <row r="5253" spans="27:27" ht="17.899999999999999" customHeight="1">
      <c r="AA5253"/>
    </row>
    <row r="5254" spans="27:27" ht="17.899999999999999" customHeight="1">
      <c r="AA5254"/>
    </row>
    <row r="5255" spans="27:27" ht="17.899999999999999" customHeight="1">
      <c r="AA5255"/>
    </row>
    <row r="5256" spans="27:27" ht="17.899999999999999" customHeight="1">
      <c r="AA5256"/>
    </row>
    <row r="5257" spans="27:27" ht="17.899999999999999" customHeight="1">
      <c r="AA5257"/>
    </row>
    <row r="5258" spans="27:27" ht="17.899999999999999" customHeight="1">
      <c r="AA5258"/>
    </row>
    <row r="5259" spans="27:27" ht="17.899999999999999" customHeight="1">
      <c r="AA5259"/>
    </row>
    <row r="5260" spans="27:27" ht="17.899999999999999" customHeight="1">
      <c r="AA5260"/>
    </row>
    <row r="5261" spans="27:27" ht="17.899999999999999" customHeight="1">
      <c r="AA5261"/>
    </row>
    <row r="5262" spans="27:27" ht="17.899999999999999" customHeight="1">
      <c r="AA5262"/>
    </row>
    <row r="5263" spans="27:27" ht="17.899999999999999" customHeight="1">
      <c r="AA5263"/>
    </row>
    <row r="5264" spans="27:27" ht="17.899999999999999" customHeight="1">
      <c r="AA5264"/>
    </row>
    <row r="5265" spans="27:27" ht="17.899999999999999" customHeight="1">
      <c r="AA5265"/>
    </row>
    <row r="5266" spans="27:27" ht="17.899999999999999" customHeight="1">
      <c r="AA5266"/>
    </row>
    <row r="5267" spans="27:27" ht="17.899999999999999" customHeight="1">
      <c r="AA5267"/>
    </row>
    <row r="5268" spans="27:27" ht="17.899999999999999" customHeight="1">
      <c r="AA5268"/>
    </row>
    <row r="5269" spans="27:27" ht="17.899999999999999" customHeight="1">
      <c r="AA5269"/>
    </row>
    <row r="5270" spans="27:27" ht="17.899999999999999" customHeight="1">
      <c r="AA5270"/>
    </row>
    <row r="5271" spans="27:27" ht="17.899999999999999" customHeight="1">
      <c r="AA5271"/>
    </row>
    <row r="5272" spans="27:27" ht="17.899999999999999" customHeight="1">
      <c r="AA5272"/>
    </row>
    <row r="5273" spans="27:27" ht="17.899999999999999" customHeight="1">
      <c r="AA5273"/>
    </row>
    <row r="5274" spans="27:27" ht="17.899999999999999" customHeight="1">
      <c r="AA5274"/>
    </row>
    <row r="5275" spans="27:27" ht="17.899999999999999" customHeight="1">
      <c r="AA5275"/>
    </row>
    <row r="5276" spans="27:27" ht="17.899999999999999" customHeight="1">
      <c r="AA5276"/>
    </row>
    <row r="5277" spans="27:27" ht="17.899999999999999" customHeight="1">
      <c r="AA5277"/>
    </row>
    <row r="5278" spans="27:27" ht="17.899999999999999" customHeight="1">
      <c r="AA5278"/>
    </row>
    <row r="5279" spans="27:27" ht="17.899999999999999" customHeight="1">
      <c r="AA5279"/>
    </row>
    <row r="5280" spans="27:27" ht="17.899999999999999" customHeight="1">
      <c r="AA5280"/>
    </row>
    <row r="5281" spans="27:27" ht="17.899999999999999" customHeight="1">
      <c r="AA5281"/>
    </row>
    <row r="5282" spans="27:27" ht="17.899999999999999" customHeight="1">
      <c r="AA5282"/>
    </row>
    <row r="5283" spans="27:27" ht="17.899999999999999" customHeight="1">
      <c r="AA5283"/>
    </row>
    <row r="5284" spans="27:27" ht="17.899999999999999" customHeight="1">
      <c r="AA5284"/>
    </row>
    <row r="5285" spans="27:27" ht="17.899999999999999" customHeight="1">
      <c r="AA5285"/>
    </row>
    <row r="5286" spans="27:27" ht="17.899999999999999" customHeight="1">
      <c r="AA5286"/>
    </row>
    <row r="5287" spans="27:27" ht="17.899999999999999" customHeight="1">
      <c r="AA5287"/>
    </row>
    <row r="5288" spans="27:27" ht="17.899999999999999" customHeight="1">
      <c r="AA5288"/>
    </row>
    <row r="5289" spans="27:27" ht="17.899999999999999" customHeight="1">
      <c r="AA5289"/>
    </row>
    <row r="5290" spans="27:27" ht="17.899999999999999" customHeight="1">
      <c r="AA5290"/>
    </row>
    <row r="5291" spans="27:27" ht="17.899999999999999" customHeight="1">
      <c r="AA5291"/>
    </row>
    <row r="5292" spans="27:27" ht="17.899999999999999" customHeight="1">
      <c r="AA5292"/>
    </row>
    <row r="5293" spans="27:27" ht="17.899999999999999" customHeight="1">
      <c r="AA5293"/>
    </row>
    <row r="5294" spans="27:27" ht="17.899999999999999" customHeight="1">
      <c r="AA5294"/>
    </row>
    <row r="5295" spans="27:27" ht="17.899999999999999" customHeight="1">
      <c r="AA5295"/>
    </row>
    <row r="5296" spans="27:27" ht="17.899999999999999" customHeight="1">
      <c r="AA5296"/>
    </row>
    <row r="5297" spans="27:27" ht="17.899999999999999" customHeight="1">
      <c r="AA5297"/>
    </row>
    <row r="5298" spans="27:27" ht="17.899999999999999" customHeight="1">
      <c r="AA5298"/>
    </row>
    <row r="5299" spans="27:27" ht="17.899999999999999" customHeight="1">
      <c r="AA5299"/>
    </row>
    <row r="5300" spans="27:27" ht="17.899999999999999" customHeight="1">
      <c r="AA5300"/>
    </row>
    <row r="5301" spans="27:27" ht="17.899999999999999" customHeight="1">
      <c r="AA5301"/>
    </row>
    <row r="5302" spans="27:27" ht="17.899999999999999" customHeight="1">
      <c r="AA5302"/>
    </row>
    <row r="5303" spans="27:27" ht="17.899999999999999" customHeight="1">
      <c r="AA5303"/>
    </row>
    <row r="5304" spans="27:27" ht="17.899999999999999" customHeight="1">
      <c r="AA5304"/>
    </row>
    <row r="5305" spans="27:27" ht="17.899999999999999" customHeight="1">
      <c r="AA5305"/>
    </row>
    <row r="5306" spans="27:27" ht="17.899999999999999" customHeight="1">
      <c r="AA5306"/>
    </row>
    <row r="5307" spans="27:27" ht="17.899999999999999" customHeight="1">
      <c r="AA5307"/>
    </row>
    <row r="5308" spans="27:27" ht="17.899999999999999" customHeight="1">
      <c r="AA5308"/>
    </row>
    <row r="5309" spans="27:27" ht="17.899999999999999" customHeight="1">
      <c r="AA5309"/>
    </row>
    <row r="5310" spans="27:27" ht="17.899999999999999" customHeight="1">
      <c r="AA5310"/>
    </row>
    <row r="5311" spans="27:27" ht="17.899999999999999" customHeight="1">
      <c r="AA5311"/>
    </row>
    <row r="5312" spans="27:27" ht="17.899999999999999" customHeight="1">
      <c r="AA5312"/>
    </row>
    <row r="5313" spans="27:27" ht="17.899999999999999" customHeight="1">
      <c r="AA5313"/>
    </row>
    <row r="5314" spans="27:27" ht="17.899999999999999" customHeight="1">
      <c r="AA5314"/>
    </row>
    <row r="5315" spans="27:27" ht="17.899999999999999" customHeight="1">
      <c r="AA5315"/>
    </row>
    <row r="5316" spans="27:27" ht="17.899999999999999" customHeight="1">
      <c r="AA5316"/>
    </row>
    <row r="5317" spans="27:27" ht="17.899999999999999" customHeight="1">
      <c r="AA5317"/>
    </row>
    <row r="5318" spans="27:27" ht="17.899999999999999" customHeight="1">
      <c r="AA5318"/>
    </row>
    <row r="5319" spans="27:27" ht="17.899999999999999" customHeight="1">
      <c r="AA5319"/>
    </row>
    <row r="5320" spans="27:27" ht="17.899999999999999" customHeight="1">
      <c r="AA5320"/>
    </row>
    <row r="5321" spans="27:27" ht="17.899999999999999" customHeight="1">
      <c r="AA5321"/>
    </row>
    <row r="5322" spans="27:27" ht="17.899999999999999" customHeight="1">
      <c r="AA5322"/>
    </row>
    <row r="5323" spans="27:27" ht="17.899999999999999" customHeight="1">
      <c r="AA5323"/>
    </row>
    <row r="5324" spans="27:27" ht="17.899999999999999" customHeight="1">
      <c r="AA5324"/>
    </row>
    <row r="5325" spans="27:27" ht="17.899999999999999" customHeight="1">
      <c r="AA5325"/>
    </row>
    <row r="5326" spans="27:27" ht="17.899999999999999" customHeight="1">
      <c r="AA5326"/>
    </row>
    <row r="5327" spans="27:27" ht="17.899999999999999" customHeight="1">
      <c r="AA5327"/>
    </row>
    <row r="5328" spans="27:27" ht="17.899999999999999" customHeight="1">
      <c r="AA5328"/>
    </row>
    <row r="5329" spans="27:27" ht="17.899999999999999" customHeight="1">
      <c r="AA5329"/>
    </row>
    <row r="5330" spans="27:27" ht="17.899999999999999" customHeight="1">
      <c r="AA5330"/>
    </row>
    <row r="5331" spans="27:27" ht="17.899999999999999" customHeight="1">
      <c r="AA5331"/>
    </row>
    <row r="5332" spans="27:27" ht="17.899999999999999" customHeight="1">
      <c r="AA5332"/>
    </row>
    <row r="5333" spans="27:27" ht="17.899999999999999" customHeight="1">
      <c r="AA5333"/>
    </row>
    <row r="5334" spans="27:27" ht="17.899999999999999" customHeight="1">
      <c r="AA5334"/>
    </row>
    <row r="5335" spans="27:27" ht="17.899999999999999" customHeight="1">
      <c r="AA5335"/>
    </row>
    <row r="5336" spans="27:27" ht="17.899999999999999" customHeight="1">
      <c r="AA5336"/>
    </row>
    <row r="5337" spans="27:27" ht="17.899999999999999" customHeight="1">
      <c r="AA5337"/>
    </row>
    <row r="5338" spans="27:27" ht="17.899999999999999" customHeight="1">
      <c r="AA5338"/>
    </row>
    <row r="5339" spans="27:27" ht="17.899999999999999" customHeight="1">
      <c r="AA5339"/>
    </row>
    <row r="5340" spans="27:27" ht="17.899999999999999" customHeight="1">
      <c r="AA5340"/>
    </row>
    <row r="5341" spans="27:27" ht="17.899999999999999" customHeight="1">
      <c r="AA5341"/>
    </row>
    <row r="5342" spans="27:27" ht="17.899999999999999" customHeight="1">
      <c r="AA5342"/>
    </row>
    <row r="5343" spans="27:27" ht="17.899999999999999" customHeight="1">
      <c r="AA5343"/>
    </row>
    <row r="5344" spans="27:27" ht="17.899999999999999" customHeight="1">
      <c r="AA5344"/>
    </row>
    <row r="5345" spans="27:27" ht="17.899999999999999" customHeight="1">
      <c r="AA5345"/>
    </row>
    <row r="5346" spans="27:27" ht="17.899999999999999" customHeight="1">
      <c r="AA5346"/>
    </row>
    <row r="5347" spans="27:27" ht="17.899999999999999" customHeight="1">
      <c r="AA5347"/>
    </row>
    <row r="5348" spans="27:27" ht="17.899999999999999" customHeight="1">
      <c r="AA5348"/>
    </row>
    <row r="5349" spans="27:27" ht="17.899999999999999" customHeight="1">
      <c r="AA5349"/>
    </row>
    <row r="5350" spans="27:27" ht="17.899999999999999" customHeight="1">
      <c r="AA5350"/>
    </row>
    <row r="5351" spans="27:27" ht="17.899999999999999" customHeight="1">
      <c r="AA5351"/>
    </row>
    <row r="5352" spans="27:27" ht="17.899999999999999" customHeight="1">
      <c r="AA5352"/>
    </row>
    <row r="5353" spans="27:27" ht="17.899999999999999" customHeight="1">
      <c r="AA5353"/>
    </row>
    <row r="5354" spans="27:27" ht="17.899999999999999" customHeight="1">
      <c r="AA5354"/>
    </row>
    <row r="5355" spans="27:27" ht="17.899999999999999" customHeight="1">
      <c r="AA5355"/>
    </row>
    <row r="5356" spans="27:27" ht="17.899999999999999" customHeight="1">
      <c r="AA5356"/>
    </row>
    <row r="5357" spans="27:27" ht="17.899999999999999" customHeight="1">
      <c r="AA5357"/>
    </row>
    <row r="5358" spans="27:27" ht="17.899999999999999" customHeight="1">
      <c r="AA5358"/>
    </row>
    <row r="5359" spans="27:27" ht="17.899999999999999" customHeight="1">
      <c r="AA5359"/>
    </row>
    <row r="5360" spans="27:27" ht="17.899999999999999" customHeight="1">
      <c r="AA5360"/>
    </row>
    <row r="5361" spans="27:27" ht="17.899999999999999" customHeight="1">
      <c r="AA5361"/>
    </row>
    <row r="5362" spans="27:27" ht="17.899999999999999" customHeight="1">
      <c r="AA5362"/>
    </row>
    <row r="5363" spans="27:27" ht="17.899999999999999" customHeight="1">
      <c r="AA5363"/>
    </row>
    <row r="5364" spans="27:27" ht="17.899999999999999" customHeight="1">
      <c r="AA5364"/>
    </row>
    <row r="5365" spans="27:27" ht="17.899999999999999" customHeight="1">
      <c r="AA5365"/>
    </row>
    <row r="5366" spans="27:27" ht="17.899999999999999" customHeight="1">
      <c r="AA5366"/>
    </row>
    <row r="5367" spans="27:27" ht="17.899999999999999" customHeight="1">
      <c r="AA5367"/>
    </row>
    <row r="5368" spans="27:27" ht="17.899999999999999" customHeight="1">
      <c r="AA5368"/>
    </row>
    <row r="5369" spans="27:27" ht="17.899999999999999" customHeight="1">
      <c r="AA5369"/>
    </row>
    <row r="5370" spans="27:27" ht="17.899999999999999" customHeight="1">
      <c r="AA5370"/>
    </row>
    <row r="5371" spans="27:27" ht="17.899999999999999" customHeight="1">
      <c r="AA5371"/>
    </row>
    <row r="5372" spans="27:27" ht="17.899999999999999" customHeight="1">
      <c r="AA5372"/>
    </row>
    <row r="5373" spans="27:27" ht="17.899999999999999" customHeight="1">
      <c r="AA5373"/>
    </row>
    <row r="5374" spans="27:27" ht="17.899999999999999" customHeight="1">
      <c r="AA5374"/>
    </row>
    <row r="5375" spans="27:27" ht="17.899999999999999" customHeight="1">
      <c r="AA5375"/>
    </row>
    <row r="5376" spans="27:27" ht="17.899999999999999" customHeight="1">
      <c r="AA5376"/>
    </row>
    <row r="5377" spans="27:27" ht="17.899999999999999" customHeight="1">
      <c r="AA5377"/>
    </row>
    <row r="5378" spans="27:27" ht="17.899999999999999" customHeight="1">
      <c r="AA5378"/>
    </row>
    <row r="5379" spans="27:27" ht="17.899999999999999" customHeight="1">
      <c r="AA5379"/>
    </row>
    <row r="5380" spans="27:27" ht="17.899999999999999" customHeight="1">
      <c r="AA5380"/>
    </row>
    <row r="5381" spans="27:27" ht="17.899999999999999" customHeight="1">
      <c r="AA5381"/>
    </row>
    <row r="5382" spans="27:27" ht="17.899999999999999" customHeight="1">
      <c r="AA5382"/>
    </row>
    <row r="5383" spans="27:27" ht="17.899999999999999" customHeight="1">
      <c r="AA5383"/>
    </row>
    <row r="5384" spans="27:27" ht="17.899999999999999" customHeight="1">
      <c r="AA5384"/>
    </row>
    <row r="5385" spans="27:27" ht="17.899999999999999" customHeight="1">
      <c r="AA5385"/>
    </row>
    <row r="5386" spans="27:27" ht="17.899999999999999" customHeight="1">
      <c r="AA5386"/>
    </row>
    <row r="5387" spans="27:27" ht="17.899999999999999" customHeight="1">
      <c r="AA5387"/>
    </row>
    <row r="5388" spans="27:27" ht="17.899999999999999" customHeight="1">
      <c r="AA5388"/>
    </row>
    <row r="5389" spans="27:27" ht="17.899999999999999" customHeight="1">
      <c r="AA5389"/>
    </row>
    <row r="5390" spans="27:27" ht="17.899999999999999" customHeight="1">
      <c r="AA5390"/>
    </row>
    <row r="5391" spans="27:27" ht="17.899999999999999" customHeight="1">
      <c r="AA5391"/>
    </row>
    <row r="5392" spans="27:27" ht="17.899999999999999" customHeight="1">
      <c r="AA5392"/>
    </row>
    <row r="5393" spans="27:27" ht="17.899999999999999" customHeight="1">
      <c r="AA5393"/>
    </row>
    <row r="5394" spans="27:27" ht="17.899999999999999" customHeight="1">
      <c r="AA5394"/>
    </row>
    <row r="5395" spans="27:27" ht="17.899999999999999" customHeight="1">
      <c r="AA5395"/>
    </row>
    <row r="5396" spans="27:27" ht="17.899999999999999" customHeight="1">
      <c r="AA5396"/>
    </row>
    <row r="5397" spans="27:27" ht="17.899999999999999" customHeight="1">
      <c r="AA5397"/>
    </row>
    <row r="5398" spans="27:27" ht="17.899999999999999" customHeight="1">
      <c r="AA5398"/>
    </row>
    <row r="5399" spans="27:27" ht="17.899999999999999" customHeight="1">
      <c r="AA5399"/>
    </row>
    <row r="5400" spans="27:27" ht="17.899999999999999" customHeight="1">
      <c r="AA5400"/>
    </row>
    <row r="5401" spans="27:27" ht="17.899999999999999" customHeight="1">
      <c r="AA5401"/>
    </row>
    <row r="5402" spans="27:27" ht="17.899999999999999" customHeight="1">
      <c r="AA5402"/>
    </row>
    <row r="5403" spans="27:27" ht="17.899999999999999" customHeight="1">
      <c r="AA5403"/>
    </row>
    <row r="5404" spans="27:27" ht="17.899999999999999" customHeight="1">
      <c r="AA5404"/>
    </row>
    <row r="5405" spans="27:27" ht="17.899999999999999" customHeight="1">
      <c r="AA5405"/>
    </row>
    <row r="5406" spans="27:27" ht="17.899999999999999" customHeight="1">
      <c r="AA5406"/>
    </row>
    <row r="5407" spans="27:27" ht="17.899999999999999" customHeight="1">
      <c r="AA5407"/>
    </row>
    <row r="5408" spans="27:27" ht="17.899999999999999" customHeight="1">
      <c r="AA5408"/>
    </row>
    <row r="5409" spans="27:27" ht="17.899999999999999" customHeight="1">
      <c r="AA5409"/>
    </row>
    <row r="5410" spans="27:27" ht="17.899999999999999" customHeight="1">
      <c r="AA5410"/>
    </row>
    <row r="5411" spans="27:27" ht="17.899999999999999" customHeight="1">
      <c r="AA5411"/>
    </row>
    <row r="5412" spans="27:27" ht="17.899999999999999" customHeight="1">
      <c r="AA5412"/>
    </row>
    <row r="5413" spans="27:27" ht="17.899999999999999" customHeight="1">
      <c r="AA5413"/>
    </row>
    <row r="5414" spans="27:27" ht="17.899999999999999" customHeight="1">
      <c r="AA5414"/>
    </row>
    <row r="5415" spans="27:27" ht="17.899999999999999" customHeight="1">
      <c r="AA5415"/>
    </row>
    <row r="5416" spans="27:27" ht="17.899999999999999" customHeight="1">
      <c r="AA5416"/>
    </row>
    <row r="5417" spans="27:27" ht="17.899999999999999" customHeight="1">
      <c r="AA5417"/>
    </row>
    <row r="5418" spans="27:27" ht="17.899999999999999" customHeight="1">
      <c r="AA5418"/>
    </row>
    <row r="5419" spans="27:27" ht="17.899999999999999" customHeight="1">
      <c r="AA5419"/>
    </row>
    <row r="5420" spans="27:27" ht="17.899999999999999" customHeight="1">
      <c r="AA5420"/>
    </row>
    <row r="5421" spans="27:27" ht="17.899999999999999" customHeight="1">
      <c r="AA5421"/>
    </row>
    <row r="5422" spans="27:27" ht="17.899999999999999" customHeight="1">
      <c r="AA5422"/>
    </row>
    <row r="5423" spans="27:27" ht="17.899999999999999" customHeight="1">
      <c r="AA5423"/>
    </row>
    <row r="5424" spans="27:27" ht="17.899999999999999" customHeight="1">
      <c r="AA5424"/>
    </row>
    <row r="5425" spans="27:27" ht="17.899999999999999" customHeight="1">
      <c r="AA5425"/>
    </row>
    <row r="5426" spans="27:27" ht="17.899999999999999" customHeight="1">
      <c r="AA5426"/>
    </row>
    <row r="5427" spans="27:27" ht="17.899999999999999" customHeight="1">
      <c r="AA5427"/>
    </row>
    <row r="5428" spans="27:27" ht="17.899999999999999" customHeight="1">
      <c r="AA5428"/>
    </row>
    <row r="5429" spans="27:27" ht="17.899999999999999" customHeight="1">
      <c r="AA5429"/>
    </row>
    <row r="5430" spans="27:27" ht="17.899999999999999" customHeight="1">
      <c r="AA5430"/>
    </row>
    <row r="5431" spans="27:27" ht="17.899999999999999" customHeight="1">
      <c r="AA5431"/>
    </row>
    <row r="5432" spans="27:27" ht="17.899999999999999" customHeight="1">
      <c r="AA5432"/>
    </row>
    <row r="5433" spans="27:27" ht="17.899999999999999" customHeight="1">
      <c r="AA5433"/>
    </row>
    <row r="5434" spans="27:27" ht="17.899999999999999" customHeight="1">
      <c r="AA5434"/>
    </row>
    <row r="5435" spans="27:27" ht="17.899999999999999" customHeight="1">
      <c r="AA5435"/>
    </row>
    <row r="5436" spans="27:27" ht="17.899999999999999" customHeight="1">
      <c r="AA5436"/>
    </row>
    <row r="5437" spans="27:27" ht="17.899999999999999" customHeight="1">
      <c r="AA5437"/>
    </row>
    <row r="5438" spans="27:27" ht="17.899999999999999" customHeight="1">
      <c r="AA5438"/>
    </row>
    <row r="5439" spans="27:27" ht="17.899999999999999" customHeight="1">
      <c r="AA5439"/>
    </row>
    <row r="5440" spans="27:27" ht="17.899999999999999" customHeight="1">
      <c r="AA5440"/>
    </row>
    <row r="5441" spans="27:27" ht="17.899999999999999" customHeight="1">
      <c r="AA5441"/>
    </row>
    <row r="5442" spans="27:27" ht="17.899999999999999" customHeight="1">
      <c r="AA5442"/>
    </row>
    <row r="5443" spans="27:27" ht="17.899999999999999" customHeight="1">
      <c r="AA5443"/>
    </row>
    <row r="5444" spans="27:27" ht="17.899999999999999" customHeight="1">
      <c r="AA5444"/>
    </row>
    <row r="5445" spans="27:27" ht="17.899999999999999" customHeight="1">
      <c r="AA5445"/>
    </row>
    <row r="5446" spans="27:27" ht="17.899999999999999" customHeight="1">
      <c r="AA5446"/>
    </row>
    <row r="5447" spans="27:27" ht="17.899999999999999" customHeight="1">
      <c r="AA5447"/>
    </row>
    <row r="5448" spans="27:27" ht="17.899999999999999" customHeight="1">
      <c r="AA5448"/>
    </row>
    <row r="5449" spans="27:27" ht="17.899999999999999" customHeight="1">
      <c r="AA5449"/>
    </row>
    <row r="5450" spans="27:27" ht="17.899999999999999" customHeight="1">
      <c r="AA5450"/>
    </row>
    <row r="5451" spans="27:27" ht="17.899999999999999" customHeight="1">
      <c r="AA5451"/>
    </row>
    <row r="5452" spans="27:27" ht="17.899999999999999" customHeight="1">
      <c r="AA5452"/>
    </row>
    <row r="5453" spans="27:27" ht="17.899999999999999" customHeight="1">
      <c r="AA5453"/>
    </row>
    <row r="5454" spans="27:27" ht="17.899999999999999" customHeight="1">
      <c r="AA5454"/>
    </row>
    <row r="5455" spans="27:27" ht="17.899999999999999" customHeight="1">
      <c r="AA5455"/>
    </row>
    <row r="5456" spans="27:27" ht="17.899999999999999" customHeight="1">
      <c r="AA5456"/>
    </row>
    <row r="5457" spans="27:27" ht="17.899999999999999" customHeight="1">
      <c r="AA5457"/>
    </row>
    <row r="5458" spans="27:27" ht="17.899999999999999" customHeight="1">
      <c r="AA5458"/>
    </row>
    <row r="5459" spans="27:27" ht="17.899999999999999" customHeight="1">
      <c r="AA5459"/>
    </row>
    <row r="5460" spans="27:27" ht="17.899999999999999" customHeight="1">
      <c r="AA5460"/>
    </row>
    <row r="5461" spans="27:27" ht="17.899999999999999" customHeight="1">
      <c r="AA5461"/>
    </row>
    <row r="5462" spans="27:27" ht="17.899999999999999" customHeight="1">
      <c r="AA5462"/>
    </row>
    <row r="5463" spans="27:27" ht="17.899999999999999" customHeight="1">
      <c r="AA5463"/>
    </row>
    <row r="5464" spans="27:27" ht="17.899999999999999" customHeight="1">
      <c r="AA5464"/>
    </row>
    <row r="5465" spans="27:27" ht="17.899999999999999" customHeight="1">
      <c r="AA5465"/>
    </row>
    <row r="5466" spans="27:27" ht="17.899999999999999" customHeight="1">
      <c r="AA5466"/>
    </row>
    <row r="5467" spans="27:27" ht="17.899999999999999" customHeight="1">
      <c r="AA5467"/>
    </row>
    <row r="5468" spans="27:27" ht="17.899999999999999" customHeight="1">
      <c r="AA5468"/>
    </row>
    <row r="5469" spans="27:27" ht="17.899999999999999" customHeight="1">
      <c r="AA5469"/>
    </row>
    <row r="5470" spans="27:27" ht="17.899999999999999" customHeight="1">
      <c r="AA5470"/>
    </row>
    <row r="5471" spans="27:27" ht="17.899999999999999" customHeight="1">
      <c r="AA5471"/>
    </row>
    <row r="5472" spans="27:27" ht="17.899999999999999" customHeight="1">
      <c r="AA5472"/>
    </row>
    <row r="5473" spans="27:27" ht="17.899999999999999" customHeight="1">
      <c r="AA5473"/>
    </row>
    <row r="5474" spans="27:27" ht="17.899999999999999" customHeight="1">
      <c r="AA5474"/>
    </row>
    <row r="5475" spans="27:27" ht="17.899999999999999" customHeight="1">
      <c r="AA5475"/>
    </row>
    <row r="5476" spans="27:27" ht="17.899999999999999" customHeight="1">
      <c r="AA5476"/>
    </row>
    <row r="5477" spans="27:27" ht="17.899999999999999" customHeight="1">
      <c r="AA5477"/>
    </row>
    <row r="5478" spans="27:27" ht="17.899999999999999" customHeight="1">
      <c r="AA5478"/>
    </row>
    <row r="5479" spans="27:27" ht="17.899999999999999" customHeight="1">
      <c r="AA5479"/>
    </row>
    <row r="5480" spans="27:27" ht="17.899999999999999" customHeight="1">
      <c r="AA5480"/>
    </row>
    <row r="5481" spans="27:27" ht="17.899999999999999" customHeight="1">
      <c r="AA5481"/>
    </row>
    <row r="5482" spans="27:27" ht="17.899999999999999" customHeight="1">
      <c r="AA5482"/>
    </row>
    <row r="5483" spans="27:27" ht="17.899999999999999" customHeight="1">
      <c r="AA5483"/>
    </row>
    <row r="5484" spans="27:27" ht="17.899999999999999" customHeight="1">
      <c r="AA5484"/>
    </row>
    <row r="5485" spans="27:27" ht="17.899999999999999" customHeight="1">
      <c r="AA5485"/>
    </row>
    <row r="5486" spans="27:27" ht="17.899999999999999" customHeight="1">
      <c r="AA5486"/>
    </row>
    <row r="5487" spans="27:27" ht="17.899999999999999" customHeight="1">
      <c r="AA5487"/>
    </row>
    <row r="5488" spans="27:27" ht="17.899999999999999" customHeight="1">
      <c r="AA5488"/>
    </row>
    <row r="5489" spans="27:27" ht="17.899999999999999" customHeight="1">
      <c r="AA5489"/>
    </row>
    <row r="5490" spans="27:27" ht="17.899999999999999" customHeight="1">
      <c r="AA5490"/>
    </row>
    <row r="5491" spans="27:27" ht="17.899999999999999" customHeight="1">
      <c r="AA5491"/>
    </row>
    <row r="5492" spans="27:27" ht="17.899999999999999" customHeight="1">
      <c r="AA5492"/>
    </row>
    <row r="5493" spans="27:27" ht="17.899999999999999" customHeight="1">
      <c r="AA5493"/>
    </row>
    <row r="5494" spans="27:27" ht="17.899999999999999" customHeight="1">
      <c r="AA5494"/>
    </row>
    <row r="5495" spans="27:27" ht="17.899999999999999" customHeight="1">
      <c r="AA5495"/>
    </row>
    <row r="5496" spans="27:27" ht="17.899999999999999" customHeight="1">
      <c r="AA5496"/>
    </row>
    <row r="5497" spans="27:27" ht="17.899999999999999" customHeight="1">
      <c r="AA5497"/>
    </row>
    <row r="5498" spans="27:27" ht="17.899999999999999" customHeight="1">
      <c r="AA5498"/>
    </row>
    <row r="5499" spans="27:27" ht="17.899999999999999" customHeight="1">
      <c r="AA5499"/>
    </row>
    <row r="5500" spans="27:27" ht="17.899999999999999" customHeight="1">
      <c r="AA5500"/>
    </row>
    <row r="5501" spans="27:27" ht="17.899999999999999" customHeight="1">
      <c r="AA5501"/>
    </row>
    <row r="5502" spans="27:27" ht="17.899999999999999" customHeight="1">
      <c r="AA5502"/>
    </row>
    <row r="5503" spans="27:27" ht="17.899999999999999" customHeight="1">
      <c r="AA5503"/>
    </row>
    <row r="5504" spans="27:27" ht="17.899999999999999" customHeight="1">
      <c r="AA5504"/>
    </row>
    <row r="5505" spans="27:27" ht="17.899999999999999" customHeight="1">
      <c r="AA5505"/>
    </row>
    <row r="5506" spans="27:27" ht="17.899999999999999" customHeight="1">
      <c r="AA5506"/>
    </row>
    <row r="5507" spans="27:27" ht="17.899999999999999" customHeight="1">
      <c r="AA5507"/>
    </row>
    <row r="5508" spans="27:27" ht="17.899999999999999" customHeight="1">
      <c r="AA5508"/>
    </row>
    <row r="5509" spans="27:27" ht="17.899999999999999" customHeight="1">
      <c r="AA5509"/>
    </row>
    <row r="5510" spans="27:27" ht="17.899999999999999" customHeight="1">
      <c r="AA5510"/>
    </row>
    <row r="5511" spans="27:27" ht="17.899999999999999" customHeight="1">
      <c r="AA5511"/>
    </row>
    <row r="5512" spans="27:27" ht="17.899999999999999" customHeight="1">
      <c r="AA5512"/>
    </row>
    <row r="5513" spans="27:27" ht="17.899999999999999" customHeight="1">
      <c r="AA5513"/>
    </row>
    <row r="5514" spans="27:27" ht="17.899999999999999" customHeight="1">
      <c r="AA5514"/>
    </row>
    <row r="5515" spans="27:27" ht="17.899999999999999" customHeight="1">
      <c r="AA5515"/>
    </row>
    <row r="5516" spans="27:27" ht="17.899999999999999" customHeight="1">
      <c r="AA5516"/>
    </row>
    <row r="5517" spans="27:27" ht="17.899999999999999" customHeight="1">
      <c r="AA5517"/>
    </row>
    <row r="5518" spans="27:27" ht="17.899999999999999" customHeight="1">
      <c r="AA5518"/>
    </row>
    <row r="5519" spans="27:27" ht="17.899999999999999" customHeight="1">
      <c r="AA5519"/>
    </row>
    <row r="5520" spans="27:27" ht="17.899999999999999" customHeight="1">
      <c r="AA5520"/>
    </row>
    <row r="5521" spans="27:27" ht="17.899999999999999" customHeight="1">
      <c r="AA5521"/>
    </row>
    <row r="5522" spans="27:27" ht="17.899999999999999" customHeight="1">
      <c r="AA5522"/>
    </row>
    <row r="5523" spans="27:27" ht="17.899999999999999" customHeight="1">
      <c r="AA5523"/>
    </row>
    <row r="5524" spans="27:27" ht="17.899999999999999" customHeight="1">
      <c r="AA5524"/>
    </row>
    <row r="5525" spans="27:27" ht="17.899999999999999" customHeight="1">
      <c r="AA5525"/>
    </row>
    <row r="5526" spans="27:27" ht="17.899999999999999" customHeight="1">
      <c r="AA5526"/>
    </row>
    <row r="5527" spans="27:27" ht="17.899999999999999" customHeight="1">
      <c r="AA5527"/>
    </row>
    <row r="5528" spans="27:27" ht="17.899999999999999" customHeight="1">
      <c r="AA5528"/>
    </row>
    <row r="5529" spans="27:27" ht="17.899999999999999" customHeight="1">
      <c r="AA5529"/>
    </row>
    <row r="5530" spans="27:27" ht="17.899999999999999" customHeight="1">
      <c r="AA5530"/>
    </row>
    <row r="5531" spans="27:27" ht="17.899999999999999" customHeight="1">
      <c r="AA5531"/>
    </row>
    <row r="5532" spans="27:27" ht="17.899999999999999" customHeight="1">
      <c r="AA5532"/>
    </row>
    <row r="5533" spans="27:27" ht="17.899999999999999" customHeight="1">
      <c r="AA5533"/>
    </row>
    <row r="5534" spans="27:27" ht="17.899999999999999" customHeight="1">
      <c r="AA5534"/>
    </row>
    <row r="5535" spans="27:27" ht="17.899999999999999" customHeight="1">
      <c r="AA5535"/>
    </row>
    <row r="5536" spans="27:27" ht="17.899999999999999" customHeight="1">
      <c r="AA5536"/>
    </row>
    <row r="5537" spans="27:27" ht="17.899999999999999" customHeight="1">
      <c r="AA5537"/>
    </row>
    <row r="5538" spans="27:27" ht="17.899999999999999" customHeight="1">
      <c r="AA5538"/>
    </row>
    <row r="5539" spans="27:27" ht="17.899999999999999" customHeight="1">
      <c r="AA5539"/>
    </row>
    <row r="5540" spans="27:27" ht="17.899999999999999" customHeight="1">
      <c r="AA5540"/>
    </row>
    <row r="5541" spans="27:27" ht="17.899999999999999" customHeight="1">
      <c r="AA5541"/>
    </row>
    <row r="5542" spans="27:27" ht="17.899999999999999" customHeight="1">
      <c r="AA5542"/>
    </row>
    <row r="5543" spans="27:27" ht="17.899999999999999" customHeight="1">
      <c r="AA5543"/>
    </row>
    <row r="5544" spans="27:27" ht="17.899999999999999" customHeight="1">
      <c r="AA5544"/>
    </row>
    <row r="5545" spans="27:27" ht="17.899999999999999" customHeight="1">
      <c r="AA5545"/>
    </row>
    <row r="5546" spans="27:27" ht="17.899999999999999" customHeight="1">
      <c r="AA5546"/>
    </row>
    <row r="5547" spans="27:27" ht="17.899999999999999" customHeight="1">
      <c r="AA5547"/>
    </row>
    <row r="5548" spans="27:27" ht="17.899999999999999" customHeight="1">
      <c r="AA5548"/>
    </row>
    <row r="5549" spans="27:27" ht="17.899999999999999" customHeight="1">
      <c r="AA5549"/>
    </row>
    <row r="5550" spans="27:27" ht="17.899999999999999" customHeight="1">
      <c r="AA5550"/>
    </row>
    <row r="5551" spans="27:27" ht="17.899999999999999" customHeight="1">
      <c r="AA5551"/>
    </row>
    <row r="5552" spans="27:27" ht="17.899999999999999" customHeight="1">
      <c r="AA5552"/>
    </row>
    <row r="5553" spans="27:27" ht="17.899999999999999" customHeight="1">
      <c r="AA5553"/>
    </row>
    <row r="5554" spans="27:27" ht="17.899999999999999" customHeight="1">
      <c r="AA5554"/>
    </row>
    <row r="5555" spans="27:27" ht="17.899999999999999" customHeight="1">
      <c r="AA5555"/>
    </row>
    <row r="5556" spans="27:27" ht="17.899999999999999" customHeight="1">
      <c r="AA5556"/>
    </row>
    <row r="5557" spans="27:27" ht="17.899999999999999" customHeight="1">
      <c r="AA5557"/>
    </row>
    <row r="5558" spans="27:27" ht="17.899999999999999" customHeight="1">
      <c r="AA5558"/>
    </row>
    <row r="5559" spans="27:27" ht="17.899999999999999" customHeight="1">
      <c r="AA5559"/>
    </row>
    <row r="5560" spans="27:27" ht="17.899999999999999" customHeight="1">
      <c r="AA5560"/>
    </row>
    <row r="5561" spans="27:27" ht="17.899999999999999" customHeight="1">
      <c r="AA5561"/>
    </row>
    <row r="5562" spans="27:27" ht="17.899999999999999" customHeight="1">
      <c r="AA5562"/>
    </row>
    <row r="5563" spans="27:27" ht="17.899999999999999" customHeight="1">
      <c r="AA5563"/>
    </row>
    <row r="5564" spans="27:27" ht="17.899999999999999" customHeight="1">
      <c r="AA5564"/>
    </row>
    <row r="5565" spans="27:27" ht="17.899999999999999" customHeight="1">
      <c r="AA5565"/>
    </row>
    <row r="5566" spans="27:27" ht="17.899999999999999" customHeight="1">
      <c r="AA5566"/>
    </row>
    <row r="5567" spans="27:27" ht="17.899999999999999" customHeight="1">
      <c r="AA5567"/>
    </row>
    <row r="5568" spans="27:27" ht="17.899999999999999" customHeight="1">
      <c r="AA5568"/>
    </row>
    <row r="5569" spans="27:27" ht="17.899999999999999" customHeight="1">
      <c r="AA5569"/>
    </row>
    <row r="5570" spans="27:27" ht="17.899999999999999" customHeight="1">
      <c r="AA5570"/>
    </row>
    <row r="5571" spans="27:27" ht="17.899999999999999" customHeight="1">
      <c r="AA5571"/>
    </row>
    <row r="5572" spans="27:27" ht="17.899999999999999" customHeight="1">
      <c r="AA5572"/>
    </row>
    <row r="5573" spans="27:27" ht="17.899999999999999" customHeight="1">
      <c r="AA5573"/>
    </row>
    <row r="5574" spans="27:27" ht="17.899999999999999" customHeight="1">
      <c r="AA5574"/>
    </row>
    <row r="5575" spans="27:27" ht="17.899999999999999" customHeight="1">
      <c r="AA5575"/>
    </row>
    <row r="5576" spans="27:27" ht="17.899999999999999" customHeight="1">
      <c r="AA5576"/>
    </row>
    <row r="5577" spans="27:27" ht="17.899999999999999" customHeight="1">
      <c r="AA5577"/>
    </row>
    <row r="5578" spans="27:27" ht="17.899999999999999" customHeight="1">
      <c r="AA5578"/>
    </row>
    <row r="5579" spans="27:27" ht="17.899999999999999" customHeight="1">
      <c r="AA5579"/>
    </row>
    <row r="5580" spans="27:27" ht="17.899999999999999" customHeight="1">
      <c r="AA5580"/>
    </row>
    <row r="5581" spans="27:27" ht="17.899999999999999" customHeight="1">
      <c r="AA5581"/>
    </row>
    <row r="5582" spans="27:27" ht="17.899999999999999" customHeight="1">
      <c r="AA5582"/>
    </row>
    <row r="5583" spans="27:27" ht="17.899999999999999" customHeight="1">
      <c r="AA5583"/>
    </row>
    <row r="5584" spans="27:27" ht="17.899999999999999" customHeight="1">
      <c r="AA5584"/>
    </row>
    <row r="5585" spans="27:27" ht="17.899999999999999" customHeight="1">
      <c r="AA5585"/>
    </row>
    <row r="5586" spans="27:27" ht="17.899999999999999" customHeight="1">
      <c r="AA5586"/>
    </row>
    <row r="5587" spans="27:27" ht="17.899999999999999" customHeight="1">
      <c r="AA5587"/>
    </row>
    <row r="5588" spans="27:27" ht="17.899999999999999" customHeight="1">
      <c r="AA5588"/>
    </row>
    <row r="5589" spans="27:27" ht="17.899999999999999" customHeight="1">
      <c r="AA5589"/>
    </row>
    <row r="5590" spans="27:27" ht="17.899999999999999" customHeight="1">
      <c r="AA5590"/>
    </row>
    <row r="5591" spans="27:27" ht="17.899999999999999" customHeight="1">
      <c r="AA5591"/>
    </row>
    <row r="5592" spans="27:27" ht="17.899999999999999" customHeight="1">
      <c r="AA5592"/>
    </row>
    <row r="5593" spans="27:27" ht="17.899999999999999" customHeight="1">
      <c r="AA5593"/>
    </row>
    <row r="5594" spans="27:27" ht="17.899999999999999" customHeight="1">
      <c r="AA5594"/>
    </row>
    <row r="5595" spans="27:27" ht="17.899999999999999" customHeight="1">
      <c r="AA5595"/>
    </row>
    <row r="5596" spans="27:27" ht="17.899999999999999" customHeight="1">
      <c r="AA5596"/>
    </row>
    <row r="5597" spans="27:27" ht="17.899999999999999" customHeight="1">
      <c r="AA5597"/>
    </row>
    <row r="5598" spans="27:27" ht="17.899999999999999" customHeight="1">
      <c r="AA5598"/>
    </row>
    <row r="5599" spans="27:27" ht="17.899999999999999" customHeight="1">
      <c r="AA5599"/>
    </row>
    <row r="5600" spans="27:27" ht="17.899999999999999" customHeight="1">
      <c r="AA5600"/>
    </row>
    <row r="5601" spans="27:27" ht="17.899999999999999" customHeight="1">
      <c r="AA5601"/>
    </row>
    <row r="5602" spans="27:27" ht="17.899999999999999" customHeight="1">
      <c r="AA5602"/>
    </row>
    <row r="5603" spans="27:27" ht="17.899999999999999" customHeight="1">
      <c r="AA5603"/>
    </row>
    <row r="5604" spans="27:27" ht="17.899999999999999" customHeight="1">
      <c r="AA5604"/>
    </row>
    <row r="5605" spans="27:27" ht="17.899999999999999" customHeight="1">
      <c r="AA5605"/>
    </row>
    <row r="5606" spans="27:27" ht="17.899999999999999" customHeight="1">
      <c r="AA5606"/>
    </row>
    <row r="5607" spans="27:27" ht="17.899999999999999" customHeight="1">
      <c r="AA5607"/>
    </row>
    <row r="5608" spans="27:27" ht="17.899999999999999" customHeight="1">
      <c r="AA5608"/>
    </row>
    <row r="5609" spans="27:27" ht="17.899999999999999" customHeight="1">
      <c r="AA5609"/>
    </row>
    <row r="5610" spans="27:27" ht="17.899999999999999" customHeight="1">
      <c r="AA5610"/>
    </row>
    <row r="5611" spans="27:27" ht="17.899999999999999" customHeight="1">
      <c r="AA5611"/>
    </row>
    <row r="5612" spans="27:27" ht="17.899999999999999" customHeight="1">
      <c r="AA5612"/>
    </row>
    <row r="5613" spans="27:27" ht="17.899999999999999" customHeight="1">
      <c r="AA5613"/>
    </row>
    <row r="5614" spans="27:27" ht="17.899999999999999" customHeight="1">
      <c r="AA5614"/>
    </row>
    <row r="5615" spans="27:27" ht="17.899999999999999" customHeight="1">
      <c r="AA5615"/>
    </row>
    <row r="5616" spans="27:27" ht="17.899999999999999" customHeight="1">
      <c r="AA5616"/>
    </row>
    <row r="5617" spans="27:27" ht="17.899999999999999" customHeight="1">
      <c r="AA5617"/>
    </row>
    <row r="5618" spans="27:27" ht="17.899999999999999" customHeight="1">
      <c r="AA5618"/>
    </row>
    <row r="5619" spans="27:27" ht="17.899999999999999" customHeight="1">
      <c r="AA5619"/>
    </row>
    <row r="5620" spans="27:27" ht="17.899999999999999" customHeight="1">
      <c r="AA5620"/>
    </row>
    <row r="5621" spans="27:27" ht="17.899999999999999" customHeight="1">
      <c r="AA5621"/>
    </row>
    <row r="5622" spans="27:27" ht="17.899999999999999" customHeight="1">
      <c r="AA5622"/>
    </row>
    <row r="5623" spans="27:27" ht="17.899999999999999" customHeight="1">
      <c r="AA5623"/>
    </row>
    <row r="5624" spans="27:27" ht="17.899999999999999" customHeight="1">
      <c r="AA5624"/>
    </row>
    <row r="5625" spans="27:27" ht="17.899999999999999" customHeight="1">
      <c r="AA5625"/>
    </row>
    <row r="5626" spans="27:27" ht="17.899999999999999" customHeight="1">
      <c r="AA5626"/>
    </row>
    <row r="5627" spans="27:27" ht="17.899999999999999" customHeight="1">
      <c r="AA5627"/>
    </row>
    <row r="5628" spans="27:27" ht="17.899999999999999" customHeight="1">
      <c r="AA5628"/>
    </row>
    <row r="5629" spans="27:27" ht="17.899999999999999" customHeight="1">
      <c r="AA5629"/>
    </row>
    <row r="5630" spans="27:27" ht="17.899999999999999" customHeight="1">
      <c r="AA5630"/>
    </row>
    <row r="5631" spans="27:27" ht="17.899999999999999" customHeight="1">
      <c r="AA5631"/>
    </row>
    <row r="5632" spans="27:27" ht="17.899999999999999" customHeight="1">
      <c r="AA5632"/>
    </row>
    <row r="5633" spans="27:27" ht="17.899999999999999" customHeight="1">
      <c r="AA5633"/>
    </row>
    <row r="5634" spans="27:27" ht="17.899999999999999" customHeight="1">
      <c r="AA5634"/>
    </row>
    <row r="5635" spans="27:27" ht="17.899999999999999" customHeight="1">
      <c r="AA5635"/>
    </row>
    <row r="5636" spans="27:27" ht="17.899999999999999" customHeight="1">
      <c r="AA5636"/>
    </row>
    <row r="5637" spans="27:27" ht="17.899999999999999" customHeight="1">
      <c r="AA5637"/>
    </row>
    <row r="5638" spans="27:27" ht="17.899999999999999" customHeight="1">
      <c r="AA5638"/>
    </row>
    <row r="5639" spans="27:27" ht="17.899999999999999" customHeight="1">
      <c r="AA5639"/>
    </row>
    <row r="5640" spans="27:27" ht="17.899999999999999" customHeight="1">
      <c r="AA5640"/>
    </row>
    <row r="5641" spans="27:27" ht="17.899999999999999" customHeight="1">
      <c r="AA5641"/>
    </row>
    <row r="5642" spans="27:27" ht="17.899999999999999" customHeight="1">
      <c r="AA5642"/>
    </row>
    <row r="5643" spans="27:27" ht="17.899999999999999" customHeight="1">
      <c r="AA5643"/>
    </row>
    <row r="5644" spans="27:27" ht="17.899999999999999" customHeight="1">
      <c r="AA5644"/>
    </row>
    <row r="5645" spans="27:27" ht="17.899999999999999" customHeight="1">
      <c r="AA5645"/>
    </row>
    <row r="5646" spans="27:27" ht="17.899999999999999" customHeight="1">
      <c r="AA5646"/>
    </row>
    <row r="5647" spans="27:27" ht="17.899999999999999" customHeight="1">
      <c r="AA5647"/>
    </row>
    <row r="5648" spans="27:27" ht="17.899999999999999" customHeight="1">
      <c r="AA5648"/>
    </row>
    <row r="5649" spans="27:27" ht="17.899999999999999" customHeight="1">
      <c r="AA5649"/>
    </row>
    <row r="5650" spans="27:27" ht="17.899999999999999" customHeight="1">
      <c r="AA5650"/>
    </row>
    <row r="5651" spans="27:27" ht="17.899999999999999" customHeight="1">
      <c r="AA5651"/>
    </row>
    <row r="5652" spans="27:27" ht="17.899999999999999" customHeight="1">
      <c r="AA5652"/>
    </row>
    <row r="5653" spans="27:27" ht="17.899999999999999" customHeight="1">
      <c r="AA5653"/>
    </row>
    <row r="5654" spans="27:27" ht="17.899999999999999" customHeight="1">
      <c r="AA5654"/>
    </row>
    <row r="5655" spans="27:27" ht="17.899999999999999" customHeight="1">
      <c r="AA5655"/>
    </row>
    <row r="5656" spans="27:27" ht="17.899999999999999" customHeight="1">
      <c r="AA5656"/>
    </row>
    <row r="5657" spans="27:27" ht="17.899999999999999" customHeight="1">
      <c r="AA5657"/>
    </row>
    <row r="5658" spans="27:27" ht="17.899999999999999" customHeight="1">
      <c r="AA5658"/>
    </row>
    <row r="5659" spans="27:27" ht="17.899999999999999" customHeight="1">
      <c r="AA5659"/>
    </row>
    <row r="5660" spans="27:27" ht="17.899999999999999" customHeight="1">
      <c r="AA5660"/>
    </row>
    <row r="5661" spans="27:27" ht="17.899999999999999" customHeight="1">
      <c r="AA5661"/>
    </row>
    <row r="5662" spans="27:27" ht="17.899999999999999" customHeight="1">
      <c r="AA5662"/>
    </row>
    <row r="5663" spans="27:27" ht="17.899999999999999" customHeight="1">
      <c r="AA5663"/>
    </row>
    <row r="5664" spans="27:27" ht="17.899999999999999" customHeight="1">
      <c r="AA5664"/>
    </row>
    <row r="5665" spans="27:27" ht="17.899999999999999" customHeight="1">
      <c r="AA5665"/>
    </row>
    <row r="5666" spans="27:27" ht="17.899999999999999" customHeight="1">
      <c r="AA5666"/>
    </row>
    <row r="5667" spans="27:27" ht="17.899999999999999" customHeight="1">
      <c r="AA5667"/>
    </row>
    <row r="5668" spans="27:27" ht="17.899999999999999" customHeight="1">
      <c r="AA5668"/>
    </row>
    <row r="5669" spans="27:27" ht="17.899999999999999" customHeight="1">
      <c r="AA5669"/>
    </row>
    <row r="5670" spans="27:27" ht="17.899999999999999" customHeight="1">
      <c r="AA5670"/>
    </row>
    <row r="5671" spans="27:27" ht="17.899999999999999" customHeight="1">
      <c r="AA5671"/>
    </row>
    <row r="5672" spans="27:27" ht="17.899999999999999" customHeight="1">
      <c r="AA5672"/>
    </row>
    <row r="5673" spans="27:27" ht="17.899999999999999" customHeight="1">
      <c r="AA5673"/>
    </row>
    <row r="5674" spans="27:27" ht="17.899999999999999" customHeight="1">
      <c r="AA5674"/>
    </row>
    <row r="5675" spans="27:27" ht="17.899999999999999" customHeight="1">
      <c r="AA5675"/>
    </row>
    <row r="5676" spans="27:27" ht="17.899999999999999" customHeight="1">
      <c r="AA5676"/>
    </row>
    <row r="5677" spans="27:27" ht="17.899999999999999" customHeight="1">
      <c r="AA5677"/>
    </row>
    <row r="5678" spans="27:27" ht="17.899999999999999" customHeight="1">
      <c r="AA5678"/>
    </row>
    <row r="5679" spans="27:27" ht="17.899999999999999" customHeight="1">
      <c r="AA5679"/>
    </row>
    <row r="5680" spans="27:27" ht="17.899999999999999" customHeight="1">
      <c r="AA5680"/>
    </row>
    <row r="5681" spans="27:27" ht="17.899999999999999" customHeight="1">
      <c r="AA5681"/>
    </row>
    <row r="5682" spans="27:27" ht="17.899999999999999" customHeight="1">
      <c r="AA5682"/>
    </row>
    <row r="5683" spans="27:27" ht="17.899999999999999" customHeight="1">
      <c r="AA5683"/>
    </row>
    <row r="5684" spans="27:27" ht="17.899999999999999" customHeight="1">
      <c r="AA5684"/>
    </row>
    <row r="5685" spans="27:27" ht="17.899999999999999" customHeight="1">
      <c r="AA5685"/>
    </row>
    <row r="5686" spans="27:27" ht="17.899999999999999" customHeight="1">
      <c r="AA5686"/>
    </row>
    <row r="5687" spans="27:27" ht="17.899999999999999" customHeight="1">
      <c r="AA5687"/>
    </row>
    <row r="5688" spans="27:27" ht="17.899999999999999" customHeight="1">
      <c r="AA5688"/>
    </row>
    <row r="5689" spans="27:27" ht="17.899999999999999" customHeight="1">
      <c r="AA5689"/>
    </row>
    <row r="5690" spans="27:27" ht="17.899999999999999" customHeight="1">
      <c r="AA5690"/>
    </row>
    <row r="5691" spans="27:27" ht="17.899999999999999" customHeight="1">
      <c r="AA5691"/>
    </row>
    <row r="5692" spans="27:27" ht="17.899999999999999" customHeight="1">
      <c r="AA5692"/>
    </row>
    <row r="5693" spans="27:27" ht="17.899999999999999" customHeight="1">
      <c r="AA5693"/>
    </row>
    <row r="5694" spans="27:27" ht="17.899999999999999" customHeight="1">
      <c r="AA5694"/>
    </row>
    <row r="5695" spans="27:27" ht="17.899999999999999" customHeight="1">
      <c r="AA5695"/>
    </row>
    <row r="5696" spans="27:27" ht="17.899999999999999" customHeight="1">
      <c r="AA5696"/>
    </row>
    <row r="5697" spans="27:27" ht="17.899999999999999" customHeight="1">
      <c r="AA5697"/>
    </row>
    <row r="5698" spans="27:27" ht="17.899999999999999" customHeight="1">
      <c r="AA5698"/>
    </row>
    <row r="5699" spans="27:27" ht="17.899999999999999" customHeight="1">
      <c r="AA5699"/>
    </row>
    <row r="5700" spans="27:27" ht="17.899999999999999" customHeight="1">
      <c r="AA5700"/>
    </row>
    <row r="5701" spans="27:27" ht="17.899999999999999" customHeight="1">
      <c r="AA5701"/>
    </row>
    <row r="5702" spans="27:27" ht="17.899999999999999" customHeight="1">
      <c r="AA5702"/>
    </row>
    <row r="5703" spans="27:27" ht="17.899999999999999" customHeight="1">
      <c r="AA5703"/>
    </row>
    <row r="5704" spans="27:27" ht="17.899999999999999" customHeight="1">
      <c r="AA5704"/>
    </row>
    <row r="5705" spans="27:27" ht="17.899999999999999" customHeight="1">
      <c r="AA5705"/>
    </row>
    <row r="5706" spans="27:27" ht="17.899999999999999" customHeight="1">
      <c r="AA5706"/>
    </row>
    <row r="5707" spans="27:27" ht="17.899999999999999" customHeight="1">
      <c r="AA5707"/>
    </row>
    <row r="5708" spans="27:27" ht="17.899999999999999" customHeight="1">
      <c r="AA5708"/>
    </row>
    <row r="5709" spans="27:27" ht="17.899999999999999" customHeight="1">
      <c r="AA5709"/>
    </row>
    <row r="5710" spans="27:27" ht="17.899999999999999" customHeight="1">
      <c r="AA5710"/>
    </row>
    <row r="5711" spans="27:27" ht="17.899999999999999" customHeight="1">
      <c r="AA5711"/>
    </row>
    <row r="5712" spans="27:27" ht="17.899999999999999" customHeight="1">
      <c r="AA5712"/>
    </row>
    <row r="5713" spans="27:27" ht="17.899999999999999" customHeight="1">
      <c r="AA5713"/>
    </row>
    <row r="5714" spans="27:27" ht="17.899999999999999" customHeight="1">
      <c r="AA5714"/>
    </row>
    <row r="5715" spans="27:27" ht="17.899999999999999" customHeight="1">
      <c r="AA5715"/>
    </row>
    <row r="5716" spans="27:27" ht="17.899999999999999" customHeight="1">
      <c r="AA5716"/>
    </row>
    <row r="5717" spans="27:27" ht="17.899999999999999" customHeight="1">
      <c r="AA5717"/>
    </row>
    <row r="5718" spans="27:27" ht="17.899999999999999" customHeight="1">
      <c r="AA5718"/>
    </row>
    <row r="5719" spans="27:27" ht="17.899999999999999" customHeight="1">
      <c r="AA5719"/>
    </row>
    <row r="5720" spans="27:27" ht="17.899999999999999" customHeight="1">
      <c r="AA5720"/>
    </row>
    <row r="5721" spans="27:27" ht="17.899999999999999" customHeight="1">
      <c r="AA5721"/>
    </row>
    <row r="5722" spans="27:27" ht="17.899999999999999" customHeight="1">
      <c r="AA5722"/>
    </row>
    <row r="5723" spans="27:27" ht="17.899999999999999" customHeight="1">
      <c r="AA5723"/>
    </row>
    <row r="5724" spans="27:27" ht="17.899999999999999" customHeight="1">
      <c r="AA5724"/>
    </row>
    <row r="5725" spans="27:27" ht="17.899999999999999" customHeight="1">
      <c r="AA5725"/>
    </row>
    <row r="5726" spans="27:27" ht="17.899999999999999" customHeight="1">
      <c r="AA5726"/>
    </row>
    <row r="5727" spans="27:27" ht="17.899999999999999" customHeight="1">
      <c r="AA5727"/>
    </row>
    <row r="5728" spans="27:27" ht="17.899999999999999" customHeight="1">
      <c r="AA5728"/>
    </row>
    <row r="5729" spans="27:27" ht="17.899999999999999" customHeight="1">
      <c r="AA5729"/>
    </row>
    <row r="5730" spans="27:27" ht="17.899999999999999" customHeight="1">
      <c r="AA5730"/>
    </row>
    <row r="5731" spans="27:27" ht="17.899999999999999" customHeight="1">
      <c r="AA5731"/>
    </row>
    <row r="5732" spans="27:27" ht="17.899999999999999" customHeight="1">
      <c r="AA5732"/>
    </row>
    <row r="5733" spans="27:27" ht="17.899999999999999" customHeight="1">
      <c r="AA5733"/>
    </row>
    <row r="5734" spans="27:27" ht="17.899999999999999" customHeight="1">
      <c r="AA5734"/>
    </row>
    <row r="5735" spans="27:27" ht="17.899999999999999" customHeight="1">
      <c r="AA5735"/>
    </row>
    <row r="5736" spans="27:27" ht="17.899999999999999" customHeight="1">
      <c r="AA5736"/>
    </row>
    <row r="5737" spans="27:27" ht="17.899999999999999" customHeight="1">
      <c r="AA5737"/>
    </row>
    <row r="5738" spans="27:27" ht="17.899999999999999" customHeight="1">
      <c r="AA5738"/>
    </row>
    <row r="5739" spans="27:27" ht="17.899999999999999" customHeight="1">
      <c r="AA5739"/>
    </row>
    <row r="5740" spans="27:27" ht="17.899999999999999" customHeight="1">
      <c r="AA5740"/>
    </row>
    <row r="5741" spans="27:27" ht="17.899999999999999" customHeight="1">
      <c r="AA5741"/>
    </row>
    <row r="5742" spans="27:27" ht="17.899999999999999" customHeight="1">
      <c r="AA5742"/>
    </row>
    <row r="5743" spans="27:27" ht="17.899999999999999" customHeight="1">
      <c r="AA5743"/>
    </row>
    <row r="5744" spans="27:27" ht="17.899999999999999" customHeight="1">
      <c r="AA5744"/>
    </row>
    <row r="5745" spans="27:27" ht="17.899999999999999" customHeight="1">
      <c r="AA5745"/>
    </row>
    <row r="5746" spans="27:27" ht="17.899999999999999" customHeight="1">
      <c r="AA5746"/>
    </row>
    <row r="5747" spans="27:27" ht="17.899999999999999" customHeight="1">
      <c r="AA5747"/>
    </row>
    <row r="5748" spans="27:27" ht="17.899999999999999" customHeight="1">
      <c r="AA5748"/>
    </row>
    <row r="5749" spans="27:27" ht="17.899999999999999" customHeight="1">
      <c r="AA5749"/>
    </row>
    <row r="5750" spans="27:27" ht="17.899999999999999" customHeight="1">
      <c r="AA5750"/>
    </row>
    <row r="5751" spans="27:27" ht="17.899999999999999" customHeight="1">
      <c r="AA5751"/>
    </row>
    <row r="5752" spans="27:27" ht="17.899999999999999" customHeight="1">
      <c r="AA5752"/>
    </row>
    <row r="5753" spans="27:27" ht="17.899999999999999" customHeight="1">
      <c r="AA5753"/>
    </row>
    <row r="5754" spans="27:27" ht="17.899999999999999" customHeight="1">
      <c r="AA5754"/>
    </row>
    <row r="5755" spans="27:27" ht="17.899999999999999" customHeight="1">
      <c r="AA5755"/>
    </row>
    <row r="5756" spans="27:27" ht="17.899999999999999" customHeight="1">
      <c r="AA5756"/>
    </row>
    <row r="5757" spans="27:27" ht="17.899999999999999" customHeight="1">
      <c r="AA5757"/>
    </row>
    <row r="5758" spans="27:27" ht="17.899999999999999" customHeight="1">
      <c r="AA5758"/>
    </row>
    <row r="5759" spans="27:27" ht="17.899999999999999" customHeight="1">
      <c r="AA5759"/>
    </row>
    <row r="5760" spans="27:27" ht="17.899999999999999" customHeight="1">
      <c r="AA5760"/>
    </row>
    <row r="5761" spans="27:27" ht="17.899999999999999" customHeight="1">
      <c r="AA5761"/>
    </row>
    <row r="5762" spans="27:27" ht="17.899999999999999" customHeight="1">
      <c r="AA5762"/>
    </row>
    <row r="5763" spans="27:27" ht="17.899999999999999" customHeight="1">
      <c r="AA5763"/>
    </row>
    <row r="5764" spans="27:27" ht="17.899999999999999" customHeight="1">
      <c r="AA5764"/>
    </row>
    <row r="5765" spans="27:27" ht="17.899999999999999" customHeight="1">
      <c r="AA5765"/>
    </row>
    <row r="5766" spans="27:27" ht="17.899999999999999" customHeight="1">
      <c r="AA5766"/>
    </row>
    <row r="5767" spans="27:27" ht="17.899999999999999" customHeight="1">
      <c r="AA5767"/>
    </row>
    <row r="5768" spans="27:27" ht="17.899999999999999" customHeight="1">
      <c r="AA5768"/>
    </row>
    <row r="5769" spans="27:27" ht="17.899999999999999" customHeight="1">
      <c r="AA5769"/>
    </row>
    <row r="5770" spans="27:27" ht="17.899999999999999" customHeight="1">
      <c r="AA5770"/>
    </row>
    <row r="5771" spans="27:27" ht="17.899999999999999" customHeight="1">
      <c r="AA5771"/>
    </row>
    <row r="5772" spans="27:27" ht="17.899999999999999" customHeight="1">
      <c r="AA5772"/>
    </row>
    <row r="5773" spans="27:27" ht="17.899999999999999" customHeight="1">
      <c r="AA5773"/>
    </row>
    <row r="5774" spans="27:27" ht="17.899999999999999" customHeight="1">
      <c r="AA5774"/>
    </row>
    <row r="5775" spans="27:27" ht="17.899999999999999" customHeight="1">
      <c r="AA5775"/>
    </row>
    <row r="5776" spans="27:27" ht="17.899999999999999" customHeight="1">
      <c r="AA5776"/>
    </row>
    <row r="5777" spans="27:27" ht="17.899999999999999" customHeight="1">
      <c r="AA5777"/>
    </row>
    <row r="5778" spans="27:27" ht="17.899999999999999" customHeight="1">
      <c r="AA5778"/>
    </row>
    <row r="5779" spans="27:27" ht="17.899999999999999" customHeight="1">
      <c r="AA5779"/>
    </row>
    <row r="5780" spans="27:27" ht="17.899999999999999" customHeight="1">
      <c r="AA5780"/>
    </row>
    <row r="5781" spans="27:27" ht="17.899999999999999" customHeight="1">
      <c r="AA5781"/>
    </row>
    <row r="5782" spans="27:27" ht="17.899999999999999" customHeight="1">
      <c r="AA5782"/>
    </row>
    <row r="5783" spans="27:27" ht="17.899999999999999" customHeight="1">
      <c r="AA5783"/>
    </row>
    <row r="5784" spans="27:27" ht="17.899999999999999" customHeight="1">
      <c r="AA5784"/>
    </row>
    <row r="5785" spans="27:27" ht="17.899999999999999" customHeight="1">
      <c r="AA5785"/>
    </row>
    <row r="5786" spans="27:27" ht="17.899999999999999" customHeight="1">
      <c r="AA5786"/>
    </row>
    <row r="5787" spans="27:27" ht="17.899999999999999" customHeight="1">
      <c r="AA5787"/>
    </row>
    <row r="5788" spans="27:27" ht="17.899999999999999" customHeight="1">
      <c r="AA5788"/>
    </row>
    <row r="5789" spans="27:27" ht="17.899999999999999" customHeight="1">
      <c r="AA5789"/>
    </row>
    <row r="5790" spans="27:27" ht="17.899999999999999" customHeight="1">
      <c r="AA5790"/>
    </row>
    <row r="5791" spans="27:27" ht="17.899999999999999" customHeight="1">
      <c r="AA5791"/>
    </row>
    <row r="5792" spans="27:27" ht="17.899999999999999" customHeight="1">
      <c r="AA5792"/>
    </row>
    <row r="5793" spans="27:27" ht="17.899999999999999" customHeight="1">
      <c r="AA5793"/>
    </row>
    <row r="5794" spans="27:27" ht="17.899999999999999" customHeight="1">
      <c r="AA5794"/>
    </row>
    <row r="5795" spans="27:27" ht="17.899999999999999" customHeight="1">
      <c r="AA5795"/>
    </row>
    <row r="5796" spans="27:27" ht="17.899999999999999" customHeight="1">
      <c r="AA5796"/>
    </row>
    <row r="5797" spans="27:27" ht="17.899999999999999" customHeight="1">
      <c r="AA5797"/>
    </row>
    <row r="5798" spans="27:27" ht="17.899999999999999" customHeight="1">
      <c r="AA5798"/>
    </row>
    <row r="5799" spans="27:27" ht="17.899999999999999" customHeight="1">
      <c r="AA5799"/>
    </row>
    <row r="5800" spans="27:27" ht="17.899999999999999" customHeight="1">
      <c r="AA5800"/>
    </row>
    <row r="5801" spans="27:27" ht="17.899999999999999" customHeight="1">
      <c r="AA5801"/>
    </row>
    <row r="5802" spans="27:27" ht="17.899999999999999" customHeight="1">
      <c r="AA5802"/>
    </row>
    <row r="5803" spans="27:27" ht="17.899999999999999" customHeight="1">
      <c r="AA5803"/>
    </row>
    <row r="5804" spans="27:27" ht="17.899999999999999" customHeight="1">
      <c r="AA5804"/>
    </row>
    <row r="5805" spans="27:27" ht="17.899999999999999" customHeight="1">
      <c r="AA5805"/>
    </row>
    <row r="5806" spans="27:27" ht="17.899999999999999" customHeight="1">
      <c r="AA5806"/>
    </row>
    <row r="5807" spans="27:27" ht="17.899999999999999" customHeight="1">
      <c r="AA5807"/>
    </row>
    <row r="5808" spans="27:27" ht="17.899999999999999" customHeight="1">
      <c r="AA5808"/>
    </row>
    <row r="5809" spans="27:27" ht="17.899999999999999" customHeight="1">
      <c r="AA5809"/>
    </row>
    <row r="5810" spans="27:27" ht="17.899999999999999" customHeight="1">
      <c r="AA5810"/>
    </row>
    <row r="5811" spans="27:27" ht="17.899999999999999" customHeight="1">
      <c r="AA5811"/>
    </row>
    <row r="5812" spans="27:27" ht="17.899999999999999" customHeight="1">
      <c r="AA5812"/>
    </row>
    <row r="5813" spans="27:27" ht="17.899999999999999" customHeight="1">
      <c r="AA5813"/>
    </row>
    <row r="5814" spans="27:27" ht="17.899999999999999" customHeight="1">
      <c r="AA5814"/>
    </row>
    <row r="5815" spans="27:27" ht="17.899999999999999" customHeight="1">
      <c r="AA5815"/>
    </row>
    <row r="5816" spans="27:27" ht="17.899999999999999" customHeight="1">
      <c r="AA5816"/>
    </row>
    <row r="5817" spans="27:27" ht="17.899999999999999" customHeight="1">
      <c r="AA5817"/>
    </row>
    <row r="5818" spans="27:27" ht="17.899999999999999" customHeight="1">
      <c r="AA5818"/>
    </row>
    <row r="5819" spans="27:27" ht="17.899999999999999" customHeight="1">
      <c r="AA5819"/>
    </row>
    <row r="5820" spans="27:27" ht="17.899999999999999" customHeight="1">
      <c r="AA5820"/>
    </row>
    <row r="5821" spans="27:27" ht="17.899999999999999" customHeight="1">
      <c r="AA5821"/>
    </row>
    <row r="5822" spans="27:27" ht="17.899999999999999" customHeight="1">
      <c r="AA5822"/>
    </row>
    <row r="5823" spans="27:27" ht="17.899999999999999" customHeight="1">
      <c r="AA5823"/>
    </row>
    <row r="5824" spans="27:27" ht="17.899999999999999" customHeight="1">
      <c r="AA5824"/>
    </row>
    <row r="5825" spans="27:27" ht="17.899999999999999" customHeight="1">
      <c r="AA5825"/>
    </row>
    <row r="5826" spans="27:27" ht="17.899999999999999" customHeight="1">
      <c r="AA5826"/>
    </row>
    <row r="5827" spans="27:27" ht="17.899999999999999" customHeight="1">
      <c r="AA5827"/>
    </row>
    <row r="5828" spans="27:27" ht="17.899999999999999" customHeight="1">
      <c r="AA5828"/>
    </row>
    <row r="5829" spans="27:27" ht="17.899999999999999" customHeight="1">
      <c r="AA5829"/>
    </row>
    <row r="5830" spans="27:27" ht="17.899999999999999" customHeight="1">
      <c r="AA5830"/>
    </row>
    <row r="5831" spans="27:27" ht="17.899999999999999" customHeight="1">
      <c r="AA5831"/>
    </row>
    <row r="5832" spans="27:27" ht="17.899999999999999" customHeight="1">
      <c r="AA5832"/>
    </row>
    <row r="5833" spans="27:27" ht="17.899999999999999" customHeight="1">
      <c r="AA5833"/>
    </row>
    <row r="5834" spans="27:27" ht="17.899999999999999" customHeight="1">
      <c r="AA5834"/>
    </row>
    <row r="5835" spans="27:27" ht="17.899999999999999" customHeight="1">
      <c r="AA5835"/>
    </row>
    <row r="5836" spans="27:27" ht="17.899999999999999" customHeight="1">
      <c r="AA5836"/>
    </row>
    <row r="5837" spans="27:27" ht="17.899999999999999" customHeight="1">
      <c r="AA5837"/>
    </row>
    <row r="5838" spans="27:27" ht="17.899999999999999" customHeight="1">
      <c r="AA5838"/>
    </row>
    <row r="5839" spans="27:27" ht="17.899999999999999" customHeight="1">
      <c r="AA5839"/>
    </row>
    <row r="5840" spans="27:27" ht="17.899999999999999" customHeight="1">
      <c r="AA5840"/>
    </row>
    <row r="5841" spans="27:27" ht="17.899999999999999" customHeight="1">
      <c r="AA5841"/>
    </row>
    <row r="5842" spans="27:27" ht="17.899999999999999" customHeight="1">
      <c r="AA5842"/>
    </row>
    <row r="5843" spans="27:27" ht="17.899999999999999" customHeight="1">
      <c r="AA5843"/>
    </row>
    <row r="5844" spans="27:27" ht="17.899999999999999" customHeight="1">
      <c r="AA5844"/>
    </row>
    <row r="5845" spans="27:27" ht="17.899999999999999" customHeight="1">
      <c r="AA5845"/>
    </row>
    <row r="5846" spans="27:27" ht="17.899999999999999" customHeight="1">
      <c r="AA5846"/>
    </row>
    <row r="5847" spans="27:27" ht="17.899999999999999" customHeight="1">
      <c r="AA5847"/>
    </row>
    <row r="5848" spans="27:27" ht="17.899999999999999" customHeight="1">
      <c r="AA5848"/>
    </row>
    <row r="5849" spans="27:27" ht="17.899999999999999" customHeight="1">
      <c r="AA5849"/>
    </row>
    <row r="5850" spans="27:27" ht="17.899999999999999" customHeight="1">
      <c r="AA5850"/>
    </row>
    <row r="5851" spans="27:27" ht="17.899999999999999" customHeight="1">
      <c r="AA5851"/>
    </row>
    <row r="5852" spans="27:27" ht="17.899999999999999" customHeight="1">
      <c r="AA5852"/>
    </row>
    <row r="5853" spans="27:27" ht="17.899999999999999" customHeight="1">
      <c r="AA5853"/>
    </row>
    <row r="5854" spans="27:27" ht="17.899999999999999" customHeight="1">
      <c r="AA5854"/>
    </row>
    <row r="5855" spans="27:27" ht="17.899999999999999" customHeight="1">
      <c r="AA5855"/>
    </row>
    <row r="5856" spans="27:27" ht="17.899999999999999" customHeight="1">
      <c r="AA5856"/>
    </row>
    <row r="5857" spans="27:27" ht="17.899999999999999" customHeight="1">
      <c r="AA5857"/>
    </row>
    <row r="5858" spans="27:27" ht="17.899999999999999" customHeight="1">
      <c r="AA5858"/>
    </row>
    <row r="5859" spans="27:27" ht="17.899999999999999" customHeight="1">
      <c r="AA5859"/>
    </row>
    <row r="5860" spans="27:27" ht="17.899999999999999" customHeight="1">
      <c r="AA5860"/>
    </row>
    <row r="5861" spans="27:27" ht="17.899999999999999" customHeight="1">
      <c r="AA5861"/>
    </row>
    <row r="5862" spans="27:27" ht="17.899999999999999" customHeight="1">
      <c r="AA5862"/>
    </row>
    <row r="5863" spans="27:27" ht="17.899999999999999" customHeight="1">
      <c r="AA5863"/>
    </row>
    <row r="5864" spans="27:27" ht="17.899999999999999" customHeight="1">
      <c r="AA5864"/>
    </row>
    <row r="5865" spans="27:27" ht="17.899999999999999" customHeight="1">
      <c r="AA5865"/>
    </row>
    <row r="5866" spans="27:27" ht="17.899999999999999" customHeight="1">
      <c r="AA5866"/>
    </row>
    <row r="5867" spans="27:27" ht="17.899999999999999" customHeight="1">
      <c r="AA5867"/>
    </row>
    <row r="5868" spans="27:27" ht="17.899999999999999" customHeight="1">
      <c r="AA5868"/>
    </row>
    <row r="5869" spans="27:27" ht="17.899999999999999" customHeight="1">
      <c r="AA5869"/>
    </row>
    <row r="5870" spans="27:27" ht="17.899999999999999" customHeight="1">
      <c r="AA5870"/>
    </row>
    <row r="5871" spans="27:27" ht="17.899999999999999" customHeight="1">
      <c r="AA5871"/>
    </row>
    <row r="5872" spans="27:27" ht="17.899999999999999" customHeight="1">
      <c r="AA5872"/>
    </row>
    <row r="5873" spans="27:27" ht="17.899999999999999" customHeight="1">
      <c r="AA5873"/>
    </row>
    <row r="5874" spans="27:27" ht="17.899999999999999" customHeight="1">
      <c r="AA5874"/>
    </row>
    <row r="5875" spans="27:27" ht="17.899999999999999" customHeight="1">
      <c r="AA5875"/>
    </row>
    <row r="5876" spans="27:27" ht="17.899999999999999" customHeight="1">
      <c r="AA5876"/>
    </row>
    <row r="5877" spans="27:27" ht="17.899999999999999" customHeight="1">
      <c r="AA5877"/>
    </row>
    <row r="5878" spans="27:27" ht="17.899999999999999" customHeight="1">
      <c r="AA5878"/>
    </row>
    <row r="5879" spans="27:27" ht="17.899999999999999" customHeight="1">
      <c r="AA5879"/>
    </row>
    <row r="5880" spans="27:27" ht="17.899999999999999" customHeight="1">
      <c r="AA5880"/>
    </row>
    <row r="5881" spans="27:27" ht="17.899999999999999" customHeight="1">
      <c r="AA5881"/>
    </row>
    <row r="5882" spans="27:27" ht="17.899999999999999" customHeight="1">
      <c r="AA5882"/>
    </row>
    <row r="5883" spans="27:27" ht="17.899999999999999" customHeight="1">
      <c r="AA5883"/>
    </row>
    <row r="5884" spans="27:27" ht="17.899999999999999" customHeight="1">
      <c r="AA5884"/>
    </row>
    <row r="5885" spans="27:27" ht="17.899999999999999" customHeight="1">
      <c r="AA5885"/>
    </row>
    <row r="5886" spans="27:27" ht="17.899999999999999" customHeight="1">
      <c r="AA5886"/>
    </row>
    <row r="5887" spans="27:27" ht="17.899999999999999" customHeight="1">
      <c r="AA5887"/>
    </row>
    <row r="5888" spans="27:27" ht="17.899999999999999" customHeight="1">
      <c r="AA5888"/>
    </row>
    <row r="5889" spans="27:27" ht="17.899999999999999" customHeight="1">
      <c r="AA5889"/>
    </row>
    <row r="5890" spans="27:27" ht="17.899999999999999" customHeight="1">
      <c r="AA5890"/>
    </row>
    <row r="5891" spans="27:27" ht="17.899999999999999" customHeight="1">
      <c r="AA5891"/>
    </row>
    <row r="5892" spans="27:27" ht="17.899999999999999" customHeight="1">
      <c r="AA5892"/>
    </row>
    <row r="5893" spans="27:27" ht="17.899999999999999" customHeight="1">
      <c r="AA5893"/>
    </row>
    <row r="5894" spans="27:27" ht="17.899999999999999" customHeight="1">
      <c r="AA5894"/>
    </row>
    <row r="5895" spans="27:27" ht="17.899999999999999" customHeight="1">
      <c r="AA5895"/>
    </row>
    <row r="5896" spans="27:27" ht="17.899999999999999" customHeight="1">
      <c r="AA5896"/>
    </row>
    <row r="5897" spans="27:27" ht="17.899999999999999" customHeight="1">
      <c r="AA5897"/>
    </row>
    <row r="5898" spans="27:27" ht="17.899999999999999" customHeight="1">
      <c r="AA5898"/>
    </row>
    <row r="5899" spans="27:27" ht="17.899999999999999" customHeight="1">
      <c r="AA5899"/>
    </row>
    <row r="5900" spans="27:27" ht="17.899999999999999" customHeight="1">
      <c r="AA5900"/>
    </row>
    <row r="5901" spans="27:27" ht="17.899999999999999" customHeight="1">
      <c r="AA5901"/>
    </row>
    <row r="5902" spans="27:27" ht="17.899999999999999" customHeight="1">
      <c r="AA5902"/>
    </row>
    <row r="5903" spans="27:27" ht="17.899999999999999" customHeight="1">
      <c r="AA5903"/>
    </row>
    <row r="5904" spans="27:27" ht="17.899999999999999" customHeight="1">
      <c r="AA5904"/>
    </row>
    <row r="5905" spans="27:27" ht="17.899999999999999" customHeight="1">
      <c r="AA5905"/>
    </row>
    <row r="5906" spans="27:27" ht="17.899999999999999" customHeight="1">
      <c r="AA5906"/>
    </row>
    <row r="5907" spans="27:27" ht="17.899999999999999" customHeight="1">
      <c r="AA5907"/>
    </row>
    <row r="5908" spans="27:27" ht="17.899999999999999" customHeight="1">
      <c r="AA5908"/>
    </row>
    <row r="5909" spans="27:27" ht="17.899999999999999" customHeight="1">
      <c r="AA5909"/>
    </row>
    <row r="5910" spans="27:27" ht="17.899999999999999" customHeight="1">
      <c r="AA5910"/>
    </row>
    <row r="5911" spans="27:27" ht="17.899999999999999" customHeight="1">
      <c r="AA5911"/>
    </row>
    <row r="5912" spans="27:27" ht="17.899999999999999" customHeight="1">
      <c r="AA5912"/>
    </row>
    <row r="5913" spans="27:27" ht="17.899999999999999" customHeight="1">
      <c r="AA5913"/>
    </row>
    <row r="5914" spans="27:27" ht="17.899999999999999" customHeight="1">
      <c r="AA5914"/>
    </row>
    <row r="5915" spans="27:27" ht="17.899999999999999" customHeight="1">
      <c r="AA5915"/>
    </row>
    <row r="5916" spans="27:27" ht="17.899999999999999" customHeight="1">
      <c r="AA5916"/>
    </row>
    <row r="5917" spans="27:27" ht="17.899999999999999" customHeight="1">
      <c r="AA5917"/>
    </row>
    <row r="5918" spans="27:27" ht="17.899999999999999" customHeight="1">
      <c r="AA5918"/>
    </row>
    <row r="5919" spans="27:27" ht="17.899999999999999" customHeight="1">
      <c r="AA5919"/>
    </row>
    <row r="5920" spans="27:27" ht="17.899999999999999" customHeight="1">
      <c r="AA5920"/>
    </row>
    <row r="5921" spans="27:27" ht="17.899999999999999" customHeight="1">
      <c r="AA5921"/>
    </row>
    <row r="5922" spans="27:27" ht="17.899999999999999" customHeight="1">
      <c r="AA5922"/>
    </row>
    <row r="5923" spans="27:27" ht="17.899999999999999" customHeight="1">
      <c r="AA5923"/>
    </row>
    <row r="5924" spans="27:27" ht="17.899999999999999" customHeight="1">
      <c r="AA5924"/>
    </row>
    <row r="5925" spans="27:27" ht="17.899999999999999" customHeight="1">
      <c r="AA5925"/>
    </row>
    <row r="5926" spans="27:27" ht="17.899999999999999" customHeight="1">
      <c r="AA5926"/>
    </row>
    <row r="5927" spans="27:27" ht="17.899999999999999" customHeight="1">
      <c r="AA5927"/>
    </row>
    <row r="5928" spans="27:27" ht="17.899999999999999" customHeight="1">
      <c r="AA5928"/>
    </row>
    <row r="5929" spans="27:27" ht="17.899999999999999" customHeight="1">
      <c r="AA5929"/>
    </row>
    <row r="5930" spans="27:27" ht="17.899999999999999" customHeight="1">
      <c r="AA5930"/>
    </row>
    <row r="5931" spans="27:27" ht="17.899999999999999" customHeight="1">
      <c r="AA5931"/>
    </row>
    <row r="5932" spans="27:27" ht="17.899999999999999" customHeight="1">
      <c r="AA5932"/>
    </row>
    <row r="5933" spans="27:27" ht="17.899999999999999" customHeight="1">
      <c r="AA5933"/>
    </row>
    <row r="5934" spans="27:27" ht="17.899999999999999" customHeight="1">
      <c r="AA5934"/>
    </row>
    <row r="5935" spans="27:27" ht="17.899999999999999" customHeight="1">
      <c r="AA5935"/>
    </row>
    <row r="5936" spans="27:27" ht="17.899999999999999" customHeight="1">
      <c r="AA5936"/>
    </row>
    <row r="5937" spans="27:27" ht="17.899999999999999" customHeight="1">
      <c r="AA5937"/>
    </row>
    <row r="5938" spans="27:27" ht="17.899999999999999" customHeight="1">
      <c r="AA5938"/>
    </row>
    <row r="5939" spans="27:27" ht="17.899999999999999" customHeight="1">
      <c r="AA5939"/>
    </row>
    <row r="5940" spans="27:27" ht="17.899999999999999" customHeight="1">
      <c r="AA5940"/>
    </row>
    <row r="5941" spans="27:27" ht="17.899999999999999" customHeight="1">
      <c r="AA5941"/>
    </row>
    <row r="5942" spans="27:27" ht="17.899999999999999" customHeight="1">
      <c r="AA5942"/>
    </row>
    <row r="5943" spans="27:27" ht="17.899999999999999" customHeight="1">
      <c r="AA5943"/>
    </row>
    <row r="5944" spans="27:27" ht="17.899999999999999" customHeight="1">
      <c r="AA5944"/>
    </row>
    <row r="5945" spans="27:27" ht="17.899999999999999" customHeight="1">
      <c r="AA5945"/>
    </row>
    <row r="5946" spans="27:27" ht="17.899999999999999" customHeight="1">
      <c r="AA5946"/>
    </row>
    <row r="5947" spans="27:27" ht="17.899999999999999" customHeight="1">
      <c r="AA5947"/>
    </row>
    <row r="5948" spans="27:27" ht="17.899999999999999" customHeight="1">
      <c r="AA5948"/>
    </row>
    <row r="5949" spans="27:27" ht="17.899999999999999" customHeight="1">
      <c r="AA5949"/>
    </row>
    <row r="5950" spans="27:27" ht="17.899999999999999" customHeight="1">
      <c r="AA5950"/>
    </row>
    <row r="5951" spans="27:27" ht="17.899999999999999" customHeight="1">
      <c r="AA5951"/>
    </row>
    <row r="5952" spans="27:27" ht="17.899999999999999" customHeight="1">
      <c r="AA5952"/>
    </row>
    <row r="5953" spans="27:27" ht="17.899999999999999" customHeight="1">
      <c r="AA5953"/>
    </row>
    <row r="5954" spans="27:27" ht="17.899999999999999" customHeight="1">
      <c r="AA5954"/>
    </row>
    <row r="5955" spans="27:27" ht="17.899999999999999" customHeight="1">
      <c r="AA5955"/>
    </row>
    <row r="5956" spans="27:27" ht="17.899999999999999" customHeight="1">
      <c r="AA5956"/>
    </row>
    <row r="5957" spans="27:27" ht="17.899999999999999" customHeight="1">
      <c r="AA5957"/>
    </row>
    <row r="5958" spans="27:27" ht="17.899999999999999" customHeight="1">
      <c r="AA5958"/>
    </row>
    <row r="5959" spans="27:27" ht="17.899999999999999" customHeight="1">
      <c r="AA5959"/>
    </row>
    <row r="5960" spans="27:27" ht="17.899999999999999" customHeight="1">
      <c r="AA5960"/>
    </row>
    <row r="5961" spans="27:27" ht="17.899999999999999" customHeight="1">
      <c r="AA5961"/>
    </row>
    <row r="5962" spans="27:27" ht="17.899999999999999" customHeight="1">
      <c r="AA5962"/>
    </row>
    <row r="5963" spans="27:27" ht="17.899999999999999" customHeight="1">
      <c r="AA5963"/>
    </row>
    <row r="5964" spans="27:27" ht="17.899999999999999" customHeight="1">
      <c r="AA5964"/>
    </row>
    <row r="5965" spans="27:27" ht="17.899999999999999" customHeight="1">
      <c r="AA5965"/>
    </row>
    <row r="5966" spans="27:27" ht="17.899999999999999" customHeight="1">
      <c r="AA5966"/>
    </row>
    <row r="5967" spans="27:27" ht="17.899999999999999" customHeight="1">
      <c r="AA5967"/>
    </row>
    <row r="5968" spans="27:27" ht="17.899999999999999" customHeight="1">
      <c r="AA5968"/>
    </row>
    <row r="5969" spans="27:27" ht="17.899999999999999" customHeight="1">
      <c r="AA5969"/>
    </row>
    <row r="5970" spans="27:27" ht="17.899999999999999" customHeight="1">
      <c r="AA5970"/>
    </row>
    <row r="5971" spans="27:27" ht="17.899999999999999" customHeight="1">
      <c r="AA5971"/>
    </row>
    <row r="5972" spans="27:27" ht="17.899999999999999" customHeight="1">
      <c r="AA5972"/>
    </row>
    <row r="5973" spans="27:27" ht="17.899999999999999" customHeight="1">
      <c r="AA5973"/>
    </row>
    <row r="5974" spans="27:27" ht="17.899999999999999" customHeight="1">
      <c r="AA5974"/>
    </row>
    <row r="5975" spans="27:27" ht="17.899999999999999" customHeight="1">
      <c r="AA5975"/>
    </row>
    <row r="5976" spans="27:27" ht="17.899999999999999" customHeight="1">
      <c r="AA5976"/>
    </row>
    <row r="5977" spans="27:27" ht="17.899999999999999" customHeight="1">
      <c r="AA5977"/>
    </row>
    <row r="5978" spans="27:27" ht="17.899999999999999" customHeight="1">
      <c r="AA5978"/>
    </row>
    <row r="5979" spans="27:27" ht="17.899999999999999" customHeight="1">
      <c r="AA5979"/>
    </row>
    <row r="5980" spans="27:27" ht="17.899999999999999" customHeight="1">
      <c r="AA5980"/>
    </row>
    <row r="5981" spans="27:27" ht="17.899999999999999" customHeight="1">
      <c r="AA5981"/>
    </row>
    <row r="5982" spans="27:27" ht="17.899999999999999" customHeight="1">
      <c r="AA5982"/>
    </row>
    <row r="5983" spans="27:27" ht="17.899999999999999" customHeight="1">
      <c r="AA5983"/>
    </row>
    <row r="5984" spans="27:27" ht="17.899999999999999" customHeight="1">
      <c r="AA5984"/>
    </row>
    <row r="5985" spans="27:27" ht="17.899999999999999" customHeight="1">
      <c r="AA5985"/>
    </row>
    <row r="5986" spans="27:27" ht="17.899999999999999" customHeight="1">
      <c r="AA5986"/>
    </row>
    <row r="5987" spans="27:27" ht="17.899999999999999" customHeight="1">
      <c r="AA5987"/>
    </row>
    <row r="5988" spans="27:27" ht="17.899999999999999" customHeight="1">
      <c r="AA5988"/>
    </row>
    <row r="5989" spans="27:27" ht="17.899999999999999" customHeight="1">
      <c r="AA5989"/>
    </row>
    <row r="5990" spans="27:27" ht="17.899999999999999" customHeight="1">
      <c r="AA5990"/>
    </row>
    <row r="5991" spans="27:27" ht="17.899999999999999" customHeight="1">
      <c r="AA5991"/>
    </row>
    <row r="5992" spans="27:27" ht="17.899999999999999" customHeight="1">
      <c r="AA5992"/>
    </row>
    <row r="5993" spans="27:27" ht="17.899999999999999" customHeight="1">
      <c r="AA5993"/>
    </row>
    <row r="5994" spans="27:27" ht="17.899999999999999" customHeight="1">
      <c r="AA5994"/>
    </row>
    <row r="5995" spans="27:27" ht="17.899999999999999" customHeight="1">
      <c r="AA5995"/>
    </row>
    <row r="5996" spans="27:27" ht="17.899999999999999" customHeight="1">
      <c r="AA5996"/>
    </row>
    <row r="5997" spans="27:27" ht="17.899999999999999" customHeight="1">
      <c r="AA5997"/>
    </row>
    <row r="5998" spans="27:27" ht="17.899999999999999" customHeight="1">
      <c r="AA5998"/>
    </row>
    <row r="5999" spans="27:27" ht="17.899999999999999" customHeight="1">
      <c r="AA5999"/>
    </row>
    <row r="6000" spans="27:27" ht="17.899999999999999" customHeight="1">
      <c r="AA6000"/>
    </row>
    <row r="6001" spans="27:27" ht="17.899999999999999" customHeight="1">
      <c r="AA6001"/>
    </row>
    <row r="6002" spans="27:27" ht="17.899999999999999" customHeight="1">
      <c r="AA6002"/>
    </row>
    <row r="6003" spans="27:27" ht="17.899999999999999" customHeight="1">
      <c r="AA6003"/>
    </row>
    <row r="6004" spans="27:27" ht="17.899999999999999" customHeight="1">
      <c r="AA6004"/>
    </row>
    <row r="6005" spans="27:27" ht="17.899999999999999" customHeight="1">
      <c r="AA6005"/>
    </row>
    <row r="6006" spans="27:27" ht="17.899999999999999" customHeight="1">
      <c r="AA6006"/>
    </row>
    <row r="6007" spans="27:27" ht="17.899999999999999" customHeight="1">
      <c r="AA6007"/>
    </row>
    <row r="6008" spans="27:27" ht="17.899999999999999" customHeight="1">
      <c r="AA6008"/>
    </row>
    <row r="6009" spans="27:27" ht="17.899999999999999" customHeight="1">
      <c r="AA6009"/>
    </row>
    <row r="6010" spans="27:27" ht="17.899999999999999" customHeight="1">
      <c r="AA6010"/>
    </row>
    <row r="6011" spans="27:27" ht="17.899999999999999" customHeight="1">
      <c r="AA6011"/>
    </row>
    <row r="6012" spans="27:27" ht="17.899999999999999" customHeight="1">
      <c r="AA6012"/>
    </row>
    <row r="6013" spans="27:27" ht="17.899999999999999" customHeight="1">
      <c r="AA6013"/>
    </row>
    <row r="6014" spans="27:27" ht="17.899999999999999" customHeight="1">
      <c r="AA6014"/>
    </row>
    <row r="6015" spans="27:27" ht="17.899999999999999" customHeight="1">
      <c r="AA6015"/>
    </row>
    <row r="6016" spans="27:27" ht="17.899999999999999" customHeight="1">
      <c r="AA6016"/>
    </row>
    <row r="6017" spans="27:27" ht="17.899999999999999" customHeight="1">
      <c r="AA6017"/>
    </row>
    <row r="6018" spans="27:27" ht="17.899999999999999" customHeight="1">
      <c r="AA6018"/>
    </row>
    <row r="6019" spans="27:27" ht="17.899999999999999" customHeight="1">
      <c r="AA6019"/>
    </row>
    <row r="6020" spans="27:27" ht="17.899999999999999" customHeight="1">
      <c r="AA6020"/>
    </row>
    <row r="6021" spans="27:27" ht="17.899999999999999" customHeight="1">
      <c r="AA6021"/>
    </row>
    <row r="6022" spans="27:27" ht="17.899999999999999" customHeight="1">
      <c r="AA6022"/>
    </row>
    <row r="6023" spans="27:27" ht="17.899999999999999" customHeight="1">
      <c r="AA6023"/>
    </row>
    <row r="6024" spans="27:27" ht="17.899999999999999" customHeight="1">
      <c r="AA6024"/>
    </row>
    <row r="6025" spans="27:27" ht="17.899999999999999" customHeight="1">
      <c r="AA6025"/>
    </row>
    <row r="6026" spans="27:27" ht="17.899999999999999" customHeight="1">
      <c r="AA6026"/>
    </row>
    <row r="6027" spans="27:27" ht="17.899999999999999" customHeight="1">
      <c r="AA6027"/>
    </row>
    <row r="6028" spans="27:27" ht="17.899999999999999" customHeight="1">
      <c r="AA6028"/>
    </row>
    <row r="6029" spans="27:27" ht="17.899999999999999" customHeight="1">
      <c r="AA6029"/>
    </row>
    <row r="6030" spans="27:27" ht="17.899999999999999" customHeight="1">
      <c r="AA6030"/>
    </row>
    <row r="6031" spans="27:27" ht="17.899999999999999" customHeight="1">
      <c r="AA6031"/>
    </row>
    <row r="6032" spans="27:27" ht="17.899999999999999" customHeight="1">
      <c r="AA6032"/>
    </row>
    <row r="6033" spans="27:27" ht="17.899999999999999" customHeight="1">
      <c r="AA6033"/>
    </row>
    <row r="6034" spans="27:27" ht="17.899999999999999" customHeight="1">
      <c r="AA6034"/>
    </row>
    <row r="6035" spans="27:27" ht="17.899999999999999" customHeight="1">
      <c r="AA6035"/>
    </row>
    <row r="6036" spans="27:27" ht="17.899999999999999" customHeight="1">
      <c r="AA6036"/>
    </row>
    <row r="6037" spans="27:27" ht="17.899999999999999" customHeight="1">
      <c r="AA6037"/>
    </row>
    <row r="6038" spans="27:27" ht="17.899999999999999" customHeight="1">
      <c r="AA6038"/>
    </row>
    <row r="6039" spans="27:27" ht="17.899999999999999" customHeight="1">
      <c r="AA6039"/>
    </row>
    <row r="6040" spans="27:27" ht="17.899999999999999" customHeight="1">
      <c r="AA6040"/>
    </row>
    <row r="6041" spans="27:27" ht="17.899999999999999" customHeight="1">
      <c r="AA6041"/>
    </row>
    <row r="6042" spans="27:27" ht="17.899999999999999" customHeight="1">
      <c r="AA6042"/>
    </row>
    <row r="6043" spans="27:27" ht="17.899999999999999" customHeight="1">
      <c r="AA6043"/>
    </row>
    <row r="6044" spans="27:27" ht="17.899999999999999" customHeight="1">
      <c r="AA6044"/>
    </row>
    <row r="6045" spans="27:27" ht="17.899999999999999" customHeight="1">
      <c r="AA6045"/>
    </row>
    <row r="6046" spans="27:27" ht="17.899999999999999" customHeight="1">
      <c r="AA6046"/>
    </row>
    <row r="6047" spans="27:27" ht="17.899999999999999" customHeight="1">
      <c r="AA6047"/>
    </row>
    <row r="6048" spans="27:27" ht="17.899999999999999" customHeight="1">
      <c r="AA6048"/>
    </row>
    <row r="6049" spans="27:27" ht="17.899999999999999" customHeight="1">
      <c r="AA6049"/>
    </row>
    <row r="6050" spans="27:27" ht="17.899999999999999" customHeight="1">
      <c r="AA6050"/>
    </row>
    <row r="6051" spans="27:27" ht="17.899999999999999" customHeight="1">
      <c r="AA6051"/>
    </row>
    <row r="6052" spans="27:27" ht="17.899999999999999" customHeight="1">
      <c r="AA6052"/>
    </row>
    <row r="6053" spans="27:27" ht="17.899999999999999" customHeight="1">
      <c r="AA6053"/>
    </row>
    <row r="6054" spans="27:27" ht="17.899999999999999" customHeight="1">
      <c r="AA6054"/>
    </row>
    <row r="6055" spans="27:27" ht="17.899999999999999" customHeight="1">
      <c r="AA6055"/>
    </row>
    <row r="6056" spans="27:27" ht="17.899999999999999" customHeight="1">
      <c r="AA6056"/>
    </row>
    <row r="6057" spans="27:27" ht="17.899999999999999" customHeight="1">
      <c r="AA6057"/>
    </row>
    <row r="6058" spans="27:27" ht="17.899999999999999" customHeight="1">
      <c r="AA6058"/>
    </row>
    <row r="6059" spans="27:27" ht="17.899999999999999" customHeight="1">
      <c r="AA6059"/>
    </row>
    <row r="6060" spans="27:27" ht="17.899999999999999" customHeight="1">
      <c r="AA6060"/>
    </row>
    <row r="6061" spans="27:27" ht="17.899999999999999" customHeight="1">
      <c r="AA6061"/>
    </row>
    <row r="6062" spans="27:27" ht="17.899999999999999" customHeight="1">
      <c r="AA6062"/>
    </row>
    <row r="6063" spans="27:27" ht="17.899999999999999" customHeight="1">
      <c r="AA6063"/>
    </row>
    <row r="6064" spans="27:27" ht="17.899999999999999" customHeight="1">
      <c r="AA6064"/>
    </row>
    <row r="6065" spans="27:27" ht="17.899999999999999" customHeight="1">
      <c r="AA6065"/>
    </row>
    <row r="6066" spans="27:27" ht="17.899999999999999" customHeight="1">
      <c r="AA6066"/>
    </row>
    <row r="6067" spans="27:27" ht="17.899999999999999" customHeight="1">
      <c r="AA6067"/>
    </row>
    <row r="6068" spans="27:27" ht="17.899999999999999" customHeight="1">
      <c r="AA6068"/>
    </row>
    <row r="6069" spans="27:27" ht="17.899999999999999" customHeight="1">
      <c r="AA6069"/>
    </row>
    <row r="6070" spans="27:27" ht="17.899999999999999" customHeight="1">
      <c r="AA6070"/>
    </row>
    <row r="6071" spans="27:27" ht="17.899999999999999" customHeight="1">
      <c r="AA6071"/>
    </row>
    <row r="6072" spans="27:27" ht="17.899999999999999" customHeight="1">
      <c r="AA6072"/>
    </row>
    <row r="6073" spans="27:27" ht="17.899999999999999" customHeight="1">
      <c r="AA6073"/>
    </row>
    <row r="6074" spans="27:27" ht="17.899999999999999" customHeight="1">
      <c r="AA6074"/>
    </row>
    <row r="6075" spans="27:27" ht="17.899999999999999" customHeight="1">
      <c r="AA6075"/>
    </row>
    <row r="6076" spans="27:27" ht="17.899999999999999" customHeight="1">
      <c r="AA6076"/>
    </row>
    <row r="6077" spans="27:27" ht="17.899999999999999" customHeight="1">
      <c r="AA6077"/>
    </row>
    <row r="6078" spans="27:27" ht="17.899999999999999" customHeight="1">
      <c r="AA6078"/>
    </row>
    <row r="6079" spans="27:27" ht="17.899999999999999" customHeight="1">
      <c r="AA6079"/>
    </row>
    <row r="6080" spans="27:27" ht="17.899999999999999" customHeight="1">
      <c r="AA6080"/>
    </row>
    <row r="6081" spans="27:27" ht="17.899999999999999" customHeight="1">
      <c r="AA6081"/>
    </row>
    <row r="6082" spans="27:27" ht="17.899999999999999" customHeight="1">
      <c r="AA6082"/>
    </row>
    <row r="6083" spans="27:27" ht="17.899999999999999" customHeight="1">
      <c r="AA6083"/>
    </row>
    <row r="6084" spans="27:27" ht="17.899999999999999" customHeight="1">
      <c r="AA6084"/>
    </row>
    <row r="6085" spans="27:27" ht="17.899999999999999" customHeight="1">
      <c r="AA6085"/>
    </row>
    <row r="6086" spans="27:27" ht="17.899999999999999" customHeight="1">
      <c r="AA6086"/>
    </row>
    <row r="6087" spans="27:27" ht="17.899999999999999" customHeight="1">
      <c r="AA6087"/>
    </row>
    <row r="6088" spans="27:27" ht="17.899999999999999" customHeight="1">
      <c r="AA6088"/>
    </row>
    <row r="6089" spans="27:27" ht="17.899999999999999" customHeight="1">
      <c r="AA6089"/>
    </row>
    <row r="6090" spans="27:27" ht="17.899999999999999" customHeight="1">
      <c r="AA6090"/>
    </row>
    <row r="6091" spans="27:27" ht="17.899999999999999" customHeight="1">
      <c r="AA6091"/>
    </row>
    <row r="6092" spans="27:27" ht="17.899999999999999" customHeight="1">
      <c r="AA6092"/>
    </row>
    <row r="6093" spans="27:27" ht="17.899999999999999" customHeight="1">
      <c r="AA6093"/>
    </row>
    <row r="6094" spans="27:27" ht="17.899999999999999" customHeight="1">
      <c r="AA6094"/>
    </row>
    <row r="6095" spans="27:27" ht="17.899999999999999" customHeight="1">
      <c r="AA6095"/>
    </row>
    <row r="6096" spans="27:27" ht="17.899999999999999" customHeight="1">
      <c r="AA6096"/>
    </row>
    <row r="6097" spans="27:27" ht="17.899999999999999" customHeight="1">
      <c r="AA6097"/>
    </row>
    <row r="6098" spans="27:27" ht="17.899999999999999" customHeight="1">
      <c r="AA6098"/>
    </row>
    <row r="6099" spans="27:27" ht="17.899999999999999" customHeight="1">
      <c r="AA6099"/>
    </row>
    <row r="6100" spans="27:27" ht="17.899999999999999" customHeight="1">
      <c r="AA6100"/>
    </row>
    <row r="6101" spans="27:27" ht="17.899999999999999" customHeight="1">
      <c r="AA6101"/>
    </row>
    <row r="6102" spans="27:27" ht="17.899999999999999" customHeight="1">
      <c r="AA6102"/>
    </row>
    <row r="6103" spans="27:27" ht="17.899999999999999" customHeight="1">
      <c r="AA6103"/>
    </row>
    <row r="6104" spans="27:27" ht="17.899999999999999" customHeight="1">
      <c r="AA6104"/>
    </row>
    <row r="6105" spans="27:27" ht="17.899999999999999" customHeight="1">
      <c r="AA6105"/>
    </row>
    <row r="6106" spans="27:27" ht="17.899999999999999" customHeight="1">
      <c r="AA6106"/>
    </row>
    <row r="6107" spans="27:27" ht="17.899999999999999" customHeight="1">
      <c r="AA6107"/>
    </row>
    <row r="6108" spans="27:27" ht="17.899999999999999" customHeight="1">
      <c r="AA6108"/>
    </row>
    <row r="6109" spans="27:27" ht="17.899999999999999" customHeight="1">
      <c r="AA6109"/>
    </row>
    <row r="6110" spans="27:27" ht="17.899999999999999" customHeight="1">
      <c r="AA6110"/>
    </row>
    <row r="6111" spans="27:27" ht="17.899999999999999" customHeight="1">
      <c r="AA6111"/>
    </row>
    <row r="6112" spans="27:27" ht="17.899999999999999" customHeight="1">
      <c r="AA6112"/>
    </row>
    <row r="6113" spans="27:27" ht="17.899999999999999" customHeight="1">
      <c r="AA6113"/>
    </row>
    <row r="6114" spans="27:27" ht="17.899999999999999" customHeight="1">
      <c r="AA6114"/>
    </row>
    <row r="6115" spans="27:27" ht="17.899999999999999" customHeight="1">
      <c r="AA6115"/>
    </row>
    <row r="6116" spans="27:27" ht="17.899999999999999" customHeight="1">
      <c r="AA6116"/>
    </row>
    <row r="6117" spans="27:27" ht="17.899999999999999" customHeight="1">
      <c r="AA6117"/>
    </row>
    <row r="6118" spans="27:27" ht="17.899999999999999" customHeight="1">
      <c r="AA6118"/>
    </row>
    <row r="6119" spans="27:27" ht="17.899999999999999" customHeight="1">
      <c r="AA6119"/>
    </row>
    <row r="6120" spans="27:27" ht="17.899999999999999" customHeight="1">
      <c r="AA6120"/>
    </row>
    <row r="6121" spans="27:27" ht="17.899999999999999" customHeight="1">
      <c r="AA6121"/>
    </row>
    <row r="6122" spans="27:27" ht="17.899999999999999" customHeight="1">
      <c r="AA6122"/>
    </row>
    <row r="6123" spans="27:27" ht="17.899999999999999" customHeight="1">
      <c r="AA6123"/>
    </row>
    <row r="6124" spans="27:27" ht="17.899999999999999" customHeight="1">
      <c r="AA6124"/>
    </row>
    <row r="6125" spans="27:27" ht="17.899999999999999" customHeight="1">
      <c r="AA6125"/>
    </row>
    <row r="6126" spans="27:27" ht="17.899999999999999" customHeight="1">
      <c r="AA6126"/>
    </row>
    <row r="6127" spans="27:27" ht="17.899999999999999" customHeight="1">
      <c r="AA6127"/>
    </row>
    <row r="6128" spans="27:27" ht="17.899999999999999" customHeight="1">
      <c r="AA6128"/>
    </row>
    <row r="6129" spans="27:27" ht="17.899999999999999" customHeight="1">
      <c r="AA6129"/>
    </row>
    <row r="6130" spans="27:27" ht="17.899999999999999" customHeight="1">
      <c r="AA6130"/>
    </row>
    <row r="6131" spans="27:27" ht="17.899999999999999" customHeight="1">
      <c r="AA6131"/>
    </row>
    <row r="6132" spans="27:27" ht="17.899999999999999" customHeight="1">
      <c r="AA6132"/>
    </row>
    <row r="6133" spans="27:27" ht="17.899999999999999" customHeight="1">
      <c r="AA6133"/>
    </row>
    <row r="6134" spans="27:27" ht="17.899999999999999" customHeight="1">
      <c r="AA6134"/>
    </row>
    <row r="6135" spans="27:27" ht="17.899999999999999" customHeight="1">
      <c r="AA6135"/>
    </row>
    <row r="6136" spans="27:27" ht="17.899999999999999" customHeight="1">
      <c r="AA6136"/>
    </row>
    <row r="6137" spans="27:27" ht="17.899999999999999" customHeight="1">
      <c r="AA6137"/>
    </row>
    <row r="6138" spans="27:27" ht="17.899999999999999" customHeight="1">
      <c r="AA6138"/>
    </row>
    <row r="6139" spans="27:27" ht="17.899999999999999" customHeight="1">
      <c r="AA6139"/>
    </row>
    <row r="6140" spans="27:27" ht="17.899999999999999" customHeight="1">
      <c r="AA6140"/>
    </row>
    <row r="6141" spans="27:27" ht="17.899999999999999" customHeight="1">
      <c r="AA6141"/>
    </row>
    <row r="6142" spans="27:27" ht="17.899999999999999" customHeight="1">
      <c r="AA6142"/>
    </row>
    <row r="6143" spans="27:27" ht="17.899999999999999" customHeight="1">
      <c r="AA6143"/>
    </row>
    <row r="6144" spans="27:27" ht="17.899999999999999" customHeight="1">
      <c r="AA6144"/>
    </row>
    <row r="6145" spans="27:27" ht="17.899999999999999" customHeight="1">
      <c r="AA6145"/>
    </row>
    <row r="6146" spans="27:27" ht="17.899999999999999" customHeight="1">
      <c r="AA6146"/>
    </row>
    <row r="6147" spans="27:27" ht="17.899999999999999" customHeight="1">
      <c r="AA6147"/>
    </row>
    <row r="6148" spans="27:27" ht="17.899999999999999" customHeight="1">
      <c r="AA6148"/>
    </row>
    <row r="6149" spans="27:27" ht="17.899999999999999" customHeight="1">
      <c r="AA6149"/>
    </row>
    <row r="6150" spans="27:27" ht="17.899999999999999" customHeight="1">
      <c r="AA6150"/>
    </row>
    <row r="6151" spans="27:27" ht="17.899999999999999" customHeight="1">
      <c r="AA6151"/>
    </row>
    <row r="6152" spans="27:27" ht="17.899999999999999" customHeight="1">
      <c r="AA6152"/>
    </row>
    <row r="6153" spans="27:27" ht="17.899999999999999" customHeight="1">
      <c r="AA6153"/>
    </row>
    <row r="6154" spans="27:27" ht="17.899999999999999" customHeight="1">
      <c r="AA6154"/>
    </row>
    <row r="6155" spans="27:27" ht="17.899999999999999" customHeight="1">
      <c r="AA6155"/>
    </row>
    <row r="6156" spans="27:27" ht="17.899999999999999" customHeight="1">
      <c r="AA6156"/>
    </row>
    <row r="6157" spans="27:27" ht="17.899999999999999" customHeight="1">
      <c r="AA6157"/>
    </row>
    <row r="6158" spans="27:27" ht="17.899999999999999" customHeight="1">
      <c r="AA6158"/>
    </row>
    <row r="6159" spans="27:27" ht="17.899999999999999" customHeight="1">
      <c r="AA6159"/>
    </row>
    <row r="6160" spans="27:27" ht="17.899999999999999" customHeight="1">
      <c r="AA6160"/>
    </row>
    <row r="6161" spans="27:27" ht="17.899999999999999" customHeight="1">
      <c r="AA6161"/>
    </row>
    <row r="6162" spans="27:27" ht="17.899999999999999" customHeight="1">
      <c r="AA6162"/>
    </row>
    <row r="6163" spans="27:27" ht="17.899999999999999" customHeight="1">
      <c r="AA6163"/>
    </row>
    <row r="6164" spans="27:27" ht="17.899999999999999" customHeight="1">
      <c r="AA6164"/>
    </row>
    <row r="6165" spans="27:27" ht="17.899999999999999" customHeight="1">
      <c r="AA6165"/>
    </row>
    <row r="6166" spans="27:27" ht="17.899999999999999" customHeight="1">
      <c r="AA6166"/>
    </row>
    <row r="6167" spans="27:27" ht="17.899999999999999" customHeight="1">
      <c r="AA6167"/>
    </row>
    <row r="6168" spans="27:27" ht="17.899999999999999" customHeight="1">
      <c r="AA6168"/>
    </row>
    <row r="6169" spans="27:27" ht="17.899999999999999" customHeight="1">
      <c r="AA6169"/>
    </row>
    <row r="6170" spans="27:27" ht="17.899999999999999" customHeight="1">
      <c r="AA6170"/>
    </row>
    <row r="6171" spans="27:27" ht="17.899999999999999" customHeight="1">
      <c r="AA6171"/>
    </row>
    <row r="6172" spans="27:27" ht="17.899999999999999" customHeight="1">
      <c r="AA6172"/>
    </row>
    <row r="6173" spans="27:27" ht="17.899999999999999" customHeight="1">
      <c r="AA6173"/>
    </row>
    <row r="6174" spans="27:27" ht="17.899999999999999" customHeight="1">
      <c r="AA6174"/>
    </row>
    <row r="6175" spans="27:27" ht="17.899999999999999" customHeight="1">
      <c r="AA6175"/>
    </row>
    <row r="6176" spans="27:27" ht="17.899999999999999" customHeight="1">
      <c r="AA6176"/>
    </row>
    <row r="6177" spans="27:27" ht="17.899999999999999" customHeight="1">
      <c r="AA6177"/>
    </row>
    <row r="6178" spans="27:27" ht="17.899999999999999" customHeight="1">
      <c r="AA6178"/>
    </row>
    <row r="6179" spans="27:27" ht="17.899999999999999" customHeight="1">
      <c r="AA6179"/>
    </row>
    <row r="6180" spans="27:27" ht="17.899999999999999" customHeight="1">
      <c r="AA6180"/>
    </row>
    <row r="6181" spans="27:27" ht="17.899999999999999" customHeight="1">
      <c r="AA6181"/>
    </row>
    <row r="6182" spans="27:27" ht="17.899999999999999" customHeight="1">
      <c r="AA6182"/>
    </row>
    <row r="6183" spans="27:27" ht="17.899999999999999" customHeight="1">
      <c r="AA6183"/>
    </row>
    <row r="6184" spans="27:27" ht="17.899999999999999" customHeight="1">
      <c r="AA6184"/>
    </row>
    <row r="6185" spans="27:27" ht="17.899999999999999" customHeight="1">
      <c r="AA6185"/>
    </row>
    <row r="6186" spans="27:27" ht="17.899999999999999" customHeight="1">
      <c r="AA6186"/>
    </row>
    <row r="6187" spans="27:27" ht="17.899999999999999" customHeight="1">
      <c r="AA6187"/>
    </row>
    <row r="6188" spans="27:27" ht="17.899999999999999" customHeight="1">
      <c r="AA6188"/>
    </row>
    <row r="6189" spans="27:27" ht="17.899999999999999" customHeight="1">
      <c r="AA6189"/>
    </row>
    <row r="6190" spans="27:27" ht="17.899999999999999" customHeight="1">
      <c r="AA6190"/>
    </row>
    <row r="6191" spans="27:27" ht="17.899999999999999" customHeight="1">
      <c r="AA6191"/>
    </row>
    <row r="6192" spans="27:27" ht="17.899999999999999" customHeight="1">
      <c r="AA6192"/>
    </row>
    <row r="6193" spans="27:27" ht="17.899999999999999" customHeight="1">
      <c r="AA6193"/>
    </row>
    <row r="6194" spans="27:27" ht="17.899999999999999" customHeight="1">
      <c r="AA6194"/>
    </row>
    <row r="6195" spans="27:27" ht="17.899999999999999" customHeight="1">
      <c r="AA6195"/>
    </row>
    <row r="6196" spans="27:27" ht="17.899999999999999" customHeight="1">
      <c r="AA6196"/>
    </row>
    <row r="6197" spans="27:27" ht="17.899999999999999" customHeight="1">
      <c r="AA6197"/>
    </row>
    <row r="6198" spans="27:27" ht="17.899999999999999" customHeight="1">
      <c r="AA6198"/>
    </row>
    <row r="6199" spans="27:27" ht="17.899999999999999" customHeight="1">
      <c r="AA6199"/>
    </row>
    <row r="6200" spans="27:27" ht="17.899999999999999" customHeight="1">
      <c r="AA6200"/>
    </row>
    <row r="6201" spans="27:27" ht="17.899999999999999" customHeight="1">
      <c r="AA6201"/>
    </row>
    <row r="6202" spans="27:27" ht="17.899999999999999" customHeight="1">
      <c r="AA6202"/>
    </row>
    <row r="6203" spans="27:27" ht="17.899999999999999" customHeight="1">
      <c r="AA6203"/>
    </row>
    <row r="6204" spans="27:27" ht="17.899999999999999" customHeight="1">
      <c r="AA6204"/>
    </row>
    <row r="6205" spans="27:27" ht="17.899999999999999" customHeight="1">
      <c r="AA6205"/>
    </row>
    <row r="6206" spans="27:27" ht="17.899999999999999" customHeight="1">
      <c r="AA6206"/>
    </row>
    <row r="6207" spans="27:27" ht="17.899999999999999" customHeight="1">
      <c r="AA6207"/>
    </row>
    <row r="6208" spans="27:27" ht="17.899999999999999" customHeight="1">
      <c r="AA6208"/>
    </row>
    <row r="6209" spans="27:27" ht="17.899999999999999" customHeight="1">
      <c r="AA6209"/>
    </row>
    <row r="6210" spans="27:27" ht="17.899999999999999" customHeight="1">
      <c r="AA6210"/>
    </row>
    <row r="6211" spans="27:27" ht="17.899999999999999" customHeight="1">
      <c r="AA6211"/>
    </row>
    <row r="6212" spans="27:27" ht="17.899999999999999" customHeight="1">
      <c r="AA6212"/>
    </row>
    <row r="6213" spans="27:27" ht="17.899999999999999" customHeight="1">
      <c r="AA6213"/>
    </row>
    <row r="6214" spans="27:27" ht="17.899999999999999" customHeight="1">
      <c r="AA6214"/>
    </row>
    <row r="6215" spans="27:27" ht="17.899999999999999" customHeight="1">
      <c r="AA6215"/>
    </row>
    <row r="6216" spans="27:27" ht="17.899999999999999" customHeight="1">
      <c r="AA6216"/>
    </row>
    <row r="6217" spans="27:27" ht="17.899999999999999" customHeight="1">
      <c r="AA6217"/>
    </row>
    <row r="6218" spans="27:27" ht="17.899999999999999" customHeight="1">
      <c r="AA6218"/>
    </row>
    <row r="6219" spans="27:27" ht="17.899999999999999" customHeight="1">
      <c r="AA6219"/>
    </row>
    <row r="6220" spans="27:27" ht="17.899999999999999" customHeight="1">
      <c r="AA6220"/>
    </row>
    <row r="6221" spans="27:27" ht="17.899999999999999" customHeight="1">
      <c r="AA6221"/>
    </row>
    <row r="6222" spans="27:27" ht="17.899999999999999" customHeight="1">
      <c r="AA6222"/>
    </row>
    <row r="6223" spans="27:27" ht="17.899999999999999" customHeight="1">
      <c r="AA6223"/>
    </row>
    <row r="6224" spans="27:27" ht="17.899999999999999" customHeight="1">
      <c r="AA6224"/>
    </row>
    <row r="6225" spans="27:27" ht="17.899999999999999" customHeight="1">
      <c r="AA6225"/>
    </row>
    <row r="6226" spans="27:27" ht="17.899999999999999" customHeight="1">
      <c r="AA6226"/>
    </row>
    <row r="6227" spans="27:27" ht="17.899999999999999" customHeight="1">
      <c r="AA6227"/>
    </row>
    <row r="6228" spans="27:27" ht="17.899999999999999" customHeight="1">
      <c r="AA6228"/>
    </row>
    <row r="6229" spans="27:27" ht="17.899999999999999" customHeight="1">
      <c r="AA6229"/>
    </row>
    <row r="6230" spans="27:27" ht="17.899999999999999" customHeight="1">
      <c r="AA6230"/>
    </row>
    <row r="6231" spans="27:27" ht="17.899999999999999" customHeight="1">
      <c r="AA6231"/>
    </row>
    <row r="6232" spans="27:27" ht="17.899999999999999" customHeight="1">
      <c r="AA6232"/>
    </row>
    <row r="6233" spans="27:27" ht="17.899999999999999" customHeight="1">
      <c r="AA6233"/>
    </row>
    <row r="6234" spans="27:27" ht="17.899999999999999" customHeight="1">
      <c r="AA6234"/>
    </row>
    <row r="6235" spans="27:27" ht="17.899999999999999" customHeight="1">
      <c r="AA6235"/>
    </row>
    <row r="6236" spans="27:27" ht="17.899999999999999" customHeight="1">
      <c r="AA6236"/>
    </row>
    <row r="6237" spans="27:27" ht="17.899999999999999" customHeight="1">
      <c r="AA6237"/>
    </row>
    <row r="6238" spans="27:27" ht="17.899999999999999" customHeight="1">
      <c r="AA6238"/>
    </row>
    <row r="6239" spans="27:27" ht="17.899999999999999" customHeight="1">
      <c r="AA6239"/>
    </row>
    <row r="6240" spans="27:27" ht="17.899999999999999" customHeight="1">
      <c r="AA6240"/>
    </row>
    <row r="6241" spans="27:27" ht="17.899999999999999" customHeight="1">
      <c r="AA6241"/>
    </row>
    <row r="6242" spans="27:27" ht="17.899999999999999" customHeight="1">
      <c r="AA6242"/>
    </row>
    <row r="6243" spans="27:27" ht="17.899999999999999" customHeight="1">
      <c r="AA6243"/>
    </row>
    <row r="6244" spans="27:27" ht="17.899999999999999" customHeight="1">
      <c r="AA6244"/>
    </row>
    <row r="6245" spans="27:27" ht="17.899999999999999" customHeight="1">
      <c r="AA6245"/>
    </row>
    <row r="6246" spans="27:27" ht="17.899999999999999" customHeight="1">
      <c r="AA6246"/>
    </row>
    <row r="6247" spans="27:27" ht="17.899999999999999" customHeight="1">
      <c r="AA6247"/>
    </row>
    <row r="6248" spans="27:27" ht="17.899999999999999" customHeight="1">
      <c r="AA6248"/>
    </row>
    <row r="6249" spans="27:27" ht="17.899999999999999" customHeight="1">
      <c r="AA6249"/>
    </row>
    <row r="6250" spans="27:27" ht="17.899999999999999" customHeight="1">
      <c r="AA6250"/>
    </row>
    <row r="6251" spans="27:27" ht="17.899999999999999" customHeight="1">
      <c r="AA6251"/>
    </row>
    <row r="6252" spans="27:27" ht="17.899999999999999" customHeight="1">
      <c r="AA6252"/>
    </row>
    <row r="6253" spans="27:27" ht="17.899999999999999" customHeight="1">
      <c r="AA6253"/>
    </row>
    <row r="6254" spans="27:27" ht="17.899999999999999" customHeight="1">
      <c r="AA6254"/>
    </row>
    <row r="6255" spans="27:27" ht="17.899999999999999" customHeight="1">
      <c r="AA6255"/>
    </row>
    <row r="6256" spans="27:27" ht="17.899999999999999" customHeight="1">
      <c r="AA6256"/>
    </row>
    <row r="6257" spans="27:27" ht="17.899999999999999" customHeight="1">
      <c r="AA6257"/>
    </row>
    <row r="6258" spans="27:27" ht="17.899999999999999" customHeight="1">
      <c r="AA6258"/>
    </row>
    <row r="6259" spans="27:27" ht="17.899999999999999" customHeight="1">
      <c r="AA6259"/>
    </row>
    <row r="6260" spans="27:27" ht="17.899999999999999" customHeight="1">
      <c r="AA6260"/>
    </row>
    <row r="6261" spans="27:27" ht="17.899999999999999" customHeight="1">
      <c r="AA6261"/>
    </row>
    <row r="6262" spans="27:27" ht="17.899999999999999" customHeight="1">
      <c r="AA6262"/>
    </row>
    <row r="6263" spans="27:27" ht="17.899999999999999" customHeight="1">
      <c r="AA6263"/>
    </row>
    <row r="6264" spans="27:27" ht="17.899999999999999" customHeight="1">
      <c r="AA6264"/>
    </row>
    <row r="6265" spans="27:27" ht="17.899999999999999" customHeight="1">
      <c r="AA6265"/>
    </row>
    <row r="6266" spans="27:27" ht="17.899999999999999" customHeight="1">
      <c r="AA6266"/>
    </row>
    <row r="6267" spans="27:27" ht="17.899999999999999" customHeight="1">
      <c r="AA6267"/>
    </row>
    <row r="6268" spans="27:27" ht="17.899999999999999" customHeight="1">
      <c r="AA6268"/>
    </row>
    <row r="6269" spans="27:27" ht="17.899999999999999" customHeight="1">
      <c r="AA6269"/>
    </row>
    <row r="6270" spans="27:27" ht="17.899999999999999" customHeight="1">
      <c r="AA6270"/>
    </row>
    <row r="6271" spans="27:27" ht="17.899999999999999" customHeight="1">
      <c r="AA6271"/>
    </row>
    <row r="6272" spans="27:27" ht="17.899999999999999" customHeight="1">
      <c r="AA6272"/>
    </row>
    <row r="6273" spans="27:27" ht="17.899999999999999" customHeight="1">
      <c r="AA6273"/>
    </row>
    <row r="6274" spans="27:27" ht="17.899999999999999" customHeight="1">
      <c r="AA6274"/>
    </row>
    <row r="6275" spans="27:27" ht="17.899999999999999" customHeight="1">
      <c r="AA6275"/>
    </row>
    <row r="6276" spans="27:27" ht="17.899999999999999" customHeight="1">
      <c r="AA6276"/>
    </row>
    <row r="6277" spans="27:27" ht="17.899999999999999" customHeight="1">
      <c r="AA6277"/>
    </row>
    <row r="6278" spans="27:27" ht="17.899999999999999" customHeight="1">
      <c r="AA6278"/>
    </row>
    <row r="6279" spans="27:27" ht="17.899999999999999" customHeight="1">
      <c r="AA6279"/>
    </row>
    <row r="6280" spans="27:27" ht="17.899999999999999" customHeight="1">
      <c r="AA6280"/>
    </row>
    <row r="6281" spans="27:27" ht="17.899999999999999" customHeight="1">
      <c r="AA6281"/>
    </row>
    <row r="6282" spans="27:27" ht="17.899999999999999" customHeight="1">
      <c r="AA6282"/>
    </row>
    <row r="6283" spans="27:27" ht="17.899999999999999" customHeight="1">
      <c r="AA6283"/>
    </row>
    <row r="6284" spans="27:27" ht="17.899999999999999" customHeight="1">
      <c r="AA6284"/>
    </row>
    <row r="6285" spans="27:27" ht="17.899999999999999" customHeight="1">
      <c r="AA6285"/>
    </row>
    <row r="6286" spans="27:27" ht="17.899999999999999" customHeight="1">
      <c r="AA6286"/>
    </row>
    <row r="6287" spans="27:27" ht="17.899999999999999" customHeight="1">
      <c r="AA6287"/>
    </row>
    <row r="6288" spans="27:27" ht="17.899999999999999" customHeight="1">
      <c r="AA6288"/>
    </row>
    <row r="6289" spans="27:27" ht="17.899999999999999" customHeight="1">
      <c r="AA6289"/>
    </row>
    <row r="6290" spans="27:27" ht="17.899999999999999" customHeight="1">
      <c r="AA6290"/>
    </row>
    <row r="6291" spans="27:27" ht="17.899999999999999" customHeight="1">
      <c r="AA6291"/>
    </row>
    <row r="6292" spans="27:27" ht="17.899999999999999" customHeight="1">
      <c r="AA6292"/>
    </row>
    <row r="6293" spans="27:27" ht="17.899999999999999" customHeight="1">
      <c r="AA6293"/>
    </row>
    <row r="6294" spans="27:27" ht="17.899999999999999" customHeight="1">
      <c r="AA6294"/>
    </row>
    <row r="6295" spans="27:27" ht="17.899999999999999" customHeight="1">
      <c r="AA6295"/>
    </row>
    <row r="6296" spans="27:27" ht="17.899999999999999" customHeight="1">
      <c r="AA6296"/>
    </row>
    <row r="6297" spans="27:27" ht="17.899999999999999" customHeight="1">
      <c r="AA6297"/>
    </row>
    <row r="6298" spans="27:27" ht="17.899999999999999" customHeight="1">
      <c r="AA6298"/>
    </row>
    <row r="6299" spans="27:27" ht="17.899999999999999" customHeight="1">
      <c r="AA6299"/>
    </row>
    <row r="6300" spans="27:27" ht="17.899999999999999" customHeight="1">
      <c r="AA6300"/>
    </row>
    <row r="6301" spans="27:27" ht="17.899999999999999" customHeight="1">
      <c r="AA6301"/>
    </row>
    <row r="6302" spans="27:27" ht="17.899999999999999" customHeight="1">
      <c r="AA6302"/>
    </row>
    <row r="6303" spans="27:27" ht="17.899999999999999" customHeight="1">
      <c r="AA6303"/>
    </row>
    <row r="6304" spans="27:27" ht="17.899999999999999" customHeight="1">
      <c r="AA6304"/>
    </row>
    <row r="6305" spans="27:27" ht="17.899999999999999" customHeight="1">
      <c r="AA6305"/>
    </row>
    <row r="6306" spans="27:27" ht="17.899999999999999" customHeight="1">
      <c r="AA6306"/>
    </row>
    <row r="6307" spans="27:27" ht="17.899999999999999" customHeight="1">
      <c r="AA6307"/>
    </row>
    <row r="6308" spans="27:27" ht="17.899999999999999" customHeight="1">
      <c r="AA6308"/>
    </row>
    <row r="6309" spans="27:27" ht="17.899999999999999" customHeight="1">
      <c r="AA6309"/>
    </row>
    <row r="6310" spans="27:27" ht="17.899999999999999" customHeight="1">
      <c r="AA6310"/>
    </row>
    <row r="6311" spans="27:27" ht="17.899999999999999" customHeight="1">
      <c r="AA6311"/>
    </row>
    <row r="6312" spans="27:27" ht="17.899999999999999" customHeight="1">
      <c r="AA6312"/>
    </row>
    <row r="6313" spans="27:27" ht="17.899999999999999" customHeight="1">
      <c r="AA6313"/>
    </row>
    <row r="6314" spans="27:27" ht="17.899999999999999" customHeight="1">
      <c r="AA6314"/>
    </row>
    <row r="6315" spans="27:27" ht="17.899999999999999" customHeight="1">
      <c r="AA6315"/>
    </row>
    <row r="6316" spans="27:27" ht="17.899999999999999" customHeight="1">
      <c r="AA6316"/>
    </row>
    <row r="6317" spans="27:27" ht="17.899999999999999" customHeight="1">
      <c r="AA6317"/>
    </row>
    <row r="6318" spans="27:27" ht="17.899999999999999" customHeight="1">
      <c r="AA6318"/>
    </row>
    <row r="6319" spans="27:27" ht="17.899999999999999" customHeight="1">
      <c r="AA6319"/>
    </row>
    <row r="6320" spans="27:27" ht="17.899999999999999" customHeight="1">
      <c r="AA6320"/>
    </row>
    <row r="6321" spans="27:27" ht="17.899999999999999" customHeight="1">
      <c r="AA6321"/>
    </row>
    <row r="6322" spans="27:27" ht="17.899999999999999" customHeight="1">
      <c r="AA6322"/>
    </row>
    <row r="6323" spans="27:27" ht="17.899999999999999" customHeight="1">
      <c r="AA6323"/>
    </row>
    <row r="6324" spans="27:27" ht="17.899999999999999" customHeight="1">
      <c r="AA6324"/>
    </row>
    <row r="6325" spans="27:27" ht="17.899999999999999" customHeight="1">
      <c r="AA6325"/>
    </row>
    <row r="6326" spans="27:27" ht="17.899999999999999" customHeight="1">
      <c r="AA6326"/>
    </row>
    <row r="6327" spans="27:27" ht="17.899999999999999" customHeight="1">
      <c r="AA6327"/>
    </row>
    <row r="6328" spans="27:27" ht="17.899999999999999" customHeight="1">
      <c r="AA6328"/>
    </row>
    <row r="6329" spans="27:27" ht="17.899999999999999" customHeight="1">
      <c r="AA6329"/>
    </row>
    <row r="6330" spans="27:27" ht="17.899999999999999" customHeight="1">
      <c r="AA6330"/>
    </row>
    <row r="6331" spans="27:27" ht="17.899999999999999" customHeight="1">
      <c r="AA6331"/>
    </row>
    <row r="6332" spans="27:27" ht="17.899999999999999" customHeight="1">
      <c r="AA6332"/>
    </row>
    <row r="6333" spans="27:27" ht="17.899999999999999" customHeight="1">
      <c r="AA6333"/>
    </row>
    <row r="6334" spans="27:27" ht="17.899999999999999" customHeight="1">
      <c r="AA6334"/>
    </row>
    <row r="6335" spans="27:27" ht="17.899999999999999" customHeight="1">
      <c r="AA6335"/>
    </row>
    <row r="6336" spans="27:27" ht="17.899999999999999" customHeight="1">
      <c r="AA6336"/>
    </row>
    <row r="6337" spans="27:27" ht="17.899999999999999" customHeight="1">
      <c r="AA6337"/>
    </row>
    <row r="6338" spans="27:27" ht="17.899999999999999" customHeight="1">
      <c r="AA6338"/>
    </row>
    <row r="6339" spans="27:27" ht="17.899999999999999" customHeight="1">
      <c r="AA6339"/>
    </row>
    <row r="6340" spans="27:27" ht="17.899999999999999" customHeight="1">
      <c r="AA6340"/>
    </row>
    <row r="6341" spans="27:27" ht="17.899999999999999" customHeight="1">
      <c r="AA6341"/>
    </row>
    <row r="6342" spans="27:27" ht="17.899999999999999" customHeight="1">
      <c r="AA6342"/>
    </row>
    <row r="6343" spans="27:27" ht="17.899999999999999" customHeight="1">
      <c r="AA6343"/>
    </row>
    <row r="6344" spans="27:27" ht="17.899999999999999" customHeight="1">
      <c r="AA6344"/>
    </row>
    <row r="6345" spans="27:27" ht="17.899999999999999" customHeight="1">
      <c r="AA6345"/>
    </row>
    <row r="6346" spans="27:27" ht="17.899999999999999" customHeight="1">
      <c r="AA6346"/>
    </row>
    <row r="6347" spans="27:27" ht="17.899999999999999" customHeight="1">
      <c r="AA6347"/>
    </row>
    <row r="6348" spans="27:27" ht="17.899999999999999" customHeight="1">
      <c r="AA6348"/>
    </row>
    <row r="6349" spans="27:27" ht="17.899999999999999" customHeight="1">
      <c r="AA6349"/>
    </row>
    <row r="6350" spans="27:27" ht="17.899999999999999" customHeight="1">
      <c r="AA6350"/>
    </row>
    <row r="6351" spans="27:27" ht="17.899999999999999" customHeight="1">
      <c r="AA6351"/>
    </row>
    <row r="6352" spans="27:27" ht="17.899999999999999" customHeight="1">
      <c r="AA6352"/>
    </row>
    <row r="6353" spans="27:27" ht="17.899999999999999" customHeight="1">
      <c r="AA6353"/>
    </row>
    <row r="6354" spans="27:27" ht="17.899999999999999" customHeight="1">
      <c r="AA6354"/>
    </row>
    <row r="6355" spans="27:27" ht="17.899999999999999" customHeight="1">
      <c r="AA6355"/>
    </row>
    <row r="6356" spans="27:27" ht="17.899999999999999" customHeight="1">
      <c r="AA6356"/>
    </row>
    <row r="6357" spans="27:27" ht="17.899999999999999" customHeight="1">
      <c r="AA6357"/>
    </row>
    <row r="6358" spans="27:27" ht="17.899999999999999" customHeight="1">
      <c r="AA6358"/>
    </row>
    <row r="6359" spans="27:27" ht="17.899999999999999" customHeight="1">
      <c r="AA6359"/>
    </row>
    <row r="6360" spans="27:27" ht="17.899999999999999" customHeight="1">
      <c r="AA6360"/>
    </row>
    <row r="6361" spans="27:27" ht="17.899999999999999" customHeight="1">
      <c r="AA6361"/>
    </row>
    <row r="6362" spans="27:27" ht="17.899999999999999" customHeight="1">
      <c r="AA6362"/>
    </row>
    <row r="6363" spans="27:27" ht="17.899999999999999" customHeight="1">
      <c r="AA6363"/>
    </row>
    <row r="6364" spans="27:27" ht="17.899999999999999" customHeight="1">
      <c r="AA6364"/>
    </row>
    <row r="6365" spans="27:27" ht="17.899999999999999" customHeight="1">
      <c r="AA6365"/>
    </row>
    <row r="6366" spans="27:27" ht="17.899999999999999" customHeight="1">
      <c r="AA6366"/>
    </row>
    <row r="6367" spans="27:27" ht="17.899999999999999" customHeight="1">
      <c r="AA6367"/>
    </row>
    <row r="6368" spans="27:27" ht="17.899999999999999" customHeight="1">
      <c r="AA6368"/>
    </row>
    <row r="6369" spans="27:27" ht="17.899999999999999" customHeight="1">
      <c r="AA6369"/>
    </row>
    <row r="6370" spans="27:27" ht="17.899999999999999" customHeight="1">
      <c r="AA6370"/>
    </row>
    <row r="6371" spans="27:27" ht="17.899999999999999" customHeight="1">
      <c r="AA6371"/>
    </row>
    <row r="6372" spans="27:27" ht="17.899999999999999" customHeight="1">
      <c r="AA6372"/>
    </row>
    <row r="6373" spans="27:27" ht="17.899999999999999" customHeight="1">
      <c r="AA6373"/>
    </row>
    <row r="6374" spans="27:27" ht="17.899999999999999" customHeight="1">
      <c r="AA6374"/>
    </row>
    <row r="6375" spans="27:27" ht="17.899999999999999" customHeight="1">
      <c r="AA6375"/>
    </row>
    <row r="6376" spans="27:27" ht="17.899999999999999" customHeight="1">
      <c r="AA6376"/>
    </row>
    <row r="6377" spans="27:27" ht="17.899999999999999" customHeight="1">
      <c r="AA6377"/>
    </row>
    <row r="6378" spans="27:27" ht="17.899999999999999" customHeight="1">
      <c r="AA6378"/>
    </row>
    <row r="6379" spans="27:27" ht="17.899999999999999" customHeight="1">
      <c r="AA6379"/>
    </row>
    <row r="6380" spans="27:27" ht="17.899999999999999" customHeight="1">
      <c r="AA6380"/>
    </row>
    <row r="6381" spans="27:27" ht="17.899999999999999" customHeight="1">
      <c r="AA6381"/>
    </row>
    <row r="6382" spans="27:27" ht="17.899999999999999" customHeight="1">
      <c r="AA6382"/>
    </row>
    <row r="6383" spans="27:27" ht="17.899999999999999" customHeight="1">
      <c r="AA6383"/>
    </row>
    <row r="6384" spans="27:27" ht="17.899999999999999" customHeight="1">
      <c r="AA6384"/>
    </row>
    <row r="6385" spans="27:27" ht="17.899999999999999" customHeight="1">
      <c r="AA6385"/>
    </row>
    <row r="6386" spans="27:27" ht="17.899999999999999" customHeight="1">
      <c r="AA6386"/>
    </row>
    <row r="6387" spans="27:27" ht="17.899999999999999" customHeight="1">
      <c r="AA6387"/>
    </row>
    <row r="6388" spans="27:27" ht="17.899999999999999" customHeight="1">
      <c r="AA6388"/>
    </row>
    <row r="6389" spans="27:27" ht="17.899999999999999" customHeight="1">
      <c r="AA6389"/>
    </row>
    <row r="6390" spans="27:27" ht="17.899999999999999" customHeight="1">
      <c r="AA6390"/>
    </row>
    <row r="6391" spans="27:27" ht="17.899999999999999" customHeight="1">
      <c r="AA6391"/>
    </row>
    <row r="6392" spans="27:27" ht="17.899999999999999" customHeight="1">
      <c r="AA6392"/>
    </row>
    <row r="6393" spans="27:27" ht="17.899999999999999" customHeight="1">
      <c r="AA6393"/>
    </row>
    <row r="6394" spans="27:27" ht="17.899999999999999" customHeight="1">
      <c r="AA6394"/>
    </row>
    <row r="6395" spans="27:27" ht="17.899999999999999" customHeight="1">
      <c r="AA6395"/>
    </row>
    <row r="6396" spans="27:27" ht="17.899999999999999" customHeight="1">
      <c r="AA6396"/>
    </row>
    <row r="6397" spans="27:27" ht="17.899999999999999" customHeight="1">
      <c r="AA6397"/>
    </row>
    <row r="6398" spans="27:27" ht="17.899999999999999" customHeight="1">
      <c r="AA6398"/>
    </row>
    <row r="6399" spans="27:27" ht="17.899999999999999" customHeight="1">
      <c r="AA6399"/>
    </row>
    <row r="6400" spans="27:27" ht="17.899999999999999" customHeight="1">
      <c r="AA6400"/>
    </row>
    <row r="6401" spans="27:27" ht="17.899999999999999" customHeight="1">
      <c r="AA6401"/>
    </row>
    <row r="6402" spans="27:27" ht="17.899999999999999" customHeight="1">
      <c r="AA6402"/>
    </row>
    <row r="6403" spans="27:27" ht="17.899999999999999" customHeight="1">
      <c r="AA6403"/>
    </row>
    <row r="6404" spans="27:27" ht="17.899999999999999" customHeight="1">
      <c r="AA6404"/>
    </row>
    <row r="6405" spans="27:27" ht="17.899999999999999" customHeight="1">
      <c r="AA6405"/>
    </row>
    <row r="6406" spans="27:27" ht="17.899999999999999" customHeight="1">
      <c r="AA6406"/>
    </row>
    <row r="6407" spans="27:27" ht="17.899999999999999" customHeight="1">
      <c r="AA6407"/>
    </row>
    <row r="6408" spans="27:27" ht="17.899999999999999" customHeight="1">
      <c r="AA6408"/>
    </row>
    <row r="6409" spans="27:27" ht="17.899999999999999" customHeight="1">
      <c r="AA6409"/>
    </row>
    <row r="6410" spans="27:27" ht="17.899999999999999" customHeight="1">
      <c r="AA6410"/>
    </row>
    <row r="6411" spans="27:27" ht="17.899999999999999" customHeight="1">
      <c r="AA6411"/>
    </row>
    <row r="6412" spans="27:27" ht="17.899999999999999" customHeight="1">
      <c r="AA6412"/>
    </row>
    <row r="6413" spans="27:27" ht="17.899999999999999" customHeight="1">
      <c r="AA6413"/>
    </row>
    <row r="6414" spans="27:27" ht="17.899999999999999" customHeight="1">
      <c r="AA6414"/>
    </row>
    <row r="6415" spans="27:27" ht="17.899999999999999" customHeight="1">
      <c r="AA6415"/>
    </row>
    <row r="6416" spans="27:27" ht="17.899999999999999" customHeight="1">
      <c r="AA6416"/>
    </row>
    <row r="6417" spans="27:27" ht="17.899999999999999" customHeight="1">
      <c r="AA6417"/>
    </row>
    <row r="6418" spans="27:27" ht="17.899999999999999" customHeight="1">
      <c r="AA6418"/>
    </row>
    <row r="6419" spans="27:27" ht="17.899999999999999" customHeight="1">
      <c r="AA6419"/>
    </row>
    <row r="6420" spans="27:27" ht="17.899999999999999" customHeight="1">
      <c r="AA6420"/>
    </row>
    <row r="6421" spans="27:27" ht="17.899999999999999" customHeight="1">
      <c r="AA6421"/>
    </row>
    <row r="6422" spans="27:27" ht="17.899999999999999" customHeight="1">
      <c r="AA6422"/>
    </row>
    <row r="6423" spans="27:27" ht="17.899999999999999" customHeight="1">
      <c r="AA6423"/>
    </row>
    <row r="6424" spans="27:27" ht="17.899999999999999" customHeight="1">
      <c r="AA6424"/>
    </row>
    <row r="6425" spans="27:27" ht="17.899999999999999" customHeight="1">
      <c r="AA6425"/>
    </row>
    <row r="6426" spans="27:27" ht="17.899999999999999" customHeight="1">
      <c r="AA6426"/>
    </row>
    <row r="6427" spans="27:27" ht="17.899999999999999" customHeight="1">
      <c r="AA6427"/>
    </row>
    <row r="6428" spans="27:27" ht="17.899999999999999" customHeight="1">
      <c r="AA6428"/>
    </row>
    <row r="6429" spans="27:27" ht="17.899999999999999" customHeight="1">
      <c r="AA6429"/>
    </row>
    <row r="6430" spans="27:27" ht="17.899999999999999" customHeight="1">
      <c r="AA6430"/>
    </row>
    <row r="6431" spans="27:27" ht="17.899999999999999" customHeight="1">
      <c r="AA6431"/>
    </row>
    <row r="6432" spans="27:27" ht="17.899999999999999" customHeight="1">
      <c r="AA6432"/>
    </row>
    <row r="6433" spans="27:27" ht="17.899999999999999" customHeight="1">
      <c r="AA6433"/>
    </row>
    <row r="6434" spans="27:27" ht="17.899999999999999" customHeight="1">
      <c r="AA6434"/>
    </row>
    <row r="6435" spans="27:27" ht="17.899999999999999" customHeight="1">
      <c r="AA6435"/>
    </row>
    <row r="6436" spans="27:27" ht="17.899999999999999" customHeight="1">
      <c r="AA6436"/>
    </row>
    <row r="6437" spans="27:27" ht="17.899999999999999" customHeight="1">
      <c r="AA6437"/>
    </row>
    <row r="6438" spans="27:27" ht="17.899999999999999" customHeight="1">
      <c r="AA6438"/>
    </row>
    <row r="6439" spans="27:27" ht="17.899999999999999" customHeight="1">
      <c r="AA6439"/>
    </row>
    <row r="6440" spans="27:27" ht="17.899999999999999" customHeight="1">
      <c r="AA6440"/>
    </row>
    <row r="6441" spans="27:27" ht="17.899999999999999" customHeight="1">
      <c r="AA6441"/>
    </row>
    <row r="6442" spans="27:27" ht="17.899999999999999" customHeight="1">
      <c r="AA6442"/>
    </row>
    <row r="6443" spans="27:27" ht="17.899999999999999" customHeight="1">
      <c r="AA6443"/>
    </row>
    <row r="6444" spans="27:27" ht="17.899999999999999" customHeight="1">
      <c r="AA6444"/>
    </row>
    <row r="6445" spans="27:27" ht="17.899999999999999" customHeight="1">
      <c r="AA6445"/>
    </row>
    <row r="6446" spans="27:27" ht="17.899999999999999" customHeight="1">
      <c r="AA6446"/>
    </row>
    <row r="6447" spans="27:27" ht="17.899999999999999" customHeight="1">
      <c r="AA6447"/>
    </row>
    <row r="6448" spans="27:27" ht="17.899999999999999" customHeight="1">
      <c r="AA6448"/>
    </row>
    <row r="6449" spans="27:27" ht="17.899999999999999" customHeight="1">
      <c r="AA6449"/>
    </row>
    <row r="6450" spans="27:27" ht="17.899999999999999" customHeight="1">
      <c r="AA6450"/>
    </row>
    <row r="6451" spans="27:27" ht="17.899999999999999" customHeight="1">
      <c r="AA6451"/>
    </row>
    <row r="6452" spans="27:27" ht="17.899999999999999" customHeight="1">
      <c r="AA6452"/>
    </row>
    <row r="6453" spans="27:27" ht="17.899999999999999" customHeight="1">
      <c r="AA6453"/>
    </row>
    <row r="6454" spans="27:27" ht="17.899999999999999" customHeight="1">
      <c r="AA6454"/>
    </row>
    <row r="6455" spans="27:27" ht="17.899999999999999" customHeight="1">
      <c r="AA6455"/>
    </row>
    <row r="6456" spans="27:27" ht="17.899999999999999" customHeight="1">
      <c r="AA6456"/>
    </row>
    <row r="6457" spans="27:27" ht="17.899999999999999" customHeight="1">
      <c r="AA6457"/>
    </row>
    <row r="6458" spans="27:27" ht="17.899999999999999" customHeight="1">
      <c r="AA6458"/>
    </row>
    <row r="6459" spans="27:27" ht="17.899999999999999" customHeight="1">
      <c r="AA6459"/>
    </row>
    <row r="6460" spans="27:27" ht="17.899999999999999" customHeight="1">
      <c r="AA6460"/>
    </row>
    <row r="6461" spans="27:27" ht="17.899999999999999" customHeight="1">
      <c r="AA6461"/>
    </row>
    <row r="6462" spans="27:27" ht="17.899999999999999" customHeight="1">
      <c r="AA6462"/>
    </row>
    <row r="6463" spans="27:27" ht="17.899999999999999" customHeight="1">
      <c r="AA6463"/>
    </row>
    <row r="6464" spans="27:27" ht="17.899999999999999" customHeight="1">
      <c r="AA6464"/>
    </row>
    <row r="6465" spans="27:27" ht="17.899999999999999" customHeight="1">
      <c r="AA6465"/>
    </row>
    <row r="6466" spans="27:27" ht="17.899999999999999" customHeight="1">
      <c r="AA6466"/>
    </row>
    <row r="6467" spans="27:27" ht="17.899999999999999" customHeight="1">
      <c r="AA6467"/>
    </row>
    <row r="6468" spans="27:27" ht="17.899999999999999" customHeight="1">
      <c r="AA6468"/>
    </row>
    <row r="6469" spans="27:27" ht="17.899999999999999" customHeight="1">
      <c r="AA6469"/>
    </row>
    <row r="6470" spans="27:27" ht="17.899999999999999" customHeight="1">
      <c r="AA6470"/>
    </row>
    <row r="6471" spans="27:27" ht="17.899999999999999" customHeight="1">
      <c r="AA6471"/>
    </row>
    <row r="6472" spans="27:27" ht="17.899999999999999" customHeight="1">
      <c r="AA6472"/>
    </row>
    <row r="6473" spans="27:27" ht="17.899999999999999" customHeight="1">
      <c r="AA6473"/>
    </row>
    <row r="6474" spans="27:27" ht="17.899999999999999" customHeight="1">
      <c r="AA6474"/>
    </row>
    <row r="6475" spans="27:27" ht="17.899999999999999" customHeight="1">
      <c r="AA6475"/>
    </row>
    <row r="6476" spans="27:27" ht="17.899999999999999" customHeight="1">
      <c r="AA6476"/>
    </row>
    <row r="6477" spans="27:27" ht="17.899999999999999" customHeight="1">
      <c r="AA6477"/>
    </row>
    <row r="6478" spans="27:27" ht="17.899999999999999" customHeight="1">
      <c r="AA6478"/>
    </row>
    <row r="6479" spans="27:27" ht="17.899999999999999" customHeight="1">
      <c r="AA6479"/>
    </row>
    <row r="6480" spans="27:27" ht="17.899999999999999" customHeight="1">
      <c r="AA6480"/>
    </row>
    <row r="6481" spans="27:27" ht="17.899999999999999" customHeight="1">
      <c r="AA6481"/>
    </row>
    <row r="6482" spans="27:27" ht="17.899999999999999" customHeight="1">
      <c r="AA6482"/>
    </row>
    <row r="6483" spans="27:27" ht="17.899999999999999" customHeight="1">
      <c r="AA6483"/>
    </row>
    <row r="6484" spans="27:27" ht="17.899999999999999" customHeight="1">
      <c r="AA6484"/>
    </row>
    <row r="6485" spans="27:27" ht="17.899999999999999" customHeight="1">
      <c r="AA6485"/>
    </row>
    <row r="6486" spans="27:27" ht="17.899999999999999" customHeight="1">
      <c r="AA6486"/>
    </row>
    <row r="6487" spans="27:27" ht="17.899999999999999" customHeight="1">
      <c r="AA6487"/>
    </row>
    <row r="6488" spans="27:27" ht="17.899999999999999" customHeight="1">
      <c r="AA6488"/>
    </row>
    <row r="6489" spans="27:27" ht="17.899999999999999" customHeight="1">
      <c r="AA6489"/>
    </row>
    <row r="6490" spans="27:27" ht="17.899999999999999" customHeight="1">
      <c r="AA6490"/>
    </row>
    <row r="6491" spans="27:27" ht="17.899999999999999" customHeight="1">
      <c r="AA6491"/>
    </row>
    <row r="6492" spans="27:27" ht="17.899999999999999" customHeight="1">
      <c r="AA6492"/>
    </row>
    <row r="6493" spans="27:27" ht="17.899999999999999" customHeight="1">
      <c r="AA6493"/>
    </row>
    <row r="6494" spans="27:27" ht="17.899999999999999" customHeight="1">
      <c r="AA6494"/>
    </row>
    <row r="6495" spans="27:27" ht="17.899999999999999" customHeight="1">
      <c r="AA6495"/>
    </row>
    <row r="6496" spans="27:27" ht="17.899999999999999" customHeight="1">
      <c r="AA6496"/>
    </row>
    <row r="6497" spans="27:27" ht="17.899999999999999" customHeight="1">
      <c r="AA6497"/>
    </row>
    <row r="6498" spans="27:27" ht="17.899999999999999" customHeight="1">
      <c r="AA6498"/>
    </row>
    <row r="6499" spans="27:27" ht="17.899999999999999" customHeight="1">
      <c r="AA6499"/>
    </row>
    <row r="6500" spans="27:27" ht="17.899999999999999" customHeight="1">
      <c r="AA6500"/>
    </row>
    <row r="6501" spans="27:27" ht="17.899999999999999" customHeight="1">
      <c r="AA6501"/>
    </row>
    <row r="6502" spans="27:27" ht="17.899999999999999" customHeight="1">
      <c r="AA6502"/>
    </row>
    <row r="6503" spans="27:27" ht="17.899999999999999" customHeight="1">
      <c r="AA6503"/>
    </row>
    <row r="6504" spans="27:27" ht="17.899999999999999" customHeight="1">
      <c r="AA6504"/>
    </row>
    <row r="6505" spans="27:27" ht="17.899999999999999" customHeight="1">
      <c r="AA6505"/>
    </row>
    <row r="6506" spans="27:27" ht="17.899999999999999" customHeight="1">
      <c r="AA6506"/>
    </row>
    <row r="6507" spans="27:27" ht="17.899999999999999" customHeight="1">
      <c r="AA6507"/>
    </row>
    <row r="6508" spans="27:27" ht="17.899999999999999" customHeight="1">
      <c r="AA6508"/>
    </row>
    <row r="6509" spans="27:27" ht="17.899999999999999" customHeight="1">
      <c r="AA6509"/>
    </row>
    <row r="6510" spans="27:27" ht="17.899999999999999" customHeight="1">
      <c r="AA6510"/>
    </row>
    <row r="6511" spans="27:27" ht="17.899999999999999" customHeight="1">
      <c r="AA6511"/>
    </row>
    <row r="6512" spans="27:27" ht="17.899999999999999" customHeight="1">
      <c r="AA6512"/>
    </row>
    <row r="6513" spans="27:27" ht="17.899999999999999" customHeight="1">
      <c r="AA6513"/>
    </row>
    <row r="6514" spans="27:27" ht="17.899999999999999" customHeight="1">
      <c r="AA6514"/>
    </row>
    <row r="6515" spans="27:27" ht="17.899999999999999" customHeight="1">
      <c r="AA6515"/>
    </row>
    <row r="6516" spans="27:27" ht="17.899999999999999" customHeight="1">
      <c r="AA6516"/>
    </row>
    <row r="6517" spans="27:27" ht="17.899999999999999" customHeight="1">
      <c r="AA6517"/>
    </row>
    <row r="6518" spans="27:27" ht="17.899999999999999" customHeight="1">
      <c r="AA6518"/>
    </row>
    <row r="6519" spans="27:27" ht="17.899999999999999" customHeight="1">
      <c r="AA6519"/>
    </row>
    <row r="6520" spans="27:27" ht="17.899999999999999" customHeight="1">
      <c r="AA6520"/>
    </row>
    <row r="6521" spans="27:27" ht="17.899999999999999" customHeight="1">
      <c r="AA6521"/>
    </row>
    <row r="6522" spans="27:27" ht="17.899999999999999" customHeight="1">
      <c r="AA6522"/>
    </row>
    <row r="6523" spans="27:27" ht="17.899999999999999" customHeight="1">
      <c r="AA6523"/>
    </row>
    <row r="6524" spans="27:27" ht="17.899999999999999" customHeight="1">
      <c r="AA6524"/>
    </row>
    <row r="6525" spans="27:27" ht="17.899999999999999" customHeight="1">
      <c r="AA6525"/>
    </row>
    <row r="6526" spans="27:27" ht="17.899999999999999" customHeight="1">
      <c r="AA6526"/>
    </row>
    <row r="6527" spans="27:27" ht="17.899999999999999" customHeight="1">
      <c r="AA6527"/>
    </row>
    <row r="6528" spans="27:27" ht="17.899999999999999" customHeight="1">
      <c r="AA6528"/>
    </row>
    <row r="6529" spans="27:27" ht="17.899999999999999" customHeight="1">
      <c r="AA6529"/>
    </row>
    <row r="6530" spans="27:27" ht="17.899999999999999" customHeight="1">
      <c r="AA6530"/>
    </row>
    <row r="6531" spans="27:27" ht="17.899999999999999" customHeight="1">
      <c r="AA6531"/>
    </row>
    <row r="6532" spans="27:27" ht="17.899999999999999" customHeight="1">
      <c r="AA6532"/>
    </row>
    <row r="6533" spans="27:27" ht="17.899999999999999" customHeight="1">
      <c r="AA6533"/>
    </row>
    <row r="6534" spans="27:27" ht="17.899999999999999" customHeight="1">
      <c r="AA6534"/>
    </row>
    <row r="6535" spans="27:27" ht="17.899999999999999" customHeight="1">
      <c r="AA6535"/>
    </row>
    <row r="6536" spans="27:27" ht="17.899999999999999" customHeight="1">
      <c r="AA6536"/>
    </row>
    <row r="6537" spans="27:27" ht="17.899999999999999" customHeight="1">
      <c r="AA6537"/>
    </row>
    <row r="6538" spans="27:27" ht="17.899999999999999" customHeight="1">
      <c r="AA6538"/>
    </row>
    <row r="6539" spans="27:27" ht="17.899999999999999" customHeight="1">
      <c r="AA6539"/>
    </row>
    <row r="6540" spans="27:27" ht="17.899999999999999" customHeight="1">
      <c r="AA6540"/>
    </row>
    <row r="6541" spans="27:27" ht="17.899999999999999" customHeight="1">
      <c r="AA6541"/>
    </row>
    <row r="6542" spans="27:27" ht="17.899999999999999" customHeight="1">
      <c r="AA6542"/>
    </row>
    <row r="6543" spans="27:27" ht="17.899999999999999" customHeight="1">
      <c r="AA6543"/>
    </row>
    <row r="6544" spans="27:27" ht="17.899999999999999" customHeight="1">
      <c r="AA6544"/>
    </row>
    <row r="6545" spans="27:27" ht="17.899999999999999" customHeight="1">
      <c r="AA6545"/>
    </row>
    <row r="6546" spans="27:27" ht="17.899999999999999" customHeight="1">
      <c r="AA6546"/>
    </row>
    <row r="6547" spans="27:27" ht="17.899999999999999" customHeight="1">
      <c r="AA6547"/>
    </row>
    <row r="6548" spans="27:27" ht="17.899999999999999" customHeight="1">
      <c r="AA6548"/>
    </row>
    <row r="6549" spans="27:27" ht="17.899999999999999" customHeight="1">
      <c r="AA6549"/>
    </row>
    <row r="6550" spans="27:27" ht="17.899999999999999" customHeight="1">
      <c r="AA6550"/>
    </row>
    <row r="6551" spans="27:27" ht="17.899999999999999" customHeight="1">
      <c r="AA6551"/>
    </row>
    <row r="6552" spans="27:27" ht="17.899999999999999" customHeight="1">
      <c r="AA6552"/>
    </row>
    <row r="6553" spans="27:27" ht="17.899999999999999" customHeight="1">
      <c r="AA6553"/>
    </row>
    <row r="6554" spans="27:27" ht="17.899999999999999" customHeight="1">
      <c r="AA6554"/>
    </row>
    <row r="6555" spans="27:27" ht="17.899999999999999" customHeight="1">
      <c r="AA6555"/>
    </row>
    <row r="6556" spans="27:27" ht="17.899999999999999" customHeight="1">
      <c r="AA6556"/>
    </row>
    <row r="6557" spans="27:27" ht="17.899999999999999" customHeight="1">
      <c r="AA6557"/>
    </row>
    <row r="6558" spans="27:27" ht="17.899999999999999" customHeight="1">
      <c r="AA6558"/>
    </row>
    <row r="6559" spans="27:27" ht="17.899999999999999" customHeight="1">
      <c r="AA6559"/>
    </row>
    <row r="6560" spans="27:27" ht="17.899999999999999" customHeight="1">
      <c r="AA6560"/>
    </row>
    <row r="6561" spans="27:27" ht="17.899999999999999" customHeight="1">
      <c r="AA6561"/>
    </row>
    <row r="6562" spans="27:27" ht="17.899999999999999" customHeight="1">
      <c r="AA6562"/>
    </row>
    <row r="6563" spans="27:27" ht="17.899999999999999" customHeight="1">
      <c r="AA6563"/>
    </row>
    <row r="6564" spans="27:27" ht="17.899999999999999" customHeight="1">
      <c r="AA6564"/>
    </row>
    <row r="6565" spans="27:27" ht="17.899999999999999" customHeight="1">
      <c r="AA6565"/>
    </row>
    <row r="6566" spans="27:27" ht="17.899999999999999" customHeight="1">
      <c r="AA6566"/>
    </row>
    <row r="6567" spans="27:27" ht="17.899999999999999" customHeight="1">
      <c r="AA6567"/>
    </row>
    <row r="6568" spans="27:27" ht="17.899999999999999" customHeight="1">
      <c r="AA6568"/>
    </row>
    <row r="6569" spans="27:27" ht="17.899999999999999" customHeight="1">
      <c r="AA6569"/>
    </row>
    <row r="6570" spans="27:27" ht="17.899999999999999" customHeight="1">
      <c r="AA6570"/>
    </row>
    <row r="6571" spans="27:27" ht="17.899999999999999" customHeight="1">
      <c r="AA6571"/>
    </row>
    <row r="6572" spans="27:27" ht="17.899999999999999" customHeight="1">
      <c r="AA6572"/>
    </row>
    <row r="6573" spans="27:27" ht="17.899999999999999" customHeight="1">
      <c r="AA6573"/>
    </row>
    <row r="6574" spans="27:27" ht="17.899999999999999" customHeight="1">
      <c r="AA6574"/>
    </row>
    <row r="6575" spans="27:27" ht="17.899999999999999" customHeight="1">
      <c r="AA6575"/>
    </row>
    <row r="6576" spans="27:27" ht="17.899999999999999" customHeight="1">
      <c r="AA6576"/>
    </row>
    <row r="6577" spans="27:27" ht="17.899999999999999" customHeight="1">
      <c r="AA6577"/>
    </row>
    <row r="6578" spans="27:27" ht="17.899999999999999" customHeight="1">
      <c r="AA6578"/>
    </row>
    <row r="6579" spans="27:27" ht="17.899999999999999" customHeight="1">
      <c r="AA6579"/>
    </row>
    <row r="6580" spans="27:27" ht="17.899999999999999" customHeight="1">
      <c r="AA6580"/>
    </row>
    <row r="6581" spans="27:27" ht="17.899999999999999" customHeight="1">
      <c r="AA6581"/>
    </row>
    <row r="6582" spans="27:27" ht="17.899999999999999" customHeight="1">
      <c r="AA6582"/>
    </row>
    <row r="6583" spans="27:27" ht="17.899999999999999" customHeight="1">
      <c r="AA6583"/>
    </row>
    <row r="6584" spans="27:27" ht="17.899999999999999" customHeight="1">
      <c r="AA6584"/>
    </row>
    <row r="6585" spans="27:27" ht="17.899999999999999" customHeight="1">
      <c r="AA6585"/>
    </row>
    <row r="6586" spans="27:27" ht="17.899999999999999" customHeight="1">
      <c r="AA6586"/>
    </row>
    <row r="6587" spans="27:27" ht="17.899999999999999" customHeight="1">
      <c r="AA6587"/>
    </row>
    <row r="6588" spans="27:27" ht="17.899999999999999" customHeight="1">
      <c r="AA6588"/>
    </row>
    <row r="6589" spans="27:27" ht="17.899999999999999" customHeight="1">
      <c r="AA6589"/>
    </row>
    <row r="6590" spans="27:27" ht="17.899999999999999" customHeight="1">
      <c r="AA6590"/>
    </row>
    <row r="6591" spans="27:27" ht="17.899999999999999" customHeight="1">
      <c r="AA6591"/>
    </row>
    <row r="6592" spans="27:27" ht="17.899999999999999" customHeight="1">
      <c r="AA6592"/>
    </row>
    <row r="6593" spans="27:27" ht="17.899999999999999" customHeight="1">
      <c r="AA6593"/>
    </row>
    <row r="6594" spans="27:27" ht="17.899999999999999" customHeight="1">
      <c r="AA6594"/>
    </row>
    <row r="6595" spans="27:27" ht="17.899999999999999" customHeight="1">
      <c r="AA6595"/>
    </row>
    <row r="6596" spans="27:27" ht="17.899999999999999" customHeight="1">
      <c r="AA6596"/>
    </row>
    <row r="6597" spans="27:27" ht="17.899999999999999" customHeight="1">
      <c r="AA6597"/>
    </row>
    <row r="6598" spans="27:27" ht="17.899999999999999" customHeight="1">
      <c r="AA6598"/>
    </row>
    <row r="6599" spans="27:27" ht="17.899999999999999" customHeight="1">
      <c r="AA6599"/>
    </row>
    <row r="6600" spans="27:27" ht="17.899999999999999" customHeight="1">
      <c r="AA6600"/>
    </row>
    <row r="6601" spans="27:27" ht="17.899999999999999" customHeight="1">
      <c r="AA6601"/>
    </row>
    <row r="6602" spans="27:27" ht="17.899999999999999" customHeight="1">
      <c r="AA6602"/>
    </row>
    <row r="6603" spans="27:27" ht="17.899999999999999" customHeight="1">
      <c r="AA6603"/>
    </row>
    <row r="6604" spans="27:27" ht="17.899999999999999" customHeight="1">
      <c r="AA6604"/>
    </row>
    <row r="6605" spans="27:27" ht="17.899999999999999" customHeight="1">
      <c r="AA6605"/>
    </row>
    <row r="6606" spans="27:27" ht="17.899999999999999" customHeight="1">
      <c r="AA6606"/>
    </row>
    <row r="6607" spans="27:27" ht="17.899999999999999" customHeight="1">
      <c r="AA6607"/>
    </row>
    <row r="6608" spans="27:27" ht="17.899999999999999" customHeight="1">
      <c r="AA6608"/>
    </row>
    <row r="6609" spans="27:27" ht="17.899999999999999" customHeight="1">
      <c r="AA6609"/>
    </row>
    <row r="6610" spans="27:27" ht="17.899999999999999" customHeight="1">
      <c r="AA6610"/>
    </row>
    <row r="6611" spans="27:27" ht="17.899999999999999" customHeight="1">
      <c r="AA6611"/>
    </row>
    <row r="6612" spans="27:27" ht="17.899999999999999" customHeight="1">
      <c r="AA6612"/>
    </row>
    <row r="6613" spans="27:27" ht="17.899999999999999" customHeight="1">
      <c r="AA6613"/>
    </row>
    <row r="6614" spans="27:27" ht="17.899999999999999" customHeight="1">
      <c r="AA6614"/>
    </row>
    <row r="6615" spans="27:27" ht="17.899999999999999" customHeight="1">
      <c r="AA6615"/>
    </row>
    <row r="6616" spans="27:27" ht="17.899999999999999" customHeight="1">
      <c r="AA6616"/>
    </row>
    <row r="6617" spans="27:27" ht="17.899999999999999" customHeight="1">
      <c r="AA6617"/>
    </row>
    <row r="6618" spans="27:27" ht="17.899999999999999" customHeight="1">
      <c r="AA6618"/>
    </row>
    <row r="6619" spans="27:27" ht="17.899999999999999" customHeight="1">
      <c r="AA6619"/>
    </row>
    <row r="6620" spans="27:27" ht="17.899999999999999" customHeight="1">
      <c r="AA6620"/>
    </row>
    <row r="6621" spans="27:27" ht="17.899999999999999" customHeight="1">
      <c r="AA6621"/>
    </row>
    <row r="6622" spans="27:27" ht="17.899999999999999" customHeight="1">
      <c r="AA6622"/>
    </row>
    <row r="6623" spans="27:27" ht="17.899999999999999" customHeight="1">
      <c r="AA6623"/>
    </row>
    <row r="6624" spans="27:27" ht="17.899999999999999" customHeight="1">
      <c r="AA6624"/>
    </row>
    <row r="6625" spans="27:27" ht="17.899999999999999" customHeight="1">
      <c r="AA6625"/>
    </row>
    <row r="6626" spans="27:27" ht="17.899999999999999" customHeight="1">
      <c r="AA6626"/>
    </row>
    <row r="6627" spans="27:27" ht="17.899999999999999" customHeight="1">
      <c r="AA6627"/>
    </row>
    <row r="6628" spans="27:27" ht="17.899999999999999" customHeight="1">
      <c r="AA6628"/>
    </row>
    <row r="6629" spans="27:27" ht="17.899999999999999" customHeight="1">
      <c r="AA6629"/>
    </row>
    <row r="6630" spans="27:27" ht="17.899999999999999" customHeight="1">
      <c r="AA6630"/>
    </row>
    <row r="6631" spans="27:27" ht="17.899999999999999" customHeight="1">
      <c r="AA6631"/>
    </row>
    <row r="6632" spans="27:27" ht="17.899999999999999" customHeight="1">
      <c r="AA6632"/>
    </row>
    <row r="6633" spans="27:27" ht="17.899999999999999" customHeight="1">
      <c r="AA6633"/>
    </row>
    <row r="6634" spans="27:27" ht="17.899999999999999" customHeight="1">
      <c r="AA6634"/>
    </row>
    <row r="6635" spans="27:27" ht="17.899999999999999" customHeight="1">
      <c r="AA6635"/>
    </row>
    <row r="6636" spans="27:27" ht="17.899999999999999" customHeight="1">
      <c r="AA6636"/>
    </row>
    <row r="6637" spans="27:27" ht="17.899999999999999" customHeight="1">
      <c r="AA6637"/>
    </row>
    <row r="6638" spans="27:27" ht="17.899999999999999" customHeight="1">
      <c r="AA6638"/>
    </row>
    <row r="6639" spans="27:27" ht="17.899999999999999" customHeight="1">
      <c r="AA6639"/>
    </row>
    <row r="6640" spans="27:27" ht="17.899999999999999" customHeight="1">
      <c r="AA6640"/>
    </row>
    <row r="6641" spans="27:27" ht="17.899999999999999" customHeight="1">
      <c r="AA6641"/>
    </row>
    <row r="6642" spans="27:27" ht="17.899999999999999" customHeight="1">
      <c r="AA6642"/>
    </row>
    <row r="6643" spans="27:27" ht="17.899999999999999" customHeight="1">
      <c r="AA6643"/>
    </row>
    <row r="6644" spans="27:27" ht="17.899999999999999" customHeight="1">
      <c r="AA6644"/>
    </row>
    <row r="6645" spans="27:27" ht="17.899999999999999" customHeight="1">
      <c r="AA6645"/>
    </row>
    <row r="6646" spans="27:27" ht="17.899999999999999" customHeight="1">
      <c r="AA6646"/>
    </row>
    <row r="6647" spans="27:27" ht="17.899999999999999" customHeight="1">
      <c r="AA6647"/>
    </row>
    <row r="6648" spans="27:27" ht="17.899999999999999" customHeight="1">
      <c r="AA6648"/>
    </row>
    <row r="6649" spans="27:27" ht="17.899999999999999" customHeight="1">
      <c r="AA6649"/>
    </row>
    <row r="6650" spans="27:27" ht="17.899999999999999" customHeight="1">
      <c r="AA6650"/>
    </row>
    <row r="6651" spans="27:27" ht="17.899999999999999" customHeight="1">
      <c r="AA6651"/>
    </row>
    <row r="6652" spans="27:27" ht="17.899999999999999" customHeight="1">
      <c r="AA6652"/>
    </row>
    <row r="6653" spans="27:27" ht="17.899999999999999" customHeight="1">
      <c r="AA6653"/>
    </row>
    <row r="6654" spans="27:27" ht="17.899999999999999" customHeight="1">
      <c r="AA6654"/>
    </row>
    <row r="6655" spans="27:27" ht="17.899999999999999" customHeight="1">
      <c r="AA6655"/>
    </row>
    <row r="6656" spans="27:27" ht="17.899999999999999" customHeight="1">
      <c r="AA6656"/>
    </row>
    <row r="6657" spans="27:27" ht="17.899999999999999" customHeight="1">
      <c r="AA6657"/>
    </row>
    <row r="6658" spans="27:27" ht="17.899999999999999" customHeight="1">
      <c r="AA6658"/>
    </row>
    <row r="6659" spans="27:27" ht="17.899999999999999" customHeight="1">
      <c r="AA6659"/>
    </row>
    <row r="6660" spans="27:27" ht="17.899999999999999" customHeight="1">
      <c r="AA6660"/>
    </row>
    <row r="6661" spans="27:27" ht="17.899999999999999" customHeight="1">
      <c r="AA6661"/>
    </row>
    <row r="6662" spans="27:27" ht="17.899999999999999" customHeight="1">
      <c r="AA6662"/>
    </row>
    <row r="6663" spans="27:27" ht="17.899999999999999" customHeight="1">
      <c r="AA6663"/>
    </row>
    <row r="6664" spans="27:27" ht="17.899999999999999" customHeight="1">
      <c r="AA6664"/>
    </row>
    <row r="6665" spans="27:27" ht="17.899999999999999" customHeight="1">
      <c r="AA6665"/>
    </row>
    <row r="6666" spans="27:27" ht="17.899999999999999" customHeight="1">
      <c r="AA6666"/>
    </row>
    <row r="6667" spans="27:27" ht="17.899999999999999" customHeight="1">
      <c r="AA6667"/>
    </row>
    <row r="6668" spans="27:27" ht="17.899999999999999" customHeight="1">
      <c r="AA6668"/>
    </row>
    <row r="6669" spans="27:27" ht="17.899999999999999" customHeight="1">
      <c r="AA6669"/>
    </row>
    <row r="6670" spans="27:27" ht="17.899999999999999" customHeight="1">
      <c r="AA6670"/>
    </row>
    <row r="6671" spans="27:27" ht="17.899999999999999" customHeight="1">
      <c r="AA6671"/>
    </row>
    <row r="6672" spans="27:27" ht="17.899999999999999" customHeight="1">
      <c r="AA6672"/>
    </row>
    <row r="6673" spans="27:27" ht="17.899999999999999" customHeight="1">
      <c r="AA6673"/>
    </row>
    <row r="6674" spans="27:27" ht="17.899999999999999" customHeight="1">
      <c r="AA6674"/>
    </row>
    <row r="6675" spans="27:27" ht="17.899999999999999" customHeight="1">
      <c r="AA6675"/>
    </row>
    <row r="6676" spans="27:27" ht="17.899999999999999" customHeight="1">
      <c r="AA6676"/>
    </row>
    <row r="6677" spans="27:27" ht="17.899999999999999" customHeight="1">
      <c r="AA6677"/>
    </row>
    <row r="6678" spans="27:27" ht="17.899999999999999" customHeight="1">
      <c r="AA6678"/>
    </row>
    <row r="6679" spans="27:27" ht="17.899999999999999" customHeight="1">
      <c r="AA6679"/>
    </row>
    <row r="6680" spans="27:27" ht="17.899999999999999" customHeight="1">
      <c r="AA6680"/>
    </row>
    <row r="6681" spans="27:27" ht="17.899999999999999" customHeight="1">
      <c r="AA6681"/>
    </row>
    <row r="6682" spans="27:27" ht="17.899999999999999" customHeight="1">
      <c r="AA6682"/>
    </row>
    <row r="6683" spans="27:27" ht="17.899999999999999" customHeight="1">
      <c r="AA6683"/>
    </row>
    <row r="6684" spans="27:27" ht="17.899999999999999" customHeight="1">
      <c r="AA6684"/>
    </row>
    <row r="6685" spans="27:27" ht="17.899999999999999" customHeight="1">
      <c r="AA6685"/>
    </row>
    <row r="6686" spans="27:27" ht="17.899999999999999" customHeight="1">
      <c r="AA6686"/>
    </row>
    <row r="6687" spans="27:27" ht="17.899999999999999" customHeight="1">
      <c r="AA6687"/>
    </row>
    <row r="6688" spans="27:27" ht="17.899999999999999" customHeight="1">
      <c r="AA6688"/>
    </row>
    <row r="6689" spans="27:27" ht="17.899999999999999" customHeight="1">
      <c r="AA6689"/>
    </row>
    <row r="6690" spans="27:27" ht="17.899999999999999" customHeight="1">
      <c r="AA6690"/>
    </row>
    <row r="6691" spans="27:27" ht="17.899999999999999" customHeight="1">
      <c r="AA6691"/>
    </row>
    <row r="6692" spans="27:27" ht="17.899999999999999" customHeight="1">
      <c r="AA6692"/>
    </row>
    <row r="6693" spans="27:27" ht="17.899999999999999" customHeight="1">
      <c r="AA6693"/>
    </row>
    <row r="6694" spans="27:27" ht="17.899999999999999" customHeight="1">
      <c r="AA6694"/>
    </row>
    <row r="6695" spans="27:27" ht="17.899999999999999" customHeight="1">
      <c r="AA6695"/>
    </row>
    <row r="6696" spans="27:27" ht="17.899999999999999" customHeight="1">
      <c r="AA6696"/>
    </row>
    <row r="6697" spans="27:27" ht="17.899999999999999" customHeight="1">
      <c r="AA6697"/>
    </row>
    <row r="6698" spans="27:27" ht="17.899999999999999" customHeight="1">
      <c r="AA6698"/>
    </row>
    <row r="6699" spans="27:27" ht="17.899999999999999" customHeight="1">
      <c r="AA6699"/>
    </row>
    <row r="6700" spans="27:27" ht="17.899999999999999" customHeight="1">
      <c r="AA6700"/>
    </row>
    <row r="6701" spans="27:27" ht="17.899999999999999" customHeight="1">
      <c r="AA6701"/>
    </row>
    <row r="6702" spans="27:27" ht="17.899999999999999" customHeight="1">
      <c r="AA6702"/>
    </row>
    <row r="6703" spans="27:27" ht="17.899999999999999" customHeight="1">
      <c r="AA6703"/>
    </row>
    <row r="6704" spans="27:27" ht="17.899999999999999" customHeight="1">
      <c r="AA6704"/>
    </row>
    <row r="6705" spans="27:27" ht="17.899999999999999" customHeight="1">
      <c r="AA6705"/>
    </row>
    <row r="6706" spans="27:27" ht="17.899999999999999" customHeight="1">
      <c r="AA6706"/>
    </row>
    <row r="6707" spans="27:27" ht="17.899999999999999" customHeight="1">
      <c r="AA6707"/>
    </row>
    <row r="6708" spans="27:27" ht="17.899999999999999" customHeight="1">
      <c r="AA6708"/>
    </row>
    <row r="6709" spans="27:27" ht="17.899999999999999" customHeight="1">
      <c r="AA6709"/>
    </row>
    <row r="6710" spans="27:27" ht="17.899999999999999" customHeight="1">
      <c r="AA6710"/>
    </row>
    <row r="6711" spans="27:27" ht="17.899999999999999" customHeight="1">
      <c r="AA6711"/>
    </row>
    <row r="6712" spans="27:27" ht="17.899999999999999" customHeight="1">
      <c r="AA6712"/>
    </row>
    <row r="6713" spans="27:27" ht="17.899999999999999" customHeight="1">
      <c r="AA6713"/>
    </row>
    <row r="6714" spans="27:27" ht="17.899999999999999" customHeight="1">
      <c r="AA6714"/>
    </row>
    <row r="6715" spans="27:27" ht="17.899999999999999" customHeight="1">
      <c r="AA6715"/>
    </row>
    <row r="6716" spans="27:27" ht="17.899999999999999" customHeight="1">
      <c r="AA6716"/>
    </row>
    <row r="6717" spans="27:27" ht="17.899999999999999" customHeight="1">
      <c r="AA6717"/>
    </row>
    <row r="6718" spans="27:27" ht="17.899999999999999" customHeight="1">
      <c r="AA6718"/>
    </row>
    <row r="6719" spans="27:27" ht="17.899999999999999" customHeight="1">
      <c r="AA6719"/>
    </row>
    <row r="6720" spans="27:27" ht="17.899999999999999" customHeight="1">
      <c r="AA6720"/>
    </row>
    <row r="6721" spans="27:27" ht="17.899999999999999" customHeight="1">
      <c r="AA6721"/>
    </row>
    <row r="6722" spans="27:27" ht="17.899999999999999" customHeight="1">
      <c r="AA6722"/>
    </row>
    <row r="6723" spans="27:27" ht="17.899999999999999" customHeight="1">
      <c r="AA6723"/>
    </row>
    <row r="6724" spans="27:27" ht="17.899999999999999" customHeight="1">
      <c r="AA6724"/>
    </row>
    <row r="6725" spans="27:27" ht="17.899999999999999" customHeight="1">
      <c r="AA6725"/>
    </row>
    <row r="6726" spans="27:27" ht="17.899999999999999" customHeight="1">
      <c r="AA6726"/>
    </row>
    <row r="6727" spans="27:27" ht="17.899999999999999" customHeight="1">
      <c r="AA6727"/>
    </row>
    <row r="6728" spans="27:27" ht="17.899999999999999" customHeight="1">
      <c r="AA6728"/>
    </row>
    <row r="6729" spans="27:27" ht="17.899999999999999" customHeight="1">
      <c r="AA6729"/>
    </row>
    <row r="6730" spans="27:27" ht="17.899999999999999" customHeight="1">
      <c r="AA6730"/>
    </row>
    <row r="6731" spans="27:27" ht="17.899999999999999" customHeight="1">
      <c r="AA6731"/>
    </row>
    <row r="6732" spans="27:27" ht="17.899999999999999" customHeight="1">
      <c r="AA6732"/>
    </row>
    <row r="6733" spans="27:27" ht="17.899999999999999" customHeight="1">
      <c r="AA6733"/>
    </row>
    <row r="6734" spans="27:27" ht="17.899999999999999" customHeight="1">
      <c r="AA6734"/>
    </row>
    <row r="6735" spans="27:27" ht="17.899999999999999" customHeight="1">
      <c r="AA6735"/>
    </row>
    <row r="6736" spans="27:27" ht="17.899999999999999" customHeight="1">
      <c r="AA6736"/>
    </row>
    <row r="6737" spans="27:27" ht="17.899999999999999" customHeight="1">
      <c r="AA6737"/>
    </row>
    <row r="6738" spans="27:27" ht="17.899999999999999" customHeight="1">
      <c r="AA6738"/>
    </row>
    <row r="6739" spans="27:27" ht="17.899999999999999" customHeight="1">
      <c r="AA6739"/>
    </row>
    <row r="6740" spans="27:27" ht="17.899999999999999" customHeight="1">
      <c r="AA6740"/>
    </row>
    <row r="6741" spans="27:27" ht="17.899999999999999" customHeight="1">
      <c r="AA6741"/>
    </row>
    <row r="6742" spans="27:27" ht="17.899999999999999" customHeight="1">
      <c r="AA6742"/>
    </row>
    <row r="6743" spans="27:27" ht="17.899999999999999" customHeight="1">
      <c r="AA6743"/>
    </row>
    <row r="6744" spans="27:27" ht="17.899999999999999" customHeight="1">
      <c r="AA6744"/>
    </row>
    <row r="6745" spans="27:27" ht="17.899999999999999" customHeight="1">
      <c r="AA6745"/>
    </row>
    <row r="6746" spans="27:27" ht="17.899999999999999" customHeight="1">
      <c r="AA6746"/>
    </row>
    <row r="6747" spans="27:27" ht="17.899999999999999" customHeight="1">
      <c r="AA6747"/>
    </row>
    <row r="6748" spans="27:27" ht="17.899999999999999" customHeight="1">
      <c r="AA6748"/>
    </row>
    <row r="6749" spans="27:27" ht="17.899999999999999" customHeight="1">
      <c r="AA6749"/>
    </row>
    <row r="6750" spans="27:27" ht="17.899999999999999" customHeight="1">
      <c r="AA6750"/>
    </row>
    <row r="6751" spans="27:27" ht="17.899999999999999" customHeight="1">
      <c r="AA6751"/>
    </row>
    <row r="6752" spans="27:27" ht="17.899999999999999" customHeight="1">
      <c r="AA6752"/>
    </row>
    <row r="6753" spans="27:27" ht="17.899999999999999" customHeight="1">
      <c r="AA6753"/>
    </row>
    <row r="6754" spans="27:27" ht="17.899999999999999" customHeight="1">
      <c r="AA6754"/>
    </row>
    <row r="6755" spans="27:27" ht="17.899999999999999" customHeight="1">
      <c r="AA6755"/>
    </row>
    <row r="6756" spans="27:27" ht="17.899999999999999" customHeight="1">
      <c r="AA6756"/>
    </row>
    <row r="6757" spans="27:27" ht="17.899999999999999" customHeight="1">
      <c r="AA6757"/>
    </row>
    <row r="6758" spans="27:27" ht="17.899999999999999" customHeight="1">
      <c r="AA6758"/>
    </row>
    <row r="6759" spans="27:27" ht="17.899999999999999" customHeight="1">
      <c r="AA6759"/>
    </row>
    <row r="6760" spans="27:27" ht="17.899999999999999" customHeight="1">
      <c r="AA6760"/>
    </row>
    <row r="6761" spans="27:27" ht="17.899999999999999" customHeight="1">
      <c r="AA6761"/>
    </row>
    <row r="6762" spans="27:27" ht="17.899999999999999" customHeight="1">
      <c r="AA6762"/>
    </row>
    <row r="6763" spans="27:27" ht="17.899999999999999" customHeight="1">
      <c r="AA6763"/>
    </row>
    <row r="6764" spans="27:27" ht="17.899999999999999" customHeight="1">
      <c r="AA6764"/>
    </row>
    <row r="6765" spans="27:27" ht="17.899999999999999" customHeight="1">
      <c r="AA6765"/>
    </row>
    <row r="6766" spans="27:27" ht="17.899999999999999" customHeight="1">
      <c r="AA6766"/>
    </row>
    <row r="6767" spans="27:27" ht="17.899999999999999" customHeight="1">
      <c r="AA6767"/>
    </row>
    <row r="6768" spans="27:27" ht="17.899999999999999" customHeight="1">
      <c r="AA6768"/>
    </row>
    <row r="6769" spans="27:27" ht="17.899999999999999" customHeight="1">
      <c r="AA6769"/>
    </row>
    <row r="6770" spans="27:27" ht="17.899999999999999" customHeight="1">
      <c r="AA6770"/>
    </row>
    <row r="6771" spans="27:27" ht="17.899999999999999" customHeight="1">
      <c r="AA6771"/>
    </row>
    <row r="6772" spans="27:27" ht="17.899999999999999" customHeight="1">
      <c r="AA6772"/>
    </row>
    <row r="6773" spans="27:27" ht="17.899999999999999" customHeight="1">
      <c r="AA6773"/>
    </row>
    <row r="6774" spans="27:27" ht="17.899999999999999" customHeight="1">
      <c r="AA6774"/>
    </row>
    <row r="6775" spans="27:27" ht="17.899999999999999" customHeight="1">
      <c r="AA6775"/>
    </row>
    <row r="6776" spans="27:27" ht="17.899999999999999" customHeight="1">
      <c r="AA6776"/>
    </row>
    <row r="6777" spans="27:27" ht="17.899999999999999" customHeight="1">
      <c r="AA6777"/>
    </row>
    <row r="6778" spans="27:27" ht="17.899999999999999" customHeight="1">
      <c r="AA6778"/>
    </row>
    <row r="6779" spans="27:27" ht="17.899999999999999" customHeight="1">
      <c r="AA6779"/>
    </row>
    <row r="6780" spans="27:27" ht="17.899999999999999" customHeight="1">
      <c r="AA6780"/>
    </row>
    <row r="6781" spans="27:27" ht="17.899999999999999" customHeight="1">
      <c r="AA6781"/>
    </row>
    <row r="6782" spans="27:27" ht="17.899999999999999" customHeight="1">
      <c r="AA6782"/>
    </row>
    <row r="6783" spans="27:27" ht="17.899999999999999" customHeight="1">
      <c r="AA6783"/>
    </row>
    <row r="6784" spans="27:27" ht="17.899999999999999" customHeight="1">
      <c r="AA6784"/>
    </row>
    <row r="6785" spans="27:27" ht="17.899999999999999" customHeight="1">
      <c r="AA6785"/>
    </row>
    <row r="6786" spans="27:27" ht="17.899999999999999" customHeight="1">
      <c r="AA6786"/>
    </row>
    <row r="6787" spans="27:27" ht="17.899999999999999" customHeight="1">
      <c r="AA6787"/>
    </row>
    <row r="6788" spans="27:27" ht="17.899999999999999" customHeight="1">
      <c r="AA6788"/>
    </row>
    <row r="6789" spans="27:27" ht="17.899999999999999" customHeight="1">
      <c r="AA6789"/>
    </row>
    <row r="6790" spans="27:27" ht="17.899999999999999" customHeight="1">
      <c r="AA6790"/>
    </row>
    <row r="6791" spans="27:27" ht="17.899999999999999" customHeight="1">
      <c r="AA6791"/>
    </row>
    <row r="6792" spans="27:27" ht="17.899999999999999" customHeight="1">
      <c r="AA6792"/>
    </row>
    <row r="6793" spans="27:27" ht="17.899999999999999" customHeight="1">
      <c r="AA6793"/>
    </row>
    <row r="6794" spans="27:27" ht="17.899999999999999" customHeight="1">
      <c r="AA6794"/>
    </row>
    <row r="6795" spans="27:27" ht="17.899999999999999" customHeight="1">
      <c r="AA6795"/>
    </row>
    <row r="6796" spans="27:27" ht="17.899999999999999" customHeight="1">
      <c r="AA6796"/>
    </row>
    <row r="6797" spans="27:27" ht="17.899999999999999" customHeight="1">
      <c r="AA6797"/>
    </row>
    <row r="6798" spans="27:27" ht="17.899999999999999" customHeight="1">
      <c r="AA6798"/>
    </row>
    <row r="6799" spans="27:27" ht="17.899999999999999" customHeight="1">
      <c r="AA6799"/>
    </row>
    <row r="6800" spans="27:27" ht="17.899999999999999" customHeight="1">
      <c r="AA6800"/>
    </row>
    <row r="6801" spans="27:27" ht="17.899999999999999" customHeight="1">
      <c r="AA6801"/>
    </row>
    <row r="6802" spans="27:27" ht="17.899999999999999" customHeight="1">
      <c r="AA6802"/>
    </row>
    <row r="6803" spans="27:27" ht="17.899999999999999" customHeight="1">
      <c r="AA6803"/>
    </row>
    <row r="6804" spans="27:27" ht="17.899999999999999" customHeight="1">
      <c r="AA6804"/>
    </row>
    <row r="6805" spans="27:27" ht="17.899999999999999" customHeight="1">
      <c r="AA6805"/>
    </row>
    <row r="6806" spans="27:27" ht="17.899999999999999" customHeight="1">
      <c r="AA6806"/>
    </row>
    <row r="6807" spans="27:27" ht="17.899999999999999" customHeight="1">
      <c r="AA6807"/>
    </row>
    <row r="6808" spans="27:27" ht="17.899999999999999" customHeight="1">
      <c r="AA6808"/>
    </row>
    <row r="6809" spans="27:27" ht="17.899999999999999" customHeight="1">
      <c r="AA6809"/>
    </row>
    <row r="6810" spans="27:27" ht="17.899999999999999" customHeight="1">
      <c r="AA6810"/>
    </row>
    <row r="6811" spans="27:27" ht="17.899999999999999" customHeight="1">
      <c r="AA6811"/>
    </row>
    <row r="6812" spans="27:27" ht="17.899999999999999" customHeight="1">
      <c r="AA6812"/>
    </row>
    <row r="6813" spans="27:27" ht="17.899999999999999" customHeight="1">
      <c r="AA6813"/>
    </row>
    <row r="6814" spans="27:27" ht="17.899999999999999" customHeight="1">
      <c r="AA6814"/>
    </row>
    <row r="6815" spans="27:27" ht="17.899999999999999" customHeight="1">
      <c r="AA6815"/>
    </row>
    <row r="6816" spans="27:27" ht="17.899999999999999" customHeight="1">
      <c r="AA6816"/>
    </row>
    <row r="6817" spans="27:27" ht="17.899999999999999" customHeight="1">
      <c r="AA6817"/>
    </row>
    <row r="6818" spans="27:27" ht="17.899999999999999" customHeight="1">
      <c r="AA6818"/>
    </row>
    <row r="6819" spans="27:27" ht="17.899999999999999" customHeight="1">
      <c r="AA6819"/>
    </row>
    <row r="6820" spans="27:27" ht="17.899999999999999" customHeight="1">
      <c r="AA6820"/>
    </row>
    <row r="6821" spans="27:27" ht="17.899999999999999" customHeight="1">
      <c r="AA6821"/>
    </row>
    <row r="6822" spans="27:27" ht="17.899999999999999" customHeight="1">
      <c r="AA6822"/>
    </row>
    <row r="6823" spans="27:27" ht="17.899999999999999" customHeight="1">
      <c r="AA6823"/>
    </row>
    <row r="6824" spans="27:27" ht="17.899999999999999" customHeight="1">
      <c r="AA6824"/>
    </row>
    <row r="6825" spans="27:27" ht="17.899999999999999" customHeight="1">
      <c r="AA6825"/>
    </row>
    <row r="6826" spans="27:27" ht="17.899999999999999" customHeight="1">
      <c r="AA6826"/>
    </row>
    <row r="6827" spans="27:27" ht="17.899999999999999" customHeight="1">
      <c r="AA6827"/>
    </row>
    <row r="6828" spans="27:27" ht="17.899999999999999" customHeight="1">
      <c r="AA6828"/>
    </row>
    <row r="6829" spans="27:27" ht="17.899999999999999" customHeight="1">
      <c r="AA6829"/>
    </row>
    <row r="6830" spans="27:27" ht="17.899999999999999" customHeight="1">
      <c r="AA6830"/>
    </row>
    <row r="6831" spans="27:27" ht="17.899999999999999" customHeight="1">
      <c r="AA6831"/>
    </row>
    <row r="6832" spans="27:27" ht="17.899999999999999" customHeight="1">
      <c r="AA6832"/>
    </row>
    <row r="6833" spans="27:27" ht="17.899999999999999" customHeight="1">
      <c r="AA6833"/>
    </row>
    <row r="6834" spans="27:27" ht="17.899999999999999" customHeight="1">
      <c r="AA6834"/>
    </row>
    <row r="6835" spans="27:27" ht="17.899999999999999" customHeight="1">
      <c r="AA6835"/>
    </row>
    <row r="6836" spans="27:27" ht="17.899999999999999" customHeight="1">
      <c r="AA6836"/>
    </row>
    <row r="6837" spans="27:27" ht="17.899999999999999" customHeight="1">
      <c r="AA6837"/>
    </row>
    <row r="6838" spans="27:27" ht="17.899999999999999" customHeight="1">
      <c r="AA6838"/>
    </row>
    <row r="6839" spans="27:27" ht="17.899999999999999" customHeight="1">
      <c r="AA6839"/>
    </row>
    <row r="6840" spans="27:27" ht="17.899999999999999" customHeight="1">
      <c r="AA6840"/>
    </row>
    <row r="6841" spans="27:27" ht="17.899999999999999" customHeight="1">
      <c r="AA6841"/>
    </row>
    <row r="6842" spans="27:27" ht="17.899999999999999" customHeight="1">
      <c r="AA6842"/>
    </row>
    <row r="6843" spans="27:27" ht="17.899999999999999" customHeight="1">
      <c r="AA6843"/>
    </row>
    <row r="6844" spans="27:27" ht="17.899999999999999" customHeight="1">
      <c r="AA6844"/>
    </row>
    <row r="6845" spans="27:27" ht="17.899999999999999" customHeight="1">
      <c r="AA6845"/>
    </row>
    <row r="6846" spans="27:27" ht="17.899999999999999" customHeight="1">
      <c r="AA6846"/>
    </row>
    <row r="6847" spans="27:27" ht="17.899999999999999" customHeight="1">
      <c r="AA6847"/>
    </row>
    <row r="6848" spans="27:27" ht="17.899999999999999" customHeight="1">
      <c r="AA6848"/>
    </row>
    <row r="6849" spans="27:27" ht="17.899999999999999" customHeight="1">
      <c r="AA6849"/>
    </row>
    <row r="6850" spans="27:27" ht="17.899999999999999" customHeight="1">
      <c r="AA6850"/>
    </row>
    <row r="6851" spans="27:27" ht="17.899999999999999" customHeight="1">
      <c r="AA6851"/>
    </row>
    <row r="6852" spans="27:27" ht="17.899999999999999" customHeight="1">
      <c r="AA6852"/>
    </row>
    <row r="6853" spans="27:27" ht="17.899999999999999" customHeight="1">
      <c r="AA6853"/>
    </row>
    <row r="6854" spans="27:27" ht="17.899999999999999" customHeight="1">
      <c r="AA6854"/>
    </row>
    <row r="6855" spans="27:27" ht="17.899999999999999" customHeight="1">
      <c r="AA6855"/>
    </row>
    <row r="6856" spans="27:27" ht="17.899999999999999" customHeight="1">
      <c r="AA6856"/>
    </row>
    <row r="6857" spans="27:27" ht="17.899999999999999" customHeight="1">
      <c r="AA6857"/>
    </row>
    <row r="6858" spans="27:27" ht="17.899999999999999" customHeight="1">
      <c r="AA6858"/>
    </row>
    <row r="6859" spans="27:27" ht="17.899999999999999" customHeight="1">
      <c r="AA6859"/>
    </row>
    <row r="6860" spans="27:27" ht="17.899999999999999" customHeight="1">
      <c r="AA6860"/>
    </row>
    <row r="6861" spans="27:27" ht="17.899999999999999" customHeight="1">
      <c r="AA6861"/>
    </row>
    <row r="6862" spans="27:27" ht="17.899999999999999" customHeight="1">
      <c r="AA6862"/>
    </row>
    <row r="6863" spans="27:27" ht="17.899999999999999" customHeight="1">
      <c r="AA6863"/>
    </row>
    <row r="6864" spans="27:27" ht="17.899999999999999" customHeight="1">
      <c r="AA6864"/>
    </row>
    <row r="6865" spans="27:27" ht="17.899999999999999" customHeight="1">
      <c r="AA6865"/>
    </row>
    <row r="6866" spans="27:27" ht="17.899999999999999" customHeight="1">
      <c r="AA6866"/>
    </row>
    <row r="6867" spans="27:27" ht="17.899999999999999" customHeight="1">
      <c r="AA6867"/>
    </row>
    <row r="6868" spans="27:27" ht="17.899999999999999" customHeight="1">
      <c r="AA6868"/>
    </row>
    <row r="6869" spans="27:27" ht="17.899999999999999" customHeight="1">
      <c r="AA6869"/>
    </row>
    <row r="6870" spans="27:27" ht="17.899999999999999" customHeight="1">
      <c r="AA6870"/>
    </row>
    <row r="6871" spans="27:27" ht="17.899999999999999" customHeight="1">
      <c r="AA6871"/>
    </row>
    <row r="6872" spans="27:27" ht="17.899999999999999" customHeight="1">
      <c r="AA6872"/>
    </row>
    <row r="6873" spans="27:27" ht="17.899999999999999" customHeight="1">
      <c r="AA6873"/>
    </row>
    <row r="6874" spans="27:27" ht="17.899999999999999" customHeight="1">
      <c r="AA6874"/>
    </row>
    <row r="6875" spans="27:27" ht="17.899999999999999" customHeight="1">
      <c r="AA6875"/>
    </row>
    <row r="6876" spans="27:27" ht="17.899999999999999" customHeight="1">
      <c r="AA6876"/>
    </row>
    <row r="6877" spans="27:27" ht="17.899999999999999" customHeight="1">
      <c r="AA6877"/>
    </row>
    <row r="6878" spans="27:27" ht="17.899999999999999" customHeight="1">
      <c r="AA6878"/>
    </row>
    <row r="6879" spans="27:27" ht="17.899999999999999" customHeight="1">
      <c r="AA6879"/>
    </row>
    <row r="6880" spans="27:27" ht="17.899999999999999" customHeight="1">
      <c r="AA6880"/>
    </row>
    <row r="6881" spans="27:27" ht="17.899999999999999" customHeight="1">
      <c r="AA6881"/>
    </row>
    <row r="6882" spans="27:27" ht="17.899999999999999" customHeight="1">
      <c r="AA6882"/>
    </row>
    <row r="6883" spans="27:27" ht="17.899999999999999" customHeight="1">
      <c r="AA6883"/>
    </row>
    <row r="6884" spans="27:27" ht="17.899999999999999" customHeight="1">
      <c r="AA6884"/>
    </row>
    <row r="6885" spans="27:27" ht="17.899999999999999" customHeight="1">
      <c r="AA6885"/>
    </row>
    <row r="6886" spans="27:27" ht="17.899999999999999" customHeight="1">
      <c r="AA6886"/>
    </row>
    <row r="6887" spans="27:27" ht="17.899999999999999" customHeight="1">
      <c r="AA6887"/>
    </row>
    <row r="6888" spans="27:27" ht="17.899999999999999" customHeight="1">
      <c r="AA6888"/>
    </row>
    <row r="6889" spans="27:27" ht="17.899999999999999" customHeight="1">
      <c r="AA6889"/>
    </row>
    <row r="6890" spans="27:27" ht="17.899999999999999" customHeight="1">
      <c r="AA6890"/>
    </row>
    <row r="6891" spans="27:27" ht="17.899999999999999" customHeight="1">
      <c r="AA6891"/>
    </row>
    <row r="6892" spans="27:27" ht="17.899999999999999" customHeight="1">
      <c r="AA6892"/>
    </row>
    <row r="6893" spans="27:27" ht="17.899999999999999" customHeight="1">
      <c r="AA6893"/>
    </row>
    <row r="6894" spans="27:27" ht="17.899999999999999" customHeight="1">
      <c r="AA6894"/>
    </row>
    <row r="6895" spans="27:27" ht="17.899999999999999" customHeight="1">
      <c r="AA6895"/>
    </row>
    <row r="6896" spans="27:27" ht="17.899999999999999" customHeight="1">
      <c r="AA6896"/>
    </row>
    <row r="6897" spans="27:27" ht="17.899999999999999" customHeight="1">
      <c r="AA6897"/>
    </row>
    <row r="6898" spans="27:27" ht="17.899999999999999" customHeight="1">
      <c r="AA6898"/>
    </row>
    <row r="6899" spans="27:27" ht="17.899999999999999" customHeight="1">
      <c r="AA6899"/>
    </row>
    <row r="6900" spans="27:27" ht="17.899999999999999" customHeight="1">
      <c r="AA6900"/>
    </row>
    <row r="6901" spans="27:27" ht="17.899999999999999" customHeight="1">
      <c r="AA6901"/>
    </row>
    <row r="6902" spans="27:27" ht="17.899999999999999" customHeight="1">
      <c r="AA6902"/>
    </row>
    <row r="6903" spans="27:27" ht="17.899999999999999" customHeight="1">
      <c r="AA6903"/>
    </row>
    <row r="6904" spans="27:27" ht="17.899999999999999" customHeight="1">
      <c r="AA6904"/>
    </row>
    <row r="6905" spans="27:27" ht="17.899999999999999" customHeight="1">
      <c r="AA6905"/>
    </row>
    <row r="6906" spans="27:27" ht="17.899999999999999" customHeight="1">
      <c r="AA6906"/>
    </row>
    <row r="6907" spans="27:27" ht="17.899999999999999" customHeight="1">
      <c r="AA6907"/>
    </row>
    <row r="6908" spans="27:27" ht="17.899999999999999" customHeight="1">
      <c r="AA6908"/>
    </row>
    <row r="6909" spans="27:27" ht="17.899999999999999" customHeight="1">
      <c r="AA6909"/>
    </row>
    <row r="6910" spans="27:27" ht="17.899999999999999" customHeight="1">
      <c r="AA6910"/>
    </row>
    <row r="6911" spans="27:27" ht="17.899999999999999" customHeight="1">
      <c r="AA6911"/>
    </row>
    <row r="6912" spans="27:27" ht="17.899999999999999" customHeight="1">
      <c r="AA6912"/>
    </row>
    <row r="6913" spans="27:27" ht="17.899999999999999" customHeight="1">
      <c r="AA6913"/>
    </row>
    <row r="6914" spans="27:27" ht="17.899999999999999" customHeight="1">
      <c r="AA6914"/>
    </row>
    <row r="6915" spans="27:27" ht="17.899999999999999" customHeight="1">
      <c r="AA6915"/>
    </row>
    <row r="6916" spans="27:27" ht="17.899999999999999" customHeight="1">
      <c r="AA6916"/>
    </row>
    <row r="6917" spans="27:27" ht="17.899999999999999" customHeight="1">
      <c r="AA6917"/>
    </row>
    <row r="6918" spans="27:27" ht="17.899999999999999" customHeight="1">
      <c r="AA6918"/>
    </row>
    <row r="6919" spans="27:27" ht="17.899999999999999" customHeight="1">
      <c r="AA6919"/>
    </row>
    <row r="6920" spans="27:27" ht="17.899999999999999" customHeight="1">
      <c r="AA6920"/>
    </row>
    <row r="6921" spans="27:27" ht="17.899999999999999" customHeight="1">
      <c r="AA6921"/>
    </row>
    <row r="6922" spans="27:27" ht="17.899999999999999" customHeight="1">
      <c r="AA6922"/>
    </row>
    <row r="6923" spans="27:27" ht="17.899999999999999" customHeight="1">
      <c r="AA6923"/>
    </row>
    <row r="6924" spans="27:27" ht="17.899999999999999" customHeight="1">
      <c r="AA6924"/>
    </row>
    <row r="6925" spans="27:27" ht="17.899999999999999" customHeight="1">
      <c r="AA6925"/>
    </row>
    <row r="6926" spans="27:27" ht="17.899999999999999" customHeight="1">
      <c r="AA6926"/>
    </row>
    <row r="6927" spans="27:27" ht="17.899999999999999" customHeight="1">
      <c r="AA6927"/>
    </row>
    <row r="6928" spans="27:27" ht="17.899999999999999" customHeight="1">
      <c r="AA6928"/>
    </row>
    <row r="6929" spans="27:27" ht="17.899999999999999" customHeight="1">
      <c r="AA6929"/>
    </row>
    <row r="6930" spans="27:27" ht="17.899999999999999" customHeight="1">
      <c r="AA6930"/>
    </row>
    <row r="6931" spans="27:27" ht="17.899999999999999" customHeight="1">
      <c r="AA6931"/>
    </row>
    <row r="6932" spans="27:27" ht="17.899999999999999" customHeight="1">
      <c r="AA6932"/>
    </row>
    <row r="6933" spans="27:27" ht="17.899999999999999" customHeight="1">
      <c r="AA6933"/>
    </row>
    <row r="6934" spans="27:27" ht="17.899999999999999" customHeight="1">
      <c r="AA6934"/>
    </row>
    <row r="6935" spans="27:27" ht="17.899999999999999" customHeight="1">
      <c r="AA6935"/>
    </row>
    <row r="6936" spans="27:27" ht="17.899999999999999" customHeight="1">
      <c r="AA6936"/>
    </row>
    <row r="6937" spans="27:27" ht="17.899999999999999" customHeight="1">
      <c r="AA6937"/>
    </row>
    <row r="6938" spans="27:27" ht="17.899999999999999" customHeight="1">
      <c r="AA6938"/>
    </row>
    <row r="6939" spans="27:27" ht="17.899999999999999" customHeight="1">
      <c r="AA6939"/>
    </row>
    <row r="6940" spans="27:27" ht="17.899999999999999" customHeight="1">
      <c r="AA6940"/>
    </row>
    <row r="6941" spans="27:27" ht="17.899999999999999" customHeight="1">
      <c r="AA6941"/>
    </row>
    <row r="6942" spans="27:27" ht="17.899999999999999" customHeight="1">
      <c r="AA6942"/>
    </row>
    <row r="6943" spans="27:27" ht="17.899999999999999" customHeight="1">
      <c r="AA6943"/>
    </row>
    <row r="6944" spans="27:27" ht="17.899999999999999" customHeight="1">
      <c r="AA6944"/>
    </row>
    <row r="6945" spans="27:27" ht="17.899999999999999" customHeight="1">
      <c r="AA6945"/>
    </row>
    <row r="6946" spans="27:27" ht="17.899999999999999" customHeight="1">
      <c r="AA6946"/>
    </row>
    <row r="6947" spans="27:27" ht="17.899999999999999" customHeight="1">
      <c r="AA6947"/>
    </row>
    <row r="6948" spans="27:27" ht="17.899999999999999" customHeight="1">
      <c r="AA6948"/>
    </row>
    <row r="6949" spans="27:27" ht="17.899999999999999" customHeight="1">
      <c r="AA6949"/>
    </row>
    <row r="6950" spans="27:27" ht="17.899999999999999" customHeight="1">
      <c r="AA6950"/>
    </row>
    <row r="6951" spans="27:27" ht="17.899999999999999" customHeight="1">
      <c r="AA6951"/>
    </row>
    <row r="6952" spans="27:27" ht="17.899999999999999" customHeight="1">
      <c r="AA6952"/>
    </row>
    <row r="6953" spans="27:27" ht="17.899999999999999" customHeight="1">
      <c r="AA6953"/>
    </row>
    <row r="6954" spans="27:27" ht="17.899999999999999" customHeight="1">
      <c r="AA6954"/>
    </row>
    <row r="6955" spans="27:27" ht="17.899999999999999" customHeight="1">
      <c r="AA6955"/>
    </row>
    <row r="6956" spans="27:27" ht="17.899999999999999" customHeight="1">
      <c r="AA6956"/>
    </row>
    <row r="6957" spans="27:27" ht="17.899999999999999" customHeight="1">
      <c r="AA6957"/>
    </row>
    <row r="6958" spans="27:27" ht="17.899999999999999" customHeight="1">
      <c r="AA6958"/>
    </row>
    <row r="6959" spans="27:27" ht="17.899999999999999" customHeight="1">
      <c r="AA6959"/>
    </row>
    <row r="6960" spans="27:27" ht="17.899999999999999" customHeight="1">
      <c r="AA6960"/>
    </row>
    <row r="6961" spans="27:27" ht="17.899999999999999" customHeight="1">
      <c r="AA6961"/>
    </row>
    <row r="6962" spans="27:27" ht="17.899999999999999" customHeight="1">
      <c r="AA6962"/>
    </row>
    <row r="6963" spans="27:27" ht="17.899999999999999" customHeight="1">
      <c r="AA6963"/>
    </row>
    <row r="6964" spans="27:27" ht="17.899999999999999" customHeight="1">
      <c r="AA6964"/>
    </row>
    <row r="6965" spans="27:27" ht="17.899999999999999" customHeight="1">
      <c r="AA6965"/>
    </row>
    <row r="6966" spans="27:27" ht="17.899999999999999" customHeight="1">
      <c r="AA6966"/>
    </row>
    <row r="6967" spans="27:27" ht="17.899999999999999" customHeight="1">
      <c r="AA6967"/>
    </row>
    <row r="6968" spans="27:27" ht="17.899999999999999" customHeight="1">
      <c r="AA6968"/>
    </row>
    <row r="6969" spans="27:27" ht="17.899999999999999" customHeight="1">
      <c r="AA6969"/>
    </row>
    <row r="6970" spans="27:27" ht="17.899999999999999" customHeight="1">
      <c r="AA6970"/>
    </row>
    <row r="6971" spans="27:27" ht="17.899999999999999" customHeight="1">
      <c r="AA6971"/>
    </row>
    <row r="6972" spans="27:27" ht="17.899999999999999" customHeight="1">
      <c r="AA6972"/>
    </row>
    <row r="6973" spans="27:27" ht="17.899999999999999" customHeight="1">
      <c r="AA6973"/>
    </row>
    <row r="6974" spans="27:27" ht="17.899999999999999" customHeight="1">
      <c r="AA6974"/>
    </row>
    <row r="6975" spans="27:27" ht="17.899999999999999" customHeight="1">
      <c r="AA6975"/>
    </row>
    <row r="6976" spans="27:27" ht="17.899999999999999" customHeight="1">
      <c r="AA6976"/>
    </row>
    <row r="6977" spans="27:27" ht="17.899999999999999" customHeight="1">
      <c r="AA6977"/>
    </row>
    <row r="6978" spans="27:27" ht="17.899999999999999" customHeight="1">
      <c r="AA6978"/>
    </row>
    <row r="6979" spans="27:27" ht="17.899999999999999" customHeight="1">
      <c r="AA6979"/>
    </row>
    <row r="6980" spans="27:27" ht="17.899999999999999" customHeight="1">
      <c r="AA6980"/>
    </row>
    <row r="6981" spans="27:27" ht="17.899999999999999" customHeight="1">
      <c r="AA6981"/>
    </row>
    <row r="6982" spans="27:27" ht="17.899999999999999" customHeight="1">
      <c r="AA6982"/>
    </row>
    <row r="6983" spans="27:27" ht="17.899999999999999" customHeight="1">
      <c r="AA6983"/>
    </row>
    <row r="6984" spans="27:27" ht="17.899999999999999" customHeight="1">
      <c r="AA6984"/>
    </row>
    <row r="6985" spans="27:27" ht="17.899999999999999" customHeight="1">
      <c r="AA6985"/>
    </row>
    <row r="6986" spans="27:27" ht="17.899999999999999" customHeight="1">
      <c r="AA6986"/>
    </row>
    <row r="6987" spans="27:27" ht="17.899999999999999" customHeight="1">
      <c r="AA6987"/>
    </row>
    <row r="6988" spans="27:27" ht="17.899999999999999" customHeight="1">
      <c r="AA6988"/>
    </row>
    <row r="6989" spans="27:27" ht="17.899999999999999" customHeight="1">
      <c r="AA6989"/>
    </row>
    <row r="6990" spans="27:27" ht="17.899999999999999" customHeight="1">
      <c r="AA6990"/>
    </row>
    <row r="6991" spans="27:27" ht="17.899999999999999" customHeight="1">
      <c r="AA6991"/>
    </row>
    <row r="6992" spans="27:27" ht="17.899999999999999" customHeight="1">
      <c r="AA6992"/>
    </row>
    <row r="6993" spans="27:27" ht="17.899999999999999" customHeight="1">
      <c r="AA6993"/>
    </row>
    <row r="6994" spans="27:27" ht="17.899999999999999" customHeight="1">
      <c r="AA6994"/>
    </row>
    <row r="6995" spans="27:27" ht="17.899999999999999" customHeight="1">
      <c r="AA6995"/>
    </row>
    <row r="6996" spans="27:27" ht="17.899999999999999" customHeight="1">
      <c r="AA6996"/>
    </row>
    <row r="6997" spans="27:27" ht="17.899999999999999" customHeight="1">
      <c r="AA6997"/>
    </row>
    <row r="6998" spans="27:27" ht="17.899999999999999" customHeight="1">
      <c r="AA6998"/>
    </row>
    <row r="6999" spans="27:27" ht="17.899999999999999" customHeight="1">
      <c r="AA6999"/>
    </row>
    <row r="7000" spans="27:27" ht="17.899999999999999" customHeight="1">
      <c r="AA7000"/>
    </row>
    <row r="7001" spans="27:27" ht="17.899999999999999" customHeight="1">
      <c r="AA7001"/>
    </row>
    <row r="7002" spans="27:27" ht="17.899999999999999" customHeight="1">
      <c r="AA7002"/>
    </row>
    <row r="7003" spans="27:27" ht="17.899999999999999" customHeight="1">
      <c r="AA7003"/>
    </row>
    <row r="7004" spans="27:27" ht="17.899999999999999" customHeight="1">
      <c r="AA7004"/>
    </row>
    <row r="7005" spans="27:27" ht="17.899999999999999" customHeight="1">
      <c r="AA7005"/>
    </row>
    <row r="7006" spans="27:27" ht="17.899999999999999" customHeight="1">
      <c r="AA7006"/>
    </row>
    <row r="7007" spans="27:27" ht="17.899999999999999" customHeight="1">
      <c r="AA7007"/>
    </row>
    <row r="7008" spans="27:27" ht="17.899999999999999" customHeight="1">
      <c r="AA7008"/>
    </row>
    <row r="7009" spans="27:27" ht="17.899999999999999" customHeight="1">
      <c r="AA7009"/>
    </row>
    <row r="7010" spans="27:27" ht="17.899999999999999" customHeight="1">
      <c r="AA7010"/>
    </row>
    <row r="7011" spans="27:27" ht="17.899999999999999" customHeight="1">
      <c r="AA7011"/>
    </row>
    <row r="7012" spans="27:27" ht="17.899999999999999" customHeight="1">
      <c r="AA7012"/>
    </row>
    <row r="7013" spans="27:27" ht="17.899999999999999" customHeight="1">
      <c r="AA7013"/>
    </row>
    <row r="7014" spans="27:27" ht="17.899999999999999" customHeight="1">
      <c r="AA7014"/>
    </row>
    <row r="7015" spans="27:27" ht="17.899999999999999" customHeight="1">
      <c r="AA7015"/>
    </row>
    <row r="7016" spans="27:27" ht="17.899999999999999" customHeight="1">
      <c r="AA7016"/>
    </row>
    <row r="7017" spans="27:27" ht="17.899999999999999" customHeight="1">
      <c r="AA7017"/>
    </row>
    <row r="7018" spans="27:27" ht="17.899999999999999" customHeight="1">
      <c r="AA7018"/>
    </row>
    <row r="7019" spans="27:27" ht="17.899999999999999" customHeight="1">
      <c r="AA7019"/>
    </row>
    <row r="7020" spans="27:27" ht="17.899999999999999" customHeight="1">
      <c r="AA7020"/>
    </row>
    <row r="7021" spans="27:27" ht="17.899999999999999" customHeight="1">
      <c r="AA7021"/>
    </row>
    <row r="7022" spans="27:27" ht="17.899999999999999" customHeight="1">
      <c r="AA7022"/>
    </row>
    <row r="7023" spans="27:27" ht="17.899999999999999" customHeight="1">
      <c r="AA7023"/>
    </row>
    <row r="7024" spans="27:27" ht="17.899999999999999" customHeight="1">
      <c r="AA7024"/>
    </row>
    <row r="7025" spans="27:27" ht="17.899999999999999" customHeight="1">
      <c r="AA7025"/>
    </row>
    <row r="7026" spans="27:27" ht="17.899999999999999" customHeight="1">
      <c r="AA7026"/>
    </row>
    <row r="7027" spans="27:27" ht="17.899999999999999" customHeight="1">
      <c r="AA7027"/>
    </row>
    <row r="7028" spans="27:27" ht="17.899999999999999" customHeight="1">
      <c r="AA7028"/>
    </row>
    <row r="7029" spans="27:27" ht="17.899999999999999" customHeight="1">
      <c r="AA7029"/>
    </row>
    <row r="7030" spans="27:27" ht="17.899999999999999" customHeight="1">
      <c r="AA7030"/>
    </row>
    <row r="7031" spans="27:27" ht="17.899999999999999" customHeight="1">
      <c r="AA7031"/>
    </row>
    <row r="7032" spans="27:27" ht="17.899999999999999" customHeight="1">
      <c r="AA7032"/>
    </row>
    <row r="7033" spans="27:27" ht="17.899999999999999" customHeight="1">
      <c r="AA7033"/>
    </row>
    <row r="7034" spans="27:27" ht="17.899999999999999" customHeight="1">
      <c r="AA7034"/>
    </row>
    <row r="7035" spans="27:27" ht="17.899999999999999" customHeight="1">
      <c r="AA7035"/>
    </row>
    <row r="7036" spans="27:27" ht="17.899999999999999" customHeight="1">
      <c r="AA7036"/>
    </row>
    <row r="7037" spans="27:27" ht="17.899999999999999" customHeight="1">
      <c r="AA7037"/>
    </row>
    <row r="7038" spans="27:27" ht="17.899999999999999" customHeight="1">
      <c r="AA7038"/>
    </row>
    <row r="7039" spans="27:27" ht="17.899999999999999" customHeight="1">
      <c r="AA7039"/>
    </row>
    <row r="7040" spans="27:27" ht="17.899999999999999" customHeight="1">
      <c r="AA7040"/>
    </row>
    <row r="7041" spans="27:27" ht="17.899999999999999" customHeight="1">
      <c r="AA7041"/>
    </row>
    <row r="7042" spans="27:27" ht="17.899999999999999" customHeight="1">
      <c r="AA7042"/>
    </row>
    <row r="7043" spans="27:27" ht="17.899999999999999" customHeight="1">
      <c r="AA7043"/>
    </row>
    <row r="7044" spans="27:27" ht="17.899999999999999" customHeight="1">
      <c r="AA7044"/>
    </row>
    <row r="7045" spans="27:27" ht="17.899999999999999" customHeight="1">
      <c r="AA7045"/>
    </row>
    <row r="7046" spans="27:27" ht="17.899999999999999" customHeight="1">
      <c r="AA7046"/>
    </row>
    <row r="7047" spans="27:27" ht="17.899999999999999" customHeight="1">
      <c r="AA7047"/>
    </row>
    <row r="7048" spans="27:27" ht="17.899999999999999" customHeight="1">
      <c r="AA7048"/>
    </row>
    <row r="7049" spans="27:27" ht="17.899999999999999" customHeight="1">
      <c r="AA7049"/>
    </row>
    <row r="7050" spans="27:27" ht="17.899999999999999" customHeight="1">
      <c r="AA7050"/>
    </row>
    <row r="7051" spans="27:27" ht="17.899999999999999" customHeight="1">
      <c r="AA7051"/>
    </row>
    <row r="7052" spans="27:27" ht="17.899999999999999" customHeight="1">
      <c r="AA7052"/>
    </row>
    <row r="7053" spans="27:27" ht="17.899999999999999" customHeight="1">
      <c r="AA7053"/>
    </row>
    <row r="7054" spans="27:27" ht="17.899999999999999" customHeight="1">
      <c r="AA7054"/>
    </row>
    <row r="7055" spans="27:27" ht="17.899999999999999" customHeight="1">
      <c r="AA7055"/>
    </row>
    <row r="7056" spans="27:27" ht="17.899999999999999" customHeight="1">
      <c r="AA7056"/>
    </row>
    <row r="7057" spans="27:27" ht="17.899999999999999" customHeight="1">
      <c r="AA7057"/>
    </row>
    <row r="7058" spans="27:27" ht="17.899999999999999" customHeight="1">
      <c r="AA7058"/>
    </row>
    <row r="7059" spans="27:27" ht="17.899999999999999" customHeight="1">
      <c r="AA7059"/>
    </row>
    <row r="7060" spans="27:27" ht="17.899999999999999" customHeight="1">
      <c r="AA7060"/>
    </row>
    <row r="7061" spans="27:27" ht="17.899999999999999" customHeight="1">
      <c r="AA7061"/>
    </row>
    <row r="7062" spans="27:27" ht="17.899999999999999" customHeight="1">
      <c r="AA7062"/>
    </row>
    <row r="7063" spans="27:27" ht="17.899999999999999" customHeight="1">
      <c r="AA7063"/>
    </row>
    <row r="7064" spans="27:27" ht="17.899999999999999" customHeight="1">
      <c r="AA7064"/>
    </row>
    <row r="7065" spans="27:27" ht="17.899999999999999" customHeight="1">
      <c r="AA7065"/>
    </row>
    <row r="7066" spans="27:27" ht="17.899999999999999" customHeight="1">
      <c r="AA7066"/>
    </row>
    <row r="7067" spans="27:27" ht="17.899999999999999" customHeight="1">
      <c r="AA7067"/>
    </row>
    <row r="7068" spans="27:27" ht="17.899999999999999" customHeight="1">
      <c r="AA7068"/>
    </row>
    <row r="7069" spans="27:27" ht="17.899999999999999" customHeight="1">
      <c r="AA7069"/>
    </row>
    <row r="7070" spans="27:27" ht="17.899999999999999" customHeight="1">
      <c r="AA7070"/>
    </row>
    <row r="7071" spans="27:27" ht="17.899999999999999" customHeight="1">
      <c r="AA7071"/>
    </row>
    <row r="7072" spans="27:27" ht="17.899999999999999" customHeight="1">
      <c r="AA7072"/>
    </row>
    <row r="7073" spans="27:27" ht="17.899999999999999" customHeight="1">
      <c r="AA7073"/>
    </row>
    <row r="7074" spans="27:27" ht="17.899999999999999" customHeight="1">
      <c r="AA7074"/>
    </row>
    <row r="7075" spans="27:27" ht="17.899999999999999" customHeight="1">
      <c r="AA7075"/>
    </row>
    <row r="7076" spans="27:27" ht="17.899999999999999" customHeight="1">
      <c r="AA7076"/>
    </row>
    <row r="7077" spans="27:27" ht="17.899999999999999" customHeight="1">
      <c r="AA7077"/>
    </row>
    <row r="7078" spans="27:27" ht="17.899999999999999" customHeight="1">
      <c r="AA7078"/>
    </row>
    <row r="7079" spans="27:27" ht="17.899999999999999" customHeight="1">
      <c r="AA7079"/>
    </row>
    <row r="7080" spans="27:27" ht="17.899999999999999" customHeight="1">
      <c r="AA7080"/>
    </row>
    <row r="7081" spans="27:27" ht="17.899999999999999" customHeight="1">
      <c r="AA7081"/>
    </row>
    <row r="7082" spans="27:27" ht="17.899999999999999" customHeight="1">
      <c r="AA7082"/>
    </row>
    <row r="7083" spans="27:27" ht="17.899999999999999" customHeight="1">
      <c r="AA7083"/>
    </row>
    <row r="7084" spans="27:27" ht="17.899999999999999" customHeight="1">
      <c r="AA7084"/>
    </row>
    <row r="7085" spans="27:27" ht="17.899999999999999" customHeight="1">
      <c r="AA7085"/>
    </row>
    <row r="7086" spans="27:27" ht="17.899999999999999" customHeight="1">
      <c r="AA7086"/>
    </row>
    <row r="7087" spans="27:27" ht="17.899999999999999" customHeight="1">
      <c r="AA7087"/>
    </row>
    <row r="7088" spans="27:27" ht="17.899999999999999" customHeight="1">
      <c r="AA7088"/>
    </row>
    <row r="7089" spans="27:27" ht="17.899999999999999" customHeight="1">
      <c r="AA7089"/>
    </row>
    <row r="7090" spans="27:27" ht="17.899999999999999" customHeight="1">
      <c r="AA7090"/>
    </row>
    <row r="7091" spans="27:27" ht="17.899999999999999" customHeight="1">
      <c r="AA7091"/>
    </row>
    <row r="7092" spans="27:27" ht="17.899999999999999" customHeight="1">
      <c r="AA7092"/>
    </row>
    <row r="7093" spans="27:27" ht="17.899999999999999" customHeight="1">
      <c r="AA7093"/>
    </row>
    <row r="7094" spans="27:27" ht="17.899999999999999" customHeight="1">
      <c r="AA7094"/>
    </row>
    <row r="7095" spans="27:27" ht="17.899999999999999" customHeight="1">
      <c r="AA7095"/>
    </row>
    <row r="7096" spans="27:27" ht="17.899999999999999" customHeight="1">
      <c r="AA7096"/>
    </row>
    <row r="7097" spans="27:27" ht="17.899999999999999" customHeight="1">
      <c r="AA7097"/>
    </row>
    <row r="7098" spans="27:27" ht="17.899999999999999" customHeight="1">
      <c r="AA7098"/>
    </row>
    <row r="7099" spans="27:27" ht="17.899999999999999" customHeight="1">
      <c r="AA7099"/>
    </row>
    <row r="7100" spans="27:27" ht="17.899999999999999" customHeight="1">
      <c r="AA7100"/>
    </row>
    <row r="7101" spans="27:27" ht="17.899999999999999" customHeight="1">
      <c r="AA7101"/>
    </row>
    <row r="7102" spans="27:27" ht="17.899999999999999" customHeight="1">
      <c r="AA7102"/>
    </row>
    <row r="7103" spans="27:27" ht="17.899999999999999" customHeight="1">
      <c r="AA7103"/>
    </row>
    <row r="7104" spans="27:27" ht="17.899999999999999" customHeight="1">
      <c r="AA7104"/>
    </row>
    <row r="7105" spans="27:27" ht="17.899999999999999" customHeight="1">
      <c r="AA7105"/>
    </row>
    <row r="7106" spans="27:27" ht="17.899999999999999" customHeight="1">
      <c r="AA7106"/>
    </row>
    <row r="7107" spans="27:27" ht="17.899999999999999" customHeight="1">
      <c r="AA7107"/>
    </row>
    <row r="7108" spans="27:27" ht="17.899999999999999" customHeight="1">
      <c r="AA7108"/>
    </row>
    <row r="7109" spans="27:27" ht="17.899999999999999" customHeight="1">
      <c r="AA7109"/>
    </row>
    <row r="7110" spans="27:27" ht="17.899999999999999" customHeight="1">
      <c r="AA7110"/>
    </row>
    <row r="7111" spans="27:27" ht="17.899999999999999" customHeight="1">
      <c r="AA7111"/>
    </row>
    <row r="7112" spans="27:27" ht="17.899999999999999" customHeight="1">
      <c r="AA7112"/>
    </row>
    <row r="7113" spans="27:27" ht="17.899999999999999" customHeight="1">
      <c r="AA7113"/>
    </row>
    <row r="7114" spans="27:27" ht="17.899999999999999" customHeight="1">
      <c r="AA7114"/>
    </row>
    <row r="7115" spans="27:27" ht="17.899999999999999" customHeight="1">
      <c r="AA7115"/>
    </row>
    <row r="7116" spans="27:27" ht="17.899999999999999" customHeight="1">
      <c r="AA7116"/>
    </row>
    <row r="7117" spans="27:27" ht="17.899999999999999" customHeight="1">
      <c r="AA7117"/>
    </row>
    <row r="7118" spans="27:27" ht="17.899999999999999" customHeight="1">
      <c r="AA7118"/>
    </row>
    <row r="7119" spans="27:27" ht="17.899999999999999" customHeight="1">
      <c r="AA7119"/>
    </row>
    <row r="7120" spans="27:27" ht="17.899999999999999" customHeight="1">
      <c r="AA7120"/>
    </row>
    <row r="7121" spans="27:27" ht="17.899999999999999" customHeight="1">
      <c r="AA7121"/>
    </row>
    <row r="7122" spans="27:27" ht="17.899999999999999" customHeight="1">
      <c r="AA7122"/>
    </row>
    <row r="7123" spans="27:27" ht="17.899999999999999" customHeight="1">
      <c r="AA7123"/>
    </row>
    <row r="7124" spans="27:27" ht="17.899999999999999" customHeight="1">
      <c r="AA7124"/>
    </row>
    <row r="7125" spans="27:27" ht="17.899999999999999" customHeight="1">
      <c r="AA7125"/>
    </row>
    <row r="7126" spans="27:27" ht="17.899999999999999" customHeight="1">
      <c r="AA7126"/>
    </row>
    <row r="7127" spans="27:27" ht="17.899999999999999" customHeight="1">
      <c r="AA7127"/>
    </row>
    <row r="7128" spans="27:27" ht="17.899999999999999" customHeight="1">
      <c r="AA7128"/>
    </row>
    <row r="7129" spans="27:27" ht="17.899999999999999" customHeight="1">
      <c r="AA7129"/>
    </row>
    <row r="7130" spans="27:27" ht="17.899999999999999" customHeight="1">
      <c r="AA7130"/>
    </row>
    <row r="7131" spans="27:27" ht="17.899999999999999" customHeight="1">
      <c r="AA7131"/>
    </row>
    <row r="7132" spans="27:27" ht="17.899999999999999" customHeight="1">
      <c r="AA7132"/>
    </row>
    <row r="7133" spans="27:27" ht="17.899999999999999" customHeight="1">
      <c r="AA7133"/>
    </row>
    <row r="7134" spans="27:27" ht="17.899999999999999" customHeight="1">
      <c r="AA7134"/>
    </row>
    <row r="7135" spans="27:27" ht="17.899999999999999" customHeight="1">
      <c r="AA7135"/>
    </row>
    <row r="7136" spans="27:27" ht="17.899999999999999" customHeight="1">
      <c r="AA7136"/>
    </row>
    <row r="7137" spans="27:27" ht="17.899999999999999" customHeight="1">
      <c r="AA7137"/>
    </row>
    <row r="7138" spans="27:27" ht="17.899999999999999" customHeight="1">
      <c r="AA7138"/>
    </row>
    <row r="7139" spans="27:27" ht="17.899999999999999" customHeight="1">
      <c r="AA7139"/>
    </row>
    <row r="7140" spans="27:27" ht="17.899999999999999" customHeight="1">
      <c r="AA7140"/>
    </row>
    <row r="7141" spans="27:27" ht="17.899999999999999" customHeight="1">
      <c r="AA7141"/>
    </row>
    <row r="7142" spans="27:27" ht="17.899999999999999" customHeight="1">
      <c r="AA7142"/>
    </row>
    <row r="7143" spans="27:27" ht="17.899999999999999" customHeight="1">
      <c r="AA7143"/>
    </row>
    <row r="7144" spans="27:27" ht="17.899999999999999" customHeight="1">
      <c r="AA7144"/>
    </row>
    <row r="7145" spans="27:27" ht="17.899999999999999" customHeight="1">
      <c r="AA7145"/>
    </row>
    <row r="7146" spans="27:27" ht="17.899999999999999" customHeight="1">
      <c r="AA7146"/>
    </row>
    <row r="7147" spans="27:27" ht="17.899999999999999" customHeight="1">
      <c r="AA7147"/>
    </row>
    <row r="7148" spans="27:27" ht="17.899999999999999" customHeight="1">
      <c r="AA7148"/>
    </row>
    <row r="7149" spans="27:27" ht="17.899999999999999" customHeight="1">
      <c r="AA7149"/>
    </row>
    <row r="7150" spans="27:27" ht="17.899999999999999" customHeight="1">
      <c r="AA7150"/>
    </row>
    <row r="7151" spans="27:27" ht="17.899999999999999" customHeight="1">
      <c r="AA7151"/>
    </row>
    <row r="7152" spans="27:27" ht="17.899999999999999" customHeight="1">
      <c r="AA7152"/>
    </row>
    <row r="7153" spans="27:27" ht="17.899999999999999" customHeight="1">
      <c r="AA7153"/>
    </row>
    <row r="7154" spans="27:27" ht="17.899999999999999" customHeight="1">
      <c r="AA7154"/>
    </row>
    <row r="7155" spans="27:27" ht="17.899999999999999" customHeight="1">
      <c r="AA7155"/>
    </row>
    <row r="7156" spans="27:27" ht="17.899999999999999" customHeight="1">
      <c r="AA7156"/>
    </row>
    <row r="7157" spans="27:27" ht="17.899999999999999" customHeight="1">
      <c r="AA7157"/>
    </row>
    <row r="7158" spans="27:27" ht="17.899999999999999" customHeight="1">
      <c r="AA7158"/>
    </row>
    <row r="7159" spans="27:27" ht="17.899999999999999" customHeight="1">
      <c r="AA7159"/>
    </row>
    <row r="7160" spans="27:27" ht="17.899999999999999" customHeight="1">
      <c r="AA7160"/>
    </row>
    <row r="7161" spans="27:27" ht="17.899999999999999" customHeight="1">
      <c r="AA7161"/>
    </row>
    <row r="7162" spans="27:27" ht="17.899999999999999" customHeight="1">
      <c r="AA7162"/>
    </row>
    <row r="7163" spans="27:27" ht="17.899999999999999" customHeight="1">
      <c r="AA7163"/>
    </row>
    <row r="7164" spans="27:27" ht="17.899999999999999" customHeight="1">
      <c r="AA7164"/>
    </row>
    <row r="7165" spans="27:27" ht="17.899999999999999" customHeight="1">
      <c r="AA7165"/>
    </row>
    <row r="7166" spans="27:27" ht="17.899999999999999" customHeight="1">
      <c r="AA7166"/>
    </row>
    <row r="7167" spans="27:27" ht="17.899999999999999" customHeight="1">
      <c r="AA7167"/>
    </row>
    <row r="7168" spans="27:27" ht="17.899999999999999" customHeight="1">
      <c r="AA7168"/>
    </row>
    <row r="7169" spans="27:27" ht="17.899999999999999" customHeight="1">
      <c r="AA7169"/>
    </row>
    <row r="7170" spans="27:27" ht="17.899999999999999" customHeight="1">
      <c r="AA7170"/>
    </row>
    <row r="7171" spans="27:27" ht="17.899999999999999" customHeight="1">
      <c r="AA7171"/>
    </row>
    <row r="7172" spans="27:27" ht="17.899999999999999" customHeight="1">
      <c r="AA7172"/>
    </row>
    <row r="7173" spans="27:27" ht="17.899999999999999" customHeight="1">
      <c r="AA7173"/>
    </row>
    <row r="7174" spans="27:27" ht="17.899999999999999" customHeight="1">
      <c r="AA7174"/>
    </row>
    <row r="7175" spans="27:27" ht="17.899999999999999" customHeight="1">
      <c r="AA7175"/>
    </row>
    <row r="7176" spans="27:27" ht="17.899999999999999" customHeight="1">
      <c r="AA7176"/>
    </row>
    <row r="7177" spans="27:27" ht="17.899999999999999" customHeight="1">
      <c r="AA7177"/>
    </row>
    <row r="7178" spans="27:27" ht="17.899999999999999" customHeight="1">
      <c r="AA7178"/>
    </row>
    <row r="7179" spans="27:27" ht="17.899999999999999" customHeight="1">
      <c r="AA7179"/>
    </row>
    <row r="7180" spans="27:27" ht="17.899999999999999" customHeight="1">
      <c r="AA7180"/>
    </row>
    <row r="7181" spans="27:27" ht="17.899999999999999" customHeight="1">
      <c r="AA7181"/>
    </row>
    <row r="7182" spans="27:27" ht="17.899999999999999" customHeight="1">
      <c r="AA7182"/>
    </row>
    <row r="7183" spans="27:27" ht="17.899999999999999" customHeight="1">
      <c r="AA7183"/>
    </row>
    <row r="7184" spans="27:27" ht="17.899999999999999" customHeight="1">
      <c r="AA7184"/>
    </row>
    <row r="7185" spans="27:27" ht="17.899999999999999" customHeight="1">
      <c r="AA7185"/>
    </row>
    <row r="7186" spans="27:27" ht="17.899999999999999" customHeight="1">
      <c r="AA7186"/>
    </row>
    <row r="7187" spans="27:27" ht="17.899999999999999" customHeight="1">
      <c r="AA7187"/>
    </row>
    <row r="7188" spans="27:27" ht="17.899999999999999" customHeight="1">
      <c r="AA7188"/>
    </row>
    <row r="7189" spans="27:27" ht="17.899999999999999" customHeight="1">
      <c r="AA7189"/>
    </row>
    <row r="7190" spans="27:27" ht="17.899999999999999" customHeight="1">
      <c r="AA7190"/>
    </row>
    <row r="7191" spans="27:27" ht="17.899999999999999" customHeight="1">
      <c r="AA7191"/>
    </row>
    <row r="7192" spans="27:27" ht="17.899999999999999" customHeight="1">
      <c r="AA7192"/>
    </row>
    <row r="7193" spans="27:27" ht="17.899999999999999" customHeight="1">
      <c r="AA7193"/>
    </row>
    <row r="7194" spans="27:27" ht="17.899999999999999" customHeight="1">
      <c r="AA7194"/>
    </row>
    <row r="7195" spans="27:27" ht="17.899999999999999" customHeight="1">
      <c r="AA7195"/>
    </row>
    <row r="7196" spans="27:27" ht="17.899999999999999" customHeight="1">
      <c r="AA7196"/>
    </row>
    <row r="7197" spans="27:27" ht="17.899999999999999" customHeight="1">
      <c r="AA7197"/>
    </row>
    <row r="7198" spans="27:27" ht="17.899999999999999" customHeight="1">
      <c r="AA7198"/>
    </row>
    <row r="7199" spans="27:27" ht="17.899999999999999" customHeight="1">
      <c r="AA7199"/>
    </row>
    <row r="7200" spans="27:27" ht="17.899999999999999" customHeight="1">
      <c r="AA7200"/>
    </row>
    <row r="7201" spans="27:27" ht="17.899999999999999" customHeight="1">
      <c r="AA7201"/>
    </row>
    <row r="7202" spans="27:27" ht="17.899999999999999" customHeight="1">
      <c r="AA7202"/>
    </row>
    <row r="7203" spans="27:27" ht="17.899999999999999" customHeight="1">
      <c r="AA7203"/>
    </row>
    <row r="7204" spans="27:27" ht="17.899999999999999" customHeight="1">
      <c r="AA7204"/>
    </row>
    <row r="7205" spans="27:27" ht="17.899999999999999" customHeight="1">
      <c r="AA7205"/>
    </row>
    <row r="7206" spans="27:27" ht="17.899999999999999" customHeight="1">
      <c r="AA7206"/>
    </row>
    <row r="7207" spans="27:27" ht="17.899999999999999" customHeight="1">
      <c r="AA7207"/>
    </row>
    <row r="7208" spans="27:27" ht="17.899999999999999" customHeight="1">
      <c r="AA7208"/>
    </row>
    <row r="7209" spans="27:27" ht="17.899999999999999" customHeight="1">
      <c r="AA7209"/>
    </row>
    <row r="7210" spans="27:27" ht="17.899999999999999" customHeight="1">
      <c r="AA7210"/>
    </row>
    <row r="7211" spans="27:27" ht="17.899999999999999" customHeight="1">
      <c r="AA7211"/>
    </row>
    <row r="7212" spans="27:27" ht="17.899999999999999" customHeight="1">
      <c r="AA7212"/>
    </row>
    <row r="7213" spans="27:27" ht="17.899999999999999" customHeight="1">
      <c r="AA7213"/>
    </row>
    <row r="7214" spans="27:27" ht="17.899999999999999" customHeight="1">
      <c r="AA7214"/>
    </row>
    <row r="7215" spans="27:27" ht="17.899999999999999" customHeight="1">
      <c r="AA7215"/>
    </row>
    <row r="7216" spans="27:27" ht="17.899999999999999" customHeight="1">
      <c r="AA7216"/>
    </row>
    <row r="7217" spans="27:27" ht="17.899999999999999" customHeight="1">
      <c r="AA7217"/>
    </row>
    <row r="7218" spans="27:27" ht="17.899999999999999" customHeight="1">
      <c r="AA7218"/>
    </row>
    <row r="7219" spans="27:27" ht="17.899999999999999" customHeight="1">
      <c r="AA7219"/>
    </row>
    <row r="7220" spans="27:27" ht="17.899999999999999" customHeight="1">
      <c r="AA7220"/>
    </row>
    <row r="7221" spans="27:27" ht="17.899999999999999" customHeight="1">
      <c r="AA7221"/>
    </row>
    <row r="7222" spans="27:27" ht="17.899999999999999" customHeight="1">
      <c r="AA7222"/>
    </row>
    <row r="7223" spans="27:27" ht="17.899999999999999" customHeight="1">
      <c r="AA7223"/>
    </row>
    <row r="7224" spans="27:27" ht="17.899999999999999" customHeight="1">
      <c r="AA7224"/>
    </row>
    <row r="7225" spans="27:27" ht="17.899999999999999" customHeight="1">
      <c r="AA7225"/>
    </row>
    <row r="7226" spans="27:27" ht="17.899999999999999" customHeight="1">
      <c r="AA7226"/>
    </row>
    <row r="7227" spans="27:27" ht="17.899999999999999" customHeight="1">
      <c r="AA7227"/>
    </row>
    <row r="7228" spans="27:27" ht="17.899999999999999" customHeight="1">
      <c r="AA7228"/>
    </row>
    <row r="7229" spans="27:27" ht="17.899999999999999" customHeight="1">
      <c r="AA7229"/>
    </row>
    <row r="7230" spans="27:27" ht="17.899999999999999" customHeight="1">
      <c r="AA7230"/>
    </row>
    <row r="7231" spans="27:27" ht="17.899999999999999" customHeight="1">
      <c r="AA7231"/>
    </row>
    <row r="7232" spans="27:27" ht="17.899999999999999" customHeight="1">
      <c r="AA7232"/>
    </row>
    <row r="7233" spans="27:27" ht="17.899999999999999" customHeight="1">
      <c r="AA7233"/>
    </row>
    <row r="7234" spans="27:27" ht="17.899999999999999" customHeight="1">
      <c r="AA7234"/>
    </row>
    <row r="7235" spans="27:27" ht="17.899999999999999" customHeight="1">
      <c r="AA7235"/>
    </row>
    <row r="7236" spans="27:27" ht="17.899999999999999" customHeight="1">
      <c r="AA7236"/>
    </row>
    <row r="7237" spans="27:27" ht="17.899999999999999" customHeight="1">
      <c r="AA7237"/>
    </row>
    <row r="7238" spans="27:27" ht="17.899999999999999" customHeight="1">
      <c r="AA7238"/>
    </row>
    <row r="7239" spans="27:27" ht="17.899999999999999" customHeight="1">
      <c r="AA7239"/>
    </row>
    <row r="7240" spans="27:27" ht="17.899999999999999" customHeight="1">
      <c r="AA7240"/>
    </row>
    <row r="7241" spans="27:27" ht="17.899999999999999" customHeight="1">
      <c r="AA7241"/>
    </row>
    <row r="7242" spans="27:27" ht="17.899999999999999" customHeight="1">
      <c r="AA7242"/>
    </row>
    <row r="7243" spans="27:27" ht="17.899999999999999" customHeight="1">
      <c r="AA7243"/>
    </row>
    <row r="7244" spans="27:27" ht="17.899999999999999" customHeight="1">
      <c r="AA7244"/>
    </row>
    <row r="7245" spans="27:27" ht="17.899999999999999" customHeight="1">
      <c r="AA7245"/>
    </row>
    <row r="7246" spans="27:27" ht="17.899999999999999" customHeight="1">
      <c r="AA7246"/>
    </row>
    <row r="7247" spans="27:27" ht="17.899999999999999" customHeight="1">
      <c r="AA7247"/>
    </row>
    <row r="7248" spans="27:27" ht="17.899999999999999" customHeight="1">
      <c r="AA7248"/>
    </row>
    <row r="7249" spans="27:27" ht="17.899999999999999" customHeight="1">
      <c r="AA7249"/>
    </row>
    <row r="7250" spans="27:27" ht="17.899999999999999" customHeight="1">
      <c r="AA7250"/>
    </row>
    <row r="7251" spans="27:27" ht="17.899999999999999" customHeight="1">
      <c r="AA7251"/>
    </row>
    <row r="7252" spans="27:27" ht="17.899999999999999" customHeight="1">
      <c r="AA7252"/>
    </row>
    <row r="7253" spans="27:27" ht="17.899999999999999" customHeight="1">
      <c r="AA7253"/>
    </row>
    <row r="7254" spans="27:27" ht="17.899999999999999" customHeight="1">
      <c r="AA7254"/>
    </row>
    <row r="7255" spans="27:27" ht="17.899999999999999" customHeight="1">
      <c r="AA7255"/>
    </row>
    <row r="7256" spans="27:27" ht="17.899999999999999" customHeight="1">
      <c r="AA7256"/>
    </row>
    <row r="7257" spans="27:27" ht="17.899999999999999" customHeight="1">
      <c r="AA7257"/>
    </row>
    <row r="7258" spans="27:27" ht="17.899999999999999" customHeight="1">
      <c r="AA7258"/>
    </row>
    <row r="7259" spans="27:27" ht="17.899999999999999" customHeight="1">
      <c r="AA7259"/>
    </row>
    <row r="7260" spans="27:27" ht="17.899999999999999" customHeight="1">
      <c r="AA7260"/>
    </row>
    <row r="7261" spans="27:27" ht="17.899999999999999" customHeight="1">
      <c r="AA7261"/>
    </row>
    <row r="7262" spans="27:27" ht="17.899999999999999" customHeight="1">
      <c r="AA7262"/>
    </row>
    <row r="7263" spans="27:27" ht="17.899999999999999" customHeight="1">
      <c r="AA7263"/>
    </row>
    <row r="7264" spans="27:27" ht="17.899999999999999" customHeight="1">
      <c r="AA7264"/>
    </row>
    <row r="7265" spans="27:27" ht="17.899999999999999" customHeight="1">
      <c r="AA7265"/>
    </row>
    <row r="7266" spans="27:27" ht="17.899999999999999" customHeight="1">
      <c r="AA7266"/>
    </row>
    <row r="7267" spans="27:27" ht="17.899999999999999" customHeight="1">
      <c r="AA7267"/>
    </row>
    <row r="7268" spans="27:27" ht="17.899999999999999" customHeight="1">
      <c r="AA7268"/>
    </row>
    <row r="7269" spans="27:27" ht="17.899999999999999" customHeight="1">
      <c r="AA7269"/>
    </row>
    <row r="7270" spans="27:27" ht="17.899999999999999" customHeight="1">
      <c r="AA7270"/>
    </row>
    <row r="7271" spans="27:27" ht="17.899999999999999" customHeight="1">
      <c r="AA7271"/>
    </row>
    <row r="7272" spans="27:27" ht="17.899999999999999" customHeight="1">
      <c r="AA7272"/>
    </row>
    <row r="7273" spans="27:27" ht="17.899999999999999" customHeight="1">
      <c r="AA7273"/>
    </row>
    <row r="7274" spans="27:27" ht="17.899999999999999" customHeight="1">
      <c r="AA7274"/>
    </row>
    <row r="7275" spans="27:27" ht="17.899999999999999" customHeight="1">
      <c r="AA7275"/>
    </row>
    <row r="7276" spans="27:27" ht="17.899999999999999" customHeight="1">
      <c r="AA7276"/>
    </row>
    <row r="7277" spans="27:27" ht="17.899999999999999" customHeight="1">
      <c r="AA7277"/>
    </row>
    <row r="7278" spans="27:27" ht="17.899999999999999" customHeight="1">
      <c r="AA7278"/>
    </row>
    <row r="7279" spans="27:27" ht="17.899999999999999" customHeight="1">
      <c r="AA7279"/>
    </row>
    <row r="7280" spans="27:27" ht="17.899999999999999" customHeight="1">
      <c r="AA7280"/>
    </row>
    <row r="7281" spans="27:27" ht="17.899999999999999" customHeight="1">
      <c r="AA7281"/>
    </row>
    <row r="7282" spans="27:27" ht="17.899999999999999" customHeight="1">
      <c r="AA7282"/>
    </row>
    <row r="7283" spans="27:27" ht="17.899999999999999" customHeight="1">
      <c r="AA7283"/>
    </row>
    <row r="7284" spans="27:27" ht="17.899999999999999" customHeight="1">
      <c r="AA7284"/>
    </row>
    <row r="7285" spans="27:27" ht="17.899999999999999" customHeight="1">
      <c r="AA7285"/>
    </row>
    <row r="7286" spans="27:27" ht="17.899999999999999" customHeight="1">
      <c r="AA7286"/>
    </row>
    <row r="7287" spans="27:27" ht="17.899999999999999" customHeight="1">
      <c r="AA7287"/>
    </row>
    <row r="7288" spans="27:27" ht="17.899999999999999" customHeight="1">
      <c r="AA7288"/>
    </row>
    <row r="7289" spans="27:27" ht="17.899999999999999" customHeight="1">
      <c r="AA7289"/>
    </row>
    <row r="7290" spans="27:27" ht="17.899999999999999" customHeight="1">
      <c r="AA7290"/>
    </row>
    <row r="7291" spans="27:27" ht="17.899999999999999" customHeight="1">
      <c r="AA7291"/>
    </row>
    <row r="7292" spans="27:27" ht="17.899999999999999" customHeight="1">
      <c r="AA7292"/>
    </row>
    <row r="7293" spans="27:27" ht="17.899999999999999" customHeight="1">
      <c r="AA7293"/>
    </row>
    <row r="7294" spans="27:27" ht="17.899999999999999" customHeight="1">
      <c r="AA7294"/>
    </row>
    <row r="7295" spans="27:27" ht="17.899999999999999" customHeight="1">
      <c r="AA7295"/>
    </row>
    <row r="7296" spans="27:27" ht="17.899999999999999" customHeight="1">
      <c r="AA7296"/>
    </row>
    <row r="7297" spans="27:27" ht="17.899999999999999" customHeight="1">
      <c r="AA7297"/>
    </row>
    <row r="7298" spans="27:27" ht="17.899999999999999" customHeight="1">
      <c r="AA7298"/>
    </row>
    <row r="7299" spans="27:27" ht="17.899999999999999" customHeight="1">
      <c r="AA7299"/>
    </row>
    <row r="7300" spans="27:27" ht="17.899999999999999" customHeight="1">
      <c r="AA7300"/>
    </row>
    <row r="7301" spans="27:27" ht="17.899999999999999" customHeight="1">
      <c r="AA7301"/>
    </row>
    <row r="7302" spans="27:27" ht="17.899999999999999" customHeight="1">
      <c r="AA7302"/>
    </row>
    <row r="7303" spans="27:27" ht="17.899999999999999" customHeight="1">
      <c r="AA7303"/>
    </row>
    <row r="7304" spans="27:27" ht="17.899999999999999" customHeight="1">
      <c r="AA7304"/>
    </row>
    <row r="7305" spans="27:27" ht="17.899999999999999" customHeight="1">
      <c r="AA7305"/>
    </row>
    <row r="7306" spans="27:27" ht="17.899999999999999" customHeight="1">
      <c r="AA7306"/>
    </row>
    <row r="7307" spans="27:27" ht="17.899999999999999" customHeight="1">
      <c r="AA7307"/>
    </row>
    <row r="7308" spans="27:27" ht="17.899999999999999" customHeight="1">
      <c r="AA7308"/>
    </row>
    <row r="7309" spans="27:27" ht="17.899999999999999" customHeight="1">
      <c r="AA7309"/>
    </row>
    <row r="7310" spans="27:27" ht="17.899999999999999" customHeight="1">
      <c r="AA7310"/>
    </row>
    <row r="7311" spans="27:27" ht="17.899999999999999" customHeight="1">
      <c r="AA7311"/>
    </row>
    <row r="7312" spans="27:27" ht="17.899999999999999" customHeight="1">
      <c r="AA7312"/>
    </row>
    <row r="7313" spans="27:27" ht="17.899999999999999" customHeight="1">
      <c r="AA7313"/>
    </row>
    <row r="7314" spans="27:27" ht="17.899999999999999" customHeight="1">
      <c r="AA7314"/>
    </row>
    <row r="7315" spans="27:27" ht="17.899999999999999" customHeight="1">
      <c r="AA7315"/>
    </row>
    <row r="7316" spans="27:27" ht="17.899999999999999" customHeight="1">
      <c r="AA7316"/>
    </row>
    <row r="7317" spans="27:27" ht="17.899999999999999" customHeight="1">
      <c r="AA7317"/>
    </row>
    <row r="7318" spans="27:27" ht="17.899999999999999" customHeight="1">
      <c r="AA7318"/>
    </row>
    <row r="7319" spans="27:27" ht="17.899999999999999" customHeight="1">
      <c r="AA7319"/>
    </row>
    <row r="7320" spans="27:27" ht="17.899999999999999" customHeight="1">
      <c r="AA7320"/>
    </row>
    <row r="7321" spans="27:27" ht="17.899999999999999" customHeight="1">
      <c r="AA7321"/>
    </row>
    <row r="7322" spans="27:27" ht="17.899999999999999" customHeight="1">
      <c r="AA7322"/>
    </row>
    <row r="7323" spans="27:27" ht="17.899999999999999" customHeight="1">
      <c r="AA7323"/>
    </row>
    <row r="7324" spans="27:27" ht="17.899999999999999" customHeight="1">
      <c r="AA7324"/>
    </row>
    <row r="7325" spans="27:27" ht="17.899999999999999" customHeight="1">
      <c r="AA7325"/>
    </row>
    <row r="7326" spans="27:27" ht="17.899999999999999" customHeight="1">
      <c r="AA7326"/>
    </row>
    <row r="7327" spans="27:27" ht="17.899999999999999" customHeight="1">
      <c r="AA7327"/>
    </row>
    <row r="7328" spans="27:27" ht="17.899999999999999" customHeight="1">
      <c r="AA7328"/>
    </row>
    <row r="7329" spans="27:27" ht="17.899999999999999" customHeight="1">
      <c r="AA7329"/>
    </row>
    <row r="7330" spans="27:27" ht="17.899999999999999" customHeight="1">
      <c r="AA7330"/>
    </row>
    <row r="7331" spans="27:27" ht="17.899999999999999" customHeight="1">
      <c r="AA7331"/>
    </row>
    <row r="7332" spans="27:27" ht="17.899999999999999" customHeight="1">
      <c r="AA7332"/>
    </row>
    <row r="7333" spans="27:27" ht="17.899999999999999" customHeight="1">
      <c r="AA7333"/>
    </row>
    <row r="7334" spans="27:27" ht="17.899999999999999" customHeight="1">
      <c r="AA7334"/>
    </row>
    <row r="7335" spans="27:27" ht="17.899999999999999" customHeight="1">
      <c r="AA7335"/>
    </row>
    <row r="7336" spans="27:27" ht="17.899999999999999" customHeight="1">
      <c r="AA7336"/>
    </row>
    <row r="7337" spans="27:27" ht="17.899999999999999" customHeight="1">
      <c r="AA7337"/>
    </row>
    <row r="7338" spans="27:27" ht="17.899999999999999" customHeight="1">
      <c r="AA7338"/>
    </row>
    <row r="7339" spans="27:27" ht="17.899999999999999" customHeight="1">
      <c r="AA7339"/>
    </row>
    <row r="7340" spans="27:27" ht="17.899999999999999" customHeight="1">
      <c r="AA7340"/>
    </row>
    <row r="7341" spans="27:27" ht="17.899999999999999" customHeight="1">
      <c r="AA7341"/>
    </row>
    <row r="7342" spans="27:27" ht="17.899999999999999" customHeight="1">
      <c r="AA7342"/>
    </row>
    <row r="7343" spans="27:27" ht="17.899999999999999" customHeight="1">
      <c r="AA7343"/>
    </row>
    <row r="7344" spans="27:27" ht="17.899999999999999" customHeight="1">
      <c r="AA7344"/>
    </row>
    <row r="7345" spans="27:27" ht="17.899999999999999" customHeight="1">
      <c r="AA7345"/>
    </row>
    <row r="7346" spans="27:27" ht="17.899999999999999" customHeight="1">
      <c r="AA7346"/>
    </row>
    <row r="7347" spans="27:27" ht="17.899999999999999" customHeight="1">
      <c r="AA7347"/>
    </row>
    <row r="7348" spans="27:27" ht="17.899999999999999" customHeight="1">
      <c r="AA7348"/>
    </row>
    <row r="7349" spans="27:27" ht="17.899999999999999" customHeight="1">
      <c r="AA7349"/>
    </row>
    <row r="7350" spans="27:27" ht="17.899999999999999" customHeight="1">
      <c r="AA7350"/>
    </row>
    <row r="7351" spans="27:27" ht="17.899999999999999" customHeight="1">
      <c r="AA7351"/>
    </row>
    <row r="7352" spans="27:27" ht="17.899999999999999" customHeight="1">
      <c r="AA7352"/>
    </row>
    <row r="7353" spans="27:27" ht="17.899999999999999" customHeight="1">
      <c r="AA7353"/>
    </row>
    <row r="7354" spans="27:27" ht="17.899999999999999" customHeight="1">
      <c r="AA7354"/>
    </row>
    <row r="7355" spans="27:27" ht="17.899999999999999" customHeight="1">
      <c r="AA7355"/>
    </row>
    <row r="7356" spans="27:27" ht="17.899999999999999" customHeight="1">
      <c r="AA7356"/>
    </row>
    <row r="7357" spans="27:27" ht="17.899999999999999" customHeight="1">
      <c r="AA7357"/>
    </row>
    <row r="7358" spans="27:27" ht="17.899999999999999" customHeight="1">
      <c r="AA7358"/>
    </row>
    <row r="7359" spans="27:27" ht="17.899999999999999" customHeight="1">
      <c r="AA7359"/>
    </row>
    <row r="7360" spans="27:27" ht="17.899999999999999" customHeight="1">
      <c r="AA7360"/>
    </row>
    <row r="7361" spans="27:27" ht="17.899999999999999" customHeight="1">
      <c r="AA7361"/>
    </row>
    <row r="7362" spans="27:27" ht="17.899999999999999" customHeight="1">
      <c r="AA7362"/>
    </row>
    <row r="7363" spans="27:27" ht="17.899999999999999" customHeight="1">
      <c r="AA7363"/>
    </row>
    <row r="7364" spans="27:27" ht="17.899999999999999" customHeight="1">
      <c r="AA7364"/>
    </row>
    <row r="7365" spans="27:27" ht="17.899999999999999" customHeight="1">
      <c r="AA7365"/>
    </row>
    <row r="7366" spans="27:27" ht="17.899999999999999" customHeight="1">
      <c r="AA7366"/>
    </row>
    <row r="7367" spans="27:27" ht="17.899999999999999" customHeight="1">
      <c r="AA7367"/>
    </row>
    <row r="7368" spans="27:27" ht="17.899999999999999" customHeight="1">
      <c r="AA7368"/>
    </row>
    <row r="7369" spans="27:27" ht="17.899999999999999" customHeight="1">
      <c r="AA7369"/>
    </row>
    <row r="7370" spans="27:27" ht="17.899999999999999" customHeight="1">
      <c r="AA7370"/>
    </row>
    <row r="7371" spans="27:27" ht="17.899999999999999" customHeight="1">
      <c r="AA7371"/>
    </row>
    <row r="7372" spans="27:27" ht="17.899999999999999" customHeight="1">
      <c r="AA7372"/>
    </row>
    <row r="7373" spans="27:27" ht="17.899999999999999" customHeight="1">
      <c r="AA7373"/>
    </row>
    <row r="7374" spans="27:27" ht="17.899999999999999" customHeight="1">
      <c r="AA7374"/>
    </row>
    <row r="7375" spans="27:27" ht="17.899999999999999" customHeight="1">
      <c r="AA7375"/>
    </row>
    <row r="7376" spans="27:27" ht="17.899999999999999" customHeight="1">
      <c r="AA7376"/>
    </row>
    <row r="7377" spans="27:27" ht="17.899999999999999" customHeight="1">
      <c r="AA7377"/>
    </row>
    <row r="7378" spans="27:27" ht="17.899999999999999" customHeight="1">
      <c r="AA7378"/>
    </row>
    <row r="7379" spans="27:27" ht="17.899999999999999" customHeight="1">
      <c r="AA7379"/>
    </row>
    <row r="7380" spans="27:27" ht="17.899999999999999" customHeight="1">
      <c r="AA7380"/>
    </row>
    <row r="7381" spans="27:27" ht="17.899999999999999" customHeight="1">
      <c r="AA7381"/>
    </row>
    <row r="7382" spans="27:27" ht="17.899999999999999" customHeight="1">
      <c r="AA7382"/>
    </row>
    <row r="7383" spans="27:27" ht="17.899999999999999" customHeight="1">
      <c r="AA7383"/>
    </row>
    <row r="7384" spans="27:27" ht="17.899999999999999" customHeight="1">
      <c r="AA7384"/>
    </row>
    <row r="7385" spans="27:27" ht="17.899999999999999" customHeight="1">
      <c r="AA7385"/>
    </row>
    <row r="7386" spans="27:27" ht="17.899999999999999" customHeight="1">
      <c r="AA7386"/>
    </row>
    <row r="7387" spans="27:27" ht="17.899999999999999" customHeight="1">
      <c r="AA7387"/>
    </row>
    <row r="7388" spans="27:27" ht="17.899999999999999" customHeight="1">
      <c r="AA7388"/>
    </row>
    <row r="7389" spans="27:27" ht="17.899999999999999" customHeight="1">
      <c r="AA7389"/>
    </row>
    <row r="7390" spans="27:27" ht="17.899999999999999" customHeight="1">
      <c r="AA7390"/>
    </row>
    <row r="7391" spans="27:27" ht="17.899999999999999" customHeight="1">
      <c r="AA7391"/>
    </row>
    <row r="7392" spans="27:27" ht="17.899999999999999" customHeight="1">
      <c r="AA7392"/>
    </row>
    <row r="7393" spans="27:27" ht="17.899999999999999" customHeight="1">
      <c r="AA7393"/>
    </row>
    <row r="7394" spans="27:27" ht="17.899999999999999" customHeight="1">
      <c r="AA7394"/>
    </row>
    <row r="7395" spans="27:27" ht="17.899999999999999" customHeight="1">
      <c r="AA7395"/>
    </row>
    <row r="7396" spans="27:27" ht="17.899999999999999" customHeight="1">
      <c r="AA7396"/>
    </row>
    <row r="7397" spans="27:27" ht="17.899999999999999" customHeight="1">
      <c r="AA7397"/>
    </row>
    <row r="7398" spans="27:27" ht="17.899999999999999" customHeight="1">
      <c r="AA7398"/>
    </row>
    <row r="7399" spans="27:27" ht="17.899999999999999" customHeight="1">
      <c r="AA7399"/>
    </row>
    <row r="7400" spans="27:27" ht="17.899999999999999" customHeight="1">
      <c r="AA7400"/>
    </row>
    <row r="7401" spans="27:27" ht="17.899999999999999" customHeight="1">
      <c r="AA7401"/>
    </row>
    <row r="7402" spans="27:27" ht="17.899999999999999" customHeight="1">
      <c r="AA7402"/>
    </row>
    <row r="7403" spans="27:27" ht="17.899999999999999" customHeight="1">
      <c r="AA7403"/>
    </row>
    <row r="7404" spans="27:27" ht="17.899999999999999" customHeight="1">
      <c r="AA7404"/>
    </row>
    <row r="7405" spans="27:27" ht="17.899999999999999" customHeight="1">
      <c r="AA7405"/>
    </row>
    <row r="7406" spans="27:27" ht="17.899999999999999" customHeight="1">
      <c r="AA7406"/>
    </row>
    <row r="7407" spans="27:27" ht="17.899999999999999" customHeight="1">
      <c r="AA7407"/>
    </row>
    <row r="7408" spans="27:27" ht="17.899999999999999" customHeight="1">
      <c r="AA7408"/>
    </row>
    <row r="7409" spans="27:27" ht="17.899999999999999" customHeight="1">
      <c r="AA7409"/>
    </row>
    <row r="7410" spans="27:27" ht="17.899999999999999" customHeight="1">
      <c r="AA7410"/>
    </row>
    <row r="7411" spans="27:27" ht="17.899999999999999" customHeight="1">
      <c r="AA7411"/>
    </row>
    <row r="7412" spans="27:27" ht="17.899999999999999" customHeight="1">
      <c r="AA7412"/>
    </row>
    <row r="7413" spans="27:27" ht="17.899999999999999" customHeight="1">
      <c r="AA7413"/>
    </row>
    <row r="7414" spans="27:27" ht="17.899999999999999" customHeight="1">
      <c r="AA7414"/>
    </row>
    <row r="7415" spans="27:27" ht="17.899999999999999" customHeight="1">
      <c r="AA7415"/>
    </row>
    <row r="7416" spans="27:27" ht="17.899999999999999" customHeight="1">
      <c r="AA7416"/>
    </row>
    <row r="7417" spans="27:27" ht="17.899999999999999" customHeight="1">
      <c r="AA7417"/>
    </row>
    <row r="7418" spans="27:27" ht="17.899999999999999" customHeight="1">
      <c r="AA7418"/>
    </row>
    <row r="7419" spans="27:27" ht="17.899999999999999" customHeight="1">
      <c r="AA7419"/>
    </row>
    <row r="7420" spans="27:27" ht="17.899999999999999" customHeight="1">
      <c r="AA7420"/>
    </row>
    <row r="7421" spans="27:27" ht="17.899999999999999" customHeight="1">
      <c r="AA7421"/>
    </row>
    <row r="7422" spans="27:27" ht="17.899999999999999" customHeight="1">
      <c r="AA7422"/>
    </row>
    <row r="7423" spans="27:27" ht="17.899999999999999" customHeight="1">
      <c r="AA7423"/>
    </row>
    <row r="7424" spans="27:27" ht="17.899999999999999" customHeight="1">
      <c r="AA7424"/>
    </row>
    <row r="7425" spans="27:27" ht="17.899999999999999" customHeight="1">
      <c r="AA7425"/>
    </row>
    <row r="7426" spans="27:27" ht="17.899999999999999" customHeight="1">
      <c r="AA7426"/>
    </row>
    <row r="7427" spans="27:27" ht="17.899999999999999" customHeight="1">
      <c r="AA7427"/>
    </row>
    <row r="7428" spans="27:27" ht="17.899999999999999" customHeight="1">
      <c r="AA7428"/>
    </row>
    <row r="7429" spans="27:27" ht="17.899999999999999" customHeight="1">
      <c r="AA7429"/>
    </row>
    <row r="7430" spans="27:27" ht="17.899999999999999" customHeight="1">
      <c r="AA7430"/>
    </row>
    <row r="7431" spans="27:27" ht="17.899999999999999" customHeight="1">
      <c r="AA7431"/>
    </row>
    <row r="7432" spans="27:27" ht="17.899999999999999" customHeight="1">
      <c r="AA7432"/>
    </row>
    <row r="7433" spans="27:27" ht="17.899999999999999" customHeight="1">
      <c r="AA7433"/>
    </row>
    <row r="7434" spans="27:27" ht="17.899999999999999" customHeight="1">
      <c r="AA7434"/>
    </row>
    <row r="7435" spans="27:27" ht="17.899999999999999" customHeight="1">
      <c r="AA7435"/>
    </row>
    <row r="7436" spans="27:27" ht="17.899999999999999" customHeight="1">
      <c r="AA7436"/>
    </row>
    <row r="7437" spans="27:27" ht="17.899999999999999" customHeight="1">
      <c r="AA7437"/>
    </row>
    <row r="7438" spans="27:27" ht="17.899999999999999" customHeight="1">
      <c r="AA7438"/>
    </row>
    <row r="7439" spans="27:27" ht="17.899999999999999" customHeight="1">
      <c r="AA7439"/>
    </row>
    <row r="7440" spans="27:27" ht="17.899999999999999" customHeight="1">
      <c r="AA7440"/>
    </row>
    <row r="7441" spans="27:27" ht="17.899999999999999" customHeight="1">
      <c r="AA7441"/>
    </row>
    <row r="7442" spans="27:27" ht="17.899999999999999" customHeight="1">
      <c r="AA7442"/>
    </row>
    <row r="7443" spans="27:27" ht="17.899999999999999" customHeight="1">
      <c r="AA7443"/>
    </row>
    <row r="7444" spans="27:27" ht="17.899999999999999" customHeight="1">
      <c r="AA7444"/>
    </row>
    <row r="7445" spans="27:27" ht="17.899999999999999" customHeight="1">
      <c r="AA7445"/>
    </row>
    <row r="7446" spans="27:27" ht="17.899999999999999" customHeight="1">
      <c r="AA7446"/>
    </row>
    <row r="7447" spans="27:27" ht="17.899999999999999" customHeight="1">
      <c r="AA7447"/>
    </row>
    <row r="7448" spans="27:27" ht="17.899999999999999" customHeight="1">
      <c r="AA7448"/>
    </row>
    <row r="7449" spans="27:27" ht="17.899999999999999" customHeight="1">
      <c r="AA7449"/>
    </row>
    <row r="7450" spans="27:27" ht="17.899999999999999" customHeight="1">
      <c r="AA7450"/>
    </row>
    <row r="7451" spans="27:27" ht="17.899999999999999" customHeight="1">
      <c r="AA7451"/>
    </row>
    <row r="7452" spans="27:27" ht="17.899999999999999" customHeight="1">
      <c r="AA7452"/>
    </row>
    <row r="7453" spans="27:27" ht="17.899999999999999" customHeight="1">
      <c r="AA7453"/>
    </row>
    <row r="7454" spans="27:27" ht="17.899999999999999" customHeight="1">
      <c r="AA7454"/>
    </row>
    <row r="7455" spans="27:27" ht="17.899999999999999" customHeight="1">
      <c r="AA7455"/>
    </row>
    <row r="7456" spans="27:27" ht="17.899999999999999" customHeight="1">
      <c r="AA7456"/>
    </row>
    <row r="7457" spans="27:27" ht="17.899999999999999" customHeight="1">
      <c r="AA7457"/>
    </row>
    <row r="7458" spans="27:27" ht="17.899999999999999" customHeight="1">
      <c r="AA7458"/>
    </row>
    <row r="7459" spans="27:27" ht="17.899999999999999" customHeight="1">
      <c r="AA7459"/>
    </row>
    <row r="7460" spans="27:27" ht="17.899999999999999" customHeight="1">
      <c r="AA7460"/>
    </row>
    <row r="7461" spans="27:27" ht="17.899999999999999" customHeight="1">
      <c r="AA7461"/>
    </row>
    <row r="7462" spans="27:27" ht="17.899999999999999" customHeight="1">
      <c r="AA7462"/>
    </row>
    <row r="7463" spans="27:27" ht="17.899999999999999" customHeight="1">
      <c r="AA7463"/>
    </row>
    <row r="7464" spans="27:27" ht="17.899999999999999" customHeight="1">
      <c r="AA7464"/>
    </row>
    <row r="7465" spans="27:27" ht="17.899999999999999" customHeight="1">
      <c r="AA7465"/>
    </row>
    <row r="7466" spans="27:27" ht="17.899999999999999" customHeight="1">
      <c r="AA7466"/>
    </row>
    <row r="7467" spans="27:27" ht="17.899999999999999" customHeight="1">
      <c r="AA7467"/>
    </row>
    <row r="7468" spans="27:27" ht="17.899999999999999" customHeight="1">
      <c r="AA7468"/>
    </row>
    <row r="7469" spans="27:27" ht="17.899999999999999" customHeight="1">
      <c r="AA7469"/>
    </row>
    <row r="7470" spans="27:27" ht="17.899999999999999" customHeight="1">
      <c r="AA7470"/>
    </row>
    <row r="7471" spans="27:27" ht="17.899999999999999" customHeight="1">
      <c r="AA7471"/>
    </row>
    <row r="7472" spans="27:27" ht="17.899999999999999" customHeight="1">
      <c r="AA7472"/>
    </row>
    <row r="7473" spans="27:27" ht="17.899999999999999" customHeight="1">
      <c r="AA7473"/>
    </row>
    <row r="7474" spans="27:27" ht="17.899999999999999" customHeight="1">
      <c r="AA7474"/>
    </row>
    <row r="7475" spans="27:27" ht="17.899999999999999" customHeight="1">
      <c r="AA7475"/>
    </row>
    <row r="7476" spans="27:27" ht="17.899999999999999" customHeight="1">
      <c r="AA7476"/>
    </row>
    <row r="7477" spans="27:27" ht="17.899999999999999" customHeight="1">
      <c r="AA7477"/>
    </row>
    <row r="7478" spans="27:27" ht="17.899999999999999" customHeight="1">
      <c r="AA7478"/>
    </row>
    <row r="7479" spans="27:27" ht="17.899999999999999" customHeight="1">
      <c r="AA7479"/>
    </row>
    <row r="7480" spans="27:27" ht="17.899999999999999" customHeight="1">
      <c r="AA7480"/>
    </row>
    <row r="7481" spans="27:27" ht="17.899999999999999" customHeight="1">
      <c r="AA7481"/>
    </row>
    <row r="7482" spans="27:27" ht="17.899999999999999" customHeight="1">
      <c r="AA7482"/>
    </row>
    <row r="7483" spans="27:27" ht="17.899999999999999" customHeight="1">
      <c r="AA7483"/>
    </row>
    <row r="7484" spans="27:27" ht="17.899999999999999" customHeight="1">
      <c r="AA7484"/>
    </row>
    <row r="7485" spans="27:27" ht="17.899999999999999" customHeight="1">
      <c r="AA7485"/>
    </row>
    <row r="7486" spans="27:27" ht="17.899999999999999" customHeight="1">
      <c r="AA7486"/>
    </row>
    <row r="7487" spans="27:27" ht="17.899999999999999" customHeight="1">
      <c r="AA7487"/>
    </row>
    <row r="7488" spans="27:27" ht="17.899999999999999" customHeight="1">
      <c r="AA7488"/>
    </row>
    <row r="7489" spans="27:27" ht="17.899999999999999" customHeight="1">
      <c r="AA7489"/>
    </row>
    <row r="7490" spans="27:27" ht="17.899999999999999" customHeight="1">
      <c r="AA7490"/>
    </row>
    <row r="7491" spans="27:27" ht="17.899999999999999" customHeight="1">
      <c r="AA7491"/>
    </row>
    <row r="7492" spans="27:27" ht="17.899999999999999" customHeight="1">
      <c r="AA7492"/>
    </row>
    <row r="7493" spans="27:27" ht="17.899999999999999" customHeight="1">
      <c r="AA7493"/>
    </row>
    <row r="7494" spans="27:27" ht="17.899999999999999" customHeight="1">
      <c r="AA7494"/>
    </row>
    <row r="7495" spans="27:27" ht="17.899999999999999" customHeight="1">
      <c r="AA7495"/>
    </row>
    <row r="7496" spans="27:27" ht="17.899999999999999" customHeight="1">
      <c r="AA7496"/>
    </row>
    <row r="7497" spans="27:27" ht="17.899999999999999" customHeight="1">
      <c r="AA7497"/>
    </row>
    <row r="7498" spans="27:27" ht="17.899999999999999" customHeight="1">
      <c r="AA7498"/>
    </row>
    <row r="7499" spans="27:27" ht="17.899999999999999" customHeight="1">
      <c r="AA7499"/>
    </row>
    <row r="7500" spans="27:27" ht="17.899999999999999" customHeight="1">
      <c r="AA7500"/>
    </row>
    <row r="7501" spans="27:27" ht="17.899999999999999" customHeight="1">
      <c r="AA7501"/>
    </row>
    <row r="7502" spans="27:27" ht="17.899999999999999" customHeight="1">
      <c r="AA7502"/>
    </row>
    <row r="7503" spans="27:27" ht="17.899999999999999" customHeight="1">
      <c r="AA7503"/>
    </row>
    <row r="7504" spans="27:27" ht="17.899999999999999" customHeight="1">
      <c r="AA7504"/>
    </row>
    <row r="7505" spans="27:27" ht="17.899999999999999" customHeight="1">
      <c r="AA7505"/>
    </row>
    <row r="7506" spans="27:27" ht="17.899999999999999" customHeight="1">
      <c r="AA7506"/>
    </row>
    <row r="7507" spans="27:27" ht="17.899999999999999" customHeight="1">
      <c r="AA7507"/>
    </row>
    <row r="7508" spans="27:27" ht="17.899999999999999" customHeight="1">
      <c r="AA7508"/>
    </row>
    <row r="7509" spans="27:27" ht="17.899999999999999" customHeight="1">
      <c r="AA7509"/>
    </row>
    <row r="7510" spans="27:27" ht="17.899999999999999" customHeight="1">
      <c r="AA7510"/>
    </row>
    <row r="7511" spans="27:27" ht="17.899999999999999" customHeight="1">
      <c r="AA7511"/>
    </row>
    <row r="7512" spans="27:27" ht="17.899999999999999" customHeight="1">
      <c r="AA7512"/>
    </row>
    <row r="7513" spans="27:27" ht="17.899999999999999" customHeight="1">
      <c r="AA7513"/>
    </row>
    <row r="7514" spans="27:27" ht="17.899999999999999" customHeight="1">
      <c r="AA7514"/>
    </row>
    <row r="7515" spans="27:27" ht="17.899999999999999" customHeight="1">
      <c r="AA7515"/>
    </row>
    <row r="7516" spans="27:27" ht="17.899999999999999" customHeight="1">
      <c r="AA7516"/>
    </row>
    <row r="7517" spans="27:27" ht="17.899999999999999" customHeight="1">
      <c r="AA7517"/>
    </row>
    <row r="7518" spans="27:27" ht="17.899999999999999" customHeight="1">
      <c r="AA7518"/>
    </row>
    <row r="7519" spans="27:27" ht="17.899999999999999" customHeight="1">
      <c r="AA7519"/>
    </row>
    <row r="7520" spans="27:27" ht="17.899999999999999" customHeight="1">
      <c r="AA7520"/>
    </row>
    <row r="7521" spans="27:27" ht="17.899999999999999" customHeight="1">
      <c r="AA7521"/>
    </row>
    <row r="7522" spans="27:27" ht="17.899999999999999" customHeight="1">
      <c r="AA7522"/>
    </row>
    <row r="7523" spans="27:27" ht="17.899999999999999" customHeight="1">
      <c r="AA7523"/>
    </row>
    <row r="7524" spans="27:27" ht="17.899999999999999" customHeight="1">
      <c r="AA7524"/>
    </row>
    <row r="7525" spans="27:27" ht="17.899999999999999" customHeight="1">
      <c r="AA7525"/>
    </row>
    <row r="7526" spans="27:27" ht="17.899999999999999" customHeight="1">
      <c r="AA7526"/>
    </row>
    <row r="7527" spans="27:27" ht="17.899999999999999" customHeight="1">
      <c r="AA7527"/>
    </row>
    <row r="7528" spans="27:27" ht="17.899999999999999" customHeight="1">
      <c r="AA7528"/>
    </row>
    <row r="7529" spans="27:27" ht="17.899999999999999" customHeight="1">
      <c r="AA7529"/>
    </row>
    <row r="7530" spans="27:27" ht="17.899999999999999" customHeight="1">
      <c r="AA7530"/>
    </row>
    <row r="7531" spans="27:27" ht="17.899999999999999" customHeight="1">
      <c r="AA7531"/>
    </row>
    <row r="7532" spans="27:27" ht="17.899999999999999" customHeight="1">
      <c r="AA7532"/>
    </row>
    <row r="7533" spans="27:27" ht="17.899999999999999" customHeight="1">
      <c r="AA7533"/>
    </row>
    <row r="7534" spans="27:27" ht="17.899999999999999" customHeight="1">
      <c r="AA7534"/>
    </row>
    <row r="7535" spans="27:27" ht="17.899999999999999" customHeight="1">
      <c r="AA7535"/>
    </row>
    <row r="7536" spans="27:27" ht="17.899999999999999" customHeight="1">
      <c r="AA7536"/>
    </row>
    <row r="7537" spans="27:27" ht="17.899999999999999" customHeight="1">
      <c r="AA7537"/>
    </row>
    <row r="7538" spans="27:27" ht="17.899999999999999" customHeight="1">
      <c r="AA7538"/>
    </row>
    <row r="7539" spans="27:27" ht="17.899999999999999" customHeight="1">
      <c r="AA7539"/>
    </row>
    <row r="7540" spans="27:27" ht="17.899999999999999" customHeight="1">
      <c r="AA7540"/>
    </row>
    <row r="7541" spans="27:27" ht="17.899999999999999" customHeight="1">
      <c r="AA7541"/>
    </row>
    <row r="7542" spans="27:27" ht="17.899999999999999" customHeight="1">
      <c r="AA7542"/>
    </row>
    <row r="7543" spans="27:27" ht="17.899999999999999" customHeight="1">
      <c r="AA7543"/>
    </row>
    <row r="7544" spans="27:27" ht="17.899999999999999" customHeight="1">
      <c r="AA7544"/>
    </row>
    <row r="7545" spans="27:27" ht="17.899999999999999" customHeight="1">
      <c r="AA7545"/>
    </row>
    <row r="7546" spans="27:27" ht="17.899999999999999" customHeight="1">
      <c r="AA7546"/>
    </row>
    <row r="7547" spans="27:27" ht="17.899999999999999" customHeight="1">
      <c r="AA7547"/>
    </row>
    <row r="7548" spans="27:27" ht="17.899999999999999" customHeight="1">
      <c r="AA7548"/>
    </row>
    <row r="7549" spans="27:27" ht="17.899999999999999" customHeight="1">
      <c r="AA7549"/>
    </row>
    <row r="7550" spans="27:27" ht="17.899999999999999" customHeight="1">
      <c r="AA7550"/>
    </row>
    <row r="7551" spans="27:27" ht="17.899999999999999" customHeight="1">
      <c r="AA7551"/>
    </row>
    <row r="7552" spans="27:27" ht="17.899999999999999" customHeight="1">
      <c r="AA7552"/>
    </row>
    <row r="7553" spans="27:27" ht="17.899999999999999" customHeight="1">
      <c r="AA7553"/>
    </row>
    <row r="7554" spans="27:27" ht="17.899999999999999" customHeight="1">
      <c r="AA7554"/>
    </row>
    <row r="7555" spans="27:27" ht="17.899999999999999" customHeight="1">
      <c r="AA7555"/>
    </row>
    <row r="7556" spans="27:27" ht="17.899999999999999" customHeight="1">
      <c r="AA7556"/>
    </row>
    <row r="7557" spans="27:27" ht="17.899999999999999" customHeight="1">
      <c r="AA7557"/>
    </row>
    <row r="7558" spans="27:27" ht="17.899999999999999" customHeight="1">
      <c r="AA7558"/>
    </row>
    <row r="7559" spans="27:27" ht="17.899999999999999" customHeight="1">
      <c r="AA7559"/>
    </row>
    <row r="7560" spans="27:27" ht="17.899999999999999" customHeight="1">
      <c r="AA7560"/>
    </row>
    <row r="7561" spans="27:27" ht="17.899999999999999" customHeight="1">
      <c r="AA7561"/>
    </row>
    <row r="7562" spans="27:27" ht="17.899999999999999" customHeight="1">
      <c r="AA7562"/>
    </row>
    <row r="7563" spans="27:27" ht="17.899999999999999" customHeight="1">
      <c r="AA7563"/>
    </row>
    <row r="7564" spans="27:27" ht="17.899999999999999" customHeight="1">
      <c r="AA7564"/>
    </row>
    <row r="7565" spans="27:27" ht="17.899999999999999" customHeight="1">
      <c r="AA7565"/>
    </row>
    <row r="7566" spans="27:27" ht="17.899999999999999" customHeight="1">
      <c r="AA7566"/>
    </row>
    <row r="7567" spans="27:27" ht="17.899999999999999" customHeight="1">
      <c r="AA7567"/>
    </row>
    <row r="7568" spans="27:27" ht="17.899999999999999" customHeight="1">
      <c r="AA7568"/>
    </row>
    <row r="7569" spans="27:27" ht="17.899999999999999" customHeight="1">
      <c r="AA7569"/>
    </row>
    <row r="7570" spans="27:27" ht="17.899999999999999" customHeight="1">
      <c r="AA7570"/>
    </row>
    <row r="7571" spans="27:27" ht="17.899999999999999" customHeight="1">
      <c r="AA7571"/>
    </row>
    <row r="7572" spans="27:27" ht="17.899999999999999" customHeight="1">
      <c r="AA7572"/>
    </row>
    <row r="7573" spans="27:27" ht="17.899999999999999" customHeight="1">
      <c r="AA7573"/>
    </row>
    <row r="7574" spans="27:27" ht="17.899999999999999" customHeight="1">
      <c r="AA7574"/>
    </row>
    <row r="7575" spans="27:27" ht="17.899999999999999" customHeight="1">
      <c r="AA7575"/>
    </row>
    <row r="7576" spans="27:27" ht="17.899999999999999" customHeight="1">
      <c r="AA7576"/>
    </row>
    <row r="7577" spans="27:27" ht="17.899999999999999" customHeight="1">
      <c r="AA7577"/>
    </row>
    <row r="7578" spans="27:27" ht="17.899999999999999" customHeight="1">
      <c r="AA7578"/>
    </row>
    <row r="7579" spans="27:27" ht="17.899999999999999" customHeight="1">
      <c r="AA7579"/>
    </row>
    <row r="7580" spans="27:27" ht="17.899999999999999" customHeight="1">
      <c r="AA7580"/>
    </row>
    <row r="7581" spans="27:27" ht="17.899999999999999" customHeight="1">
      <c r="AA7581"/>
    </row>
    <row r="7582" spans="27:27" ht="17.899999999999999" customHeight="1">
      <c r="AA7582"/>
    </row>
    <row r="7583" spans="27:27" ht="17.899999999999999" customHeight="1">
      <c r="AA7583"/>
    </row>
    <row r="7584" spans="27:27" ht="17.899999999999999" customHeight="1">
      <c r="AA7584"/>
    </row>
    <row r="7585" spans="27:27" ht="17.899999999999999" customHeight="1">
      <c r="AA7585"/>
    </row>
    <row r="7586" spans="27:27" ht="17.899999999999999" customHeight="1">
      <c r="AA7586"/>
    </row>
    <row r="7587" spans="27:27" ht="17.899999999999999" customHeight="1">
      <c r="AA7587"/>
    </row>
    <row r="7588" spans="27:27" ht="17.899999999999999" customHeight="1">
      <c r="AA7588"/>
    </row>
    <row r="7589" spans="27:27" ht="17.899999999999999" customHeight="1">
      <c r="AA7589"/>
    </row>
    <row r="7590" spans="27:27" ht="17.899999999999999" customHeight="1">
      <c r="AA7590"/>
    </row>
    <row r="7591" spans="27:27" ht="17.899999999999999" customHeight="1">
      <c r="AA7591"/>
    </row>
    <row r="7592" spans="27:27" ht="17.899999999999999" customHeight="1">
      <c r="AA7592"/>
    </row>
    <row r="7593" spans="27:27" ht="17.899999999999999" customHeight="1">
      <c r="AA7593"/>
    </row>
    <row r="7594" spans="27:27" ht="17.899999999999999" customHeight="1">
      <c r="AA7594"/>
    </row>
    <row r="7595" spans="27:27" ht="17.899999999999999" customHeight="1">
      <c r="AA7595"/>
    </row>
    <row r="7596" spans="27:27" ht="17.899999999999999" customHeight="1">
      <c r="AA7596"/>
    </row>
    <row r="7597" spans="27:27" ht="17.899999999999999" customHeight="1">
      <c r="AA7597"/>
    </row>
    <row r="7598" spans="27:27" ht="17.899999999999999" customHeight="1">
      <c r="AA7598"/>
    </row>
    <row r="7599" spans="27:27" ht="17.899999999999999" customHeight="1">
      <c r="AA7599"/>
    </row>
    <row r="7600" spans="27:27" ht="17.899999999999999" customHeight="1">
      <c r="AA7600"/>
    </row>
    <row r="7601" spans="27:27" ht="17.899999999999999" customHeight="1">
      <c r="AA7601"/>
    </row>
    <row r="7602" spans="27:27" ht="17.899999999999999" customHeight="1">
      <c r="AA7602"/>
    </row>
    <row r="7603" spans="27:27" ht="17.899999999999999" customHeight="1">
      <c r="AA7603"/>
    </row>
    <row r="7604" spans="27:27" ht="17.899999999999999" customHeight="1">
      <c r="AA7604"/>
    </row>
    <row r="7605" spans="27:27" ht="17.899999999999999" customHeight="1">
      <c r="AA7605"/>
    </row>
    <row r="7606" spans="27:27" ht="17.899999999999999" customHeight="1">
      <c r="AA7606"/>
    </row>
    <row r="7607" spans="27:27" ht="17.899999999999999" customHeight="1">
      <c r="AA7607"/>
    </row>
    <row r="7608" spans="27:27" ht="17.899999999999999" customHeight="1">
      <c r="AA7608"/>
    </row>
    <row r="7609" spans="27:27" ht="17.899999999999999" customHeight="1">
      <c r="AA7609"/>
    </row>
    <row r="7610" spans="27:27" ht="17.899999999999999" customHeight="1">
      <c r="AA7610"/>
    </row>
    <row r="7611" spans="27:27" ht="17.899999999999999" customHeight="1">
      <c r="AA7611"/>
    </row>
    <row r="7612" spans="27:27" ht="17.899999999999999" customHeight="1">
      <c r="AA7612"/>
    </row>
    <row r="7613" spans="27:27" ht="17.899999999999999" customHeight="1">
      <c r="AA7613"/>
    </row>
    <row r="7614" spans="27:27" ht="17.899999999999999" customHeight="1">
      <c r="AA7614"/>
    </row>
    <row r="7615" spans="27:27" ht="17.899999999999999" customHeight="1">
      <c r="AA7615"/>
    </row>
    <row r="7616" spans="27:27" ht="17.899999999999999" customHeight="1">
      <c r="AA7616"/>
    </row>
    <row r="7617" spans="27:27" ht="17.899999999999999" customHeight="1">
      <c r="AA7617"/>
    </row>
    <row r="7618" spans="27:27" ht="17.899999999999999" customHeight="1">
      <c r="AA7618"/>
    </row>
    <row r="7619" spans="27:27" ht="17.899999999999999" customHeight="1">
      <c r="AA7619"/>
    </row>
    <row r="7620" spans="27:27" ht="17.899999999999999" customHeight="1">
      <c r="AA7620"/>
    </row>
    <row r="7621" spans="27:27" ht="17.899999999999999" customHeight="1">
      <c r="AA7621"/>
    </row>
    <row r="7622" spans="27:27" ht="17.899999999999999" customHeight="1">
      <c r="AA7622"/>
    </row>
    <row r="7623" spans="27:27" ht="17.899999999999999" customHeight="1">
      <c r="AA7623"/>
    </row>
    <row r="7624" spans="27:27" ht="17.899999999999999" customHeight="1">
      <c r="AA7624"/>
    </row>
    <row r="7625" spans="27:27" ht="17.899999999999999" customHeight="1">
      <c r="AA7625"/>
    </row>
    <row r="7626" spans="27:27" ht="17.899999999999999" customHeight="1">
      <c r="AA7626"/>
    </row>
    <row r="7627" spans="27:27" ht="17.899999999999999" customHeight="1">
      <c r="AA7627"/>
    </row>
    <row r="7628" spans="27:27" ht="17.899999999999999" customHeight="1">
      <c r="AA7628"/>
    </row>
    <row r="7629" spans="27:27" ht="17.899999999999999" customHeight="1">
      <c r="AA7629"/>
    </row>
    <row r="7630" spans="27:27" ht="17.899999999999999" customHeight="1">
      <c r="AA7630"/>
    </row>
    <row r="7631" spans="27:27" ht="17.899999999999999" customHeight="1">
      <c r="AA7631"/>
    </row>
    <row r="7632" spans="27:27" ht="17.899999999999999" customHeight="1">
      <c r="AA7632"/>
    </row>
    <row r="7633" spans="27:27" ht="17.899999999999999" customHeight="1">
      <c r="AA7633"/>
    </row>
    <row r="7634" spans="27:27" ht="17.899999999999999" customHeight="1">
      <c r="AA7634"/>
    </row>
    <row r="7635" spans="27:27" ht="17.899999999999999" customHeight="1">
      <c r="AA7635"/>
    </row>
    <row r="7636" spans="27:27" ht="17.899999999999999" customHeight="1">
      <c r="AA7636"/>
    </row>
    <row r="7637" spans="27:27" ht="17.899999999999999" customHeight="1">
      <c r="AA7637"/>
    </row>
    <row r="7638" spans="27:27" ht="17.899999999999999" customHeight="1">
      <c r="AA7638"/>
    </row>
    <row r="7639" spans="27:27" ht="17.899999999999999" customHeight="1">
      <c r="AA7639"/>
    </row>
    <row r="7640" spans="27:27" ht="17.899999999999999" customHeight="1">
      <c r="AA7640"/>
    </row>
    <row r="7641" spans="27:27" ht="17.899999999999999" customHeight="1">
      <c r="AA7641"/>
    </row>
    <row r="7642" spans="27:27" ht="17.899999999999999" customHeight="1">
      <c r="AA7642"/>
    </row>
    <row r="7643" spans="27:27" ht="17.899999999999999" customHeight="1">
      <c r="AA7643"/>
    </row>
    <row r="7644" spans="27:27" ht="17.899999999999999" customHeight="1">
      <c r="AA7644"/>
    </row>
    <row r="7645" spans="27:27" ht="17.899999999999999" customHeight="1">
      <c r="AA7645"/>
    </row>
    <row r="7646" spans="27:27" ht="17.899999999999999" customHeight="1">
      <c r="AA7646"/>
    </row>
    <row r="7647" spans="27:27" ht="17.899999999999999" customHeight="1">
      <c r="AA7647"/>
    </row>
    <row r="7648" spans="27:27" ht="17.899999999999999" customHeight="1">
      <c r="AA7648"/>
    </row>
    <row r="7649" spans="27:27" ht="17.899999999999999" customHeight="1">
      <c r="AA7649"/>
    </row>
    <row r="7650" spans="27:27" ht="17.899999999999999" customHeight="1">
      <c r="AA7650"/>
    </row>
    <row r="7651" spans="27:27" ht="17.899999999999999" customHeight="1">
      <c r="AA7651"/>
    </row>
    <row r="7652" spans="27:27" ht="17.899999999999999" customHeight="1">
      <c r="AA7652"/>
    </row>
    <row r="7653" spans="27:27" ht="17.899999999999999" customHeight="1">
      <c r="AA7653"/>
    </row>
    <row r="7654" spans="27:27" ht="17.899999999999999" customHeight="1">
      <c r="AA7654"/>
    </row>
    <row r="7655" spans="27:27" ht="17.899999999999999" customHeight="1">
      <c r="AA7655"/>
    </row>
    <row r="7656" spans="27:27" ht="17.899999999999999" customHeight="1">
      <c r="AA7656"/>
    </row>
    <row r="7657" spans="27:27" ht="17.899999999999999" customHeight="1">
      <c r="AA7657"/>
    </row>
    <row r="7658" spans="27:27" ht="17.899999999999999" customHeight="1">
      <c r="AA7658"/>
    </row>
    <row r="7659" spans="27:27" ht="17.899999999999999" customHeight="1">
      <c r="AA7659"/>
    </row>
    <row r="7660" spans="27:27" ht="17.899999999999999" customHeight="1">
      <c r="AA7660"/>
    </row>
    <row r="7661" spans="27:27" ht="17.899999999999999" customHeight="1">
      <c r="AA7661"/>
    </row>
    <row r="7662" spans="27:27" ht="17.899999999999999" customHeight="1">
      <c r="AA7662"/>
    </row>
    <row r="7663" spans="27:27" ht="17.899999999999999" customHeight="1">
      <c r="AA7663"/>
    </row>
    <row r="7664" spans="27:27" ht="17.899999999999999" customHeight="1">
      <c r="AA7664"/>
    </row>
    <row r="7665" spans="27:27" ht="17.899999999999999" customHeight="1">
      <c r="AA7665"/>
    </row>
    <row r="7666" spans="27:27" ht="17.899999999999999" customHeight="1">
      <c r="AA7666"/>
    </row>
    <row r="7667" spans="27:27" ht="17.899999999999999" customHeight="1">
      <c r="AA7667"/>
    </row>
    <row r="7668" spans="27:27" ht="17.899999999999999" customHeight="1">
      <c r="AA7668"/>
    </row>
    <row r="7669" spans="27:27" ht="17.899999999999999" customHeight="1">
      <c r="AA7669"/>
    </row>
    <row r="7670" spans="27:27" ht="17.899999999999999" customHeight="1">
      <c r="AA7670"/>
    </row>
    <row r="7671" spans="27:27" ht="17.899999999999999" customHeight="1">
      <c r="AA7671"/>
    </row>
    <row r="7672" spans="27:27" ht="17.899999999999999" customHeight="1">
      <c r="AA7672"/>
    </row>
    <row r="7673" spans="27:27" ht="17.899999999999999" customHeight="1">
      <c r="AA7673"/>
    </row>
    <row r="7674" spans="27:27" ht="17.899999999999999" customHeight="1">
      <c r="AA7674"/>
    </row>
    <row r="7675" spans="27:27" ht="17.899999999999999" customHeight="1">
      <c r="AA7675"/>
    </row>
    <row r="7676" spans="27:27" ht="17.899999999999999" customHeight="1">
      <c r="AA7676"/>
    </row>
    <row r="7677" spans="27:27" ht="17.899999999999999" customHeight="1">
      <c r="AA7677"/>
    </row>
    <row r="7678" spans="27:27" ht="17.899999999999999" customHeight="1">
      <c r="AA7678"/>
    </row>
    <row r="7679" spans="27:27" ht="17.899999999999999" customHeight="1">
      <c r="AA7679"/>
    </row>
    <row r="7680" spans="27:27" ht="17.899999999999999" customHeight="1">
      <c r="AA7680"/>
    </row>
    <row r="7681" spans="27:27" ht="17.899999999999999" customHeight="1">
      <c r="AA7681"/>
    </row>
    <row r="7682" spans="27:27" ht="17.899999999999999" customHeight="1">
      <c r="AA7682"/>
    </row>
    <row r="7683" spans="27:27" ht="17.899999999999999" customHeight="1">
      <c r="AA7683"/>
    </row>
    <row r="7684" spans="27:27" ht="17.899999999999999" customHeight="1">
      <c r="AA7684"/>
    </row>
    <row r="7685" spans="27:27" ht="17.899999999999999" customHeight="1">
      <c r="AA7685"/>
    </row>
    <row r="7686" spans="27:27" ht="17.899999999999999" customHeight="1">
      <c r="AA7686"/>
    </row>
    <row r="7687" spans="27:27" ht="17.899999999999999" customHeight="1">
      <c r="AA7687"/>
    </row>
    <row r="7688" spans="27:27" ht="17.899999999999999" customHeight="1">
      <c r="AA7688"/>
    </row>
    <row r="7689" spans="27:27" ht="17.899999999999999" customHeight="1">
      <c r="AA7689"/>
    </row>
    <row r="7690" spans="27:27" ht="17.899999999999999" customHeight="1">
      <c r="AA7690"/>
    </row>
    <row r="7691" spans="27:27" ht="17.899999999999999" customHeight="1">
      <c r="AA7691"/>
    </row>
    <row r="7692" spans="27:27" ht="17.899999999999999" customHeight="1">
      <c r="AA7692"/>
    </row>
    <row r="7693" spans="27:27" ht="17.899999999999999" customHeight="1">
      <c r="AA7693"/>
    </row>
    <row r="7694" spans="27:27" ht="17.899999999999999" customHeight="1">
      <c r="AA7694"/>
    </row>
    <row r="7695" spans="27:27" ht="17.899999999999999" customHeight="1">
      <c r="AA7695"/>
    </row>
    <row r="7696" spans="27:27" ht="17.899999999999999" customHeight="1">
      <c r="AA7696"/>
    </row>
    <row r="7697" spans="27:27" ht="17.899999999999999" customHeight="1">
      <c r="AA7697"/>
    </row>
    <row r="7698" spans="27:27" ht="17.899999999999999" customHeight="1">
      <c r="AA7698"/>
    </row>
    <row r="7699" spans="27:27" ht="17.899999999999999" customHeight="1">
      <c r="AA7699"/>
    </row>
    <row r="7700" spans="27:27" ht="17.899999999999999" customHeight="1">
      <c r="AA7700"/>
    </row>
    <row r="7701" spans="27:27" ht="17.899999999999999" customHeight="1">
      <c r="AA7701"/>
    </row>
    <row r="7702" spans="27:27" ht="17.899999999999999" customHeight="1">
      <c r="AA7702"/>
    </row>
    <row r="7703" spans="27:27" ht="17.899999999999999" customHeight="1">
      <c r="AA7703"/>
    </row>
    <row r="7704" spans="27:27" ht="17.899999999999999" customHeight="1">
      <c r="AA7704"/>
    </row>
    <row r="7705" spans="27:27" ht="17.899999999999999" customHeight="1">
      <c r="AA7705"/>
    </row>
    <row r="7706" spans="27:27" ht="17.899999999999999" customHeight="1">
      <c r="AA7706"/>
    </row>
    <row r="7707" spans="27:27" ht="17.899999999999999" customHeight="1">
      <c r="AA7707"/>
    </row>
    <row r="7708" spans="27:27" ht="17.899999999999999" customHeight="1">
      <c r="AA7708"/>
    </row>
    <row r="7709" spans="27:27" ht="17.899999999999999" customHeight="1">
      <c r="AA7709"/>
    </row>
    <row r="7710" spans="27:27" ht="17.899999999999999" customHeight="1">
      <c r="AA7710"/>
    </row>
    <row r="7711" spans="27:27" ht="17.899999999999999" customHeight="1">
      <c r="AA7711"/>
    </row>
    <row r="7712" spans="27:27" ht="17.899999999999999" customHeight="1">
      <c r="AA7712"/>
    </row>
    <row r="7713" spans="27:27" ht="17.899999999999999" customHeight="1">
      <c r="AA7713"/>
    </row>
    <row r="7714" spans="27:27" ht="17.899999999999999" customHeight="1">
      <c r="AA7714"/>
    </row>
    <row r="7715" spans="27:27" ht="17.899999999999999" customHeight="1">
      <c r="AA7715"/>
    </row>
    <row r="7716" spans="27:27" ht="17.899999999999999" customHeight="1">
      <c r="AA7716"/>
    </row>
    <row r="7717" spans="27:27" ht="17.899999999999999" customHeight="1">
      <c r="AA7717"/>
    </row>
    <row r="7718" spans="27:27" ht="17.899999999999999" customHeight="1">
      <c r="AA7718"/>
    </row>
    <row r="7719" spans="27:27" ht="17.899999999999999" customHeight="1">
      <c r="AA7719"/>
    </row>
    <row r="7720" spans="27:27" ht="17.899999999999999" customHeight="1">
      <c r="AA7720"/>
    </row>
    <row r="7721" spans="27:27" ht="17.899999999999999" customHeight="1">
      <c r="AA7721"/>
    </row>
    <row r="7722" spans="27:27" ht="17.899999999999999" customHeight="1">
      <c r="AA7722"/>
    </row>
    <row r="7723" spans="27:27" ht="17.899999999999999" customHeight="1">
      <c r="AA7723"/>
    </row>
    <row r="7724" spans="27:27" ht="17.899999999999999" customHeight="1">
      <c r="AA7724"/>
    </row>
    <row r="7725" spans="27:27" ht="17.899999999999999" customHeight="1">
      <c r="AA7725"/>
    </row>
    <row r="7726" spans="27:27" ht="17.899999999999999" customHeight="1">
      <c r="AA7726"/>
    </row>
    <row r="7727" spans="27:27" ht="17.899999999999999" customHeight="1">
      <c r="AA7727"/>
    </row>
    <row r="7728" spans="27:27" ht="17.899999999999999" customHeight="1">
      <c r="AA7728"/>
    </row>
    <row r="7729" spans="27:27" ht="17.899999999999999" customHeight="1">
      <c r="AA7729"/>
    </row>
    <row r="7730" spans="27:27" ht="17.899999999999999" customHeight="1">
      <c r="AA7730"/>
    </row>
    <row r="7731" spans="27:27" ht="17.899999999999999" customHeight="1">
      <c r="AA7731"/>
    </row>
    <row r="7732" spans="27:27" ht="17.899999999999999" customHeight="1">
      <c r="AA7732"/>
    </row>
    <row r="7733" spans="27:27" ht="17.899999999999999" customHeight="1">
      <c r="AA7733"/>
    </row>
    <row r="7734" spans="27:27" ht="17.899999999999999" customHeight="1">
      <c r="AA7734"/>
    </row>
    <row r="7735" spans="27:27" ht="17.899999999999999" customHeight="1">
      <c r="AA7735"/>
    </row>
    <row r="7736" spans="27:27" ht="17.899999999999999" customHeight="1">
      <c r="AA7736"/>
    </row>
    <row r="7737" spans="27:27" ht="17.899999999999999" customHeight="1">
      <c r="AA7737"/>
    </row>
    <row r="7738" spans="27:27" ht="17.899999999999999" customHeight="1">
      <c r="AA7738"/>
    </row>
    <row r="7739" spans="27:27" ht="17.899999999999999" customHeight="1">
      <c r="AA7739"/>
    </row>
    <row r="7740" spans="27:27" ht="17.899999999999999" customHeight="1">
      <c r="AA7740"/>
    </row>
    <row r="7741" spans="27:27" ht="17.899999999999999" customHeight="1">
      <c r="AA7741"/>
    </row>
    <row r="7742" spans="27:27" ht="17.899999999999999" customHeight="1">
      <c r="AA7742"/>
    </row>
    <row r="7743" spans="27:27" ht="17.899999999999999" customHeight="1">
      <c r="AA7743"/>
    </row>
    <row r="7744" spans="27:27" ht="17.899999999999999" customHeight="1">
      <c r="AA7744"/>
    </row>
    <row r="7745" spans="27:27" ht="17.899999999999999" customHeight="1">
      <c r="AA7745"/>
    </row>
    <row r="7746" spans="27:27" ht="17.899999999999999" customHeight="1">
      <c r="AA7746"/>
    </row>
    <row r="7747" spans="27:27" ht="17.899999999999999" customHeight="1">
      <c r="AA7747"/>
    </row>
    <row r="7748" spans="27:27" ht="17.899999999999999" customHeight="1">
      <c r="AA7748"/>
    </row>
    <row r="7749" spans="27:27" ht="17.899999999999999" customHeight="1">
      <c r="AA7749"/>
    </row>
    <row r="7750" spans="27:27" ht="17.899999999999999" customHeight="1">
      <c r="AA7750"/>
    </row>
    <row r="7751" spans="27:27" ht="17.899999999999999" customHeight="1">
      <c r="AA7751"/>
    </row>
    <row r="7752" spans="27:27" ht="17.899999999999999" customHeight="1">
      <c r="AA7752"/>
    </row>
    <row r="7753" spans="27:27" ht="17.899999999999999" customHeight="1">
      <c r="AA7753"/>
    </row>
    <row r="7754" spans="27:27" ht="17.899999999999999" customHeight="1">
      <c r="AA7754"/>
    </row>
    <row r="7755" spans="27:27" ht="17.899999999999999" customHeight="1">
      <c r="AA7755"/>
    </row>
    <row r="7756" spans="27:27" ht="17.899999999999999" customHeight="1">
      <c r="AA7756"/>
    </row>
    <row r="7757" spans="27:27" ht="17.899999999999999" customHeight="1">
      <c r="AA7757"/>
    </row>
    <row r="7758" spans="27:27" ht="17.899999999999999" customHeight="1">
      <c r="AA7758"/>
    </row>
    <row r="7759" spans="27:27" ht="17.899999999999999" customHeight="1">
      <c r="AA7759"/>
    </row>
    <row r="7760" spans="27:27" ht="17.899999999999999" customHeight="1">
      <c r="AA7760"/>
    </row>
    <row r="7761" spans="27:27" ht="17.899999999999999" customHeight="1">
      <c r="AA7761"/>
    </row>
    <row r="7762" spans="27:27" ht="17.899999999999999" customHeight="1">
      <c r="AA7762"/>
    </row>
    <row r="7763" spans="27:27" ht="17.899999999999999" customHeight="1">
      <c r="AA7763"/>
    </row>
    <row r="7764" spans="27:27" ht="17.899999999999999" customHeight="1">
      <c r="AA7764"/>
    </row>
    <row r="7765" spans="27:27" ht="17.899999999999999" customHeight="1">
      <c r="AA7765"/>
    </row>
    <row r="7766" spans="27:27" ht="17.899999999999999" customHeight="1">
      <c r="AA7766"/>
    </row>
    <row r="7767" spans="27:27" ht="17.899999999999999" customHeight="1">
      <c r="AA7767"/>
    </row>
    <row r="7768" spans="27:27" ht="17.899999999999999" customHeight="1">
      <c r="AA7768"/>
    </row>
    <row r="7769" spans="27:27" ht="17.899999999999999" customHeight="1">
      <c r="AA7769"/>
    </row>
    <row r="7770" spans="27:27" ht="17.899999999999999" customHeight="1">
      <c r="AA7770"/>
    </row>
    <row r="7771" spans="27:27" ht="17.899999999999999" customHeight="1">
      <c r="AA7771"/>
    </row>
    <row r="7772" spans="27:27" ht="17.899999999999999" customHeight="1">
      <c r="AA7772"/>
    </row>
    <row r="7773" spans="27:27" ht="17.899999999999999" customHeight="1">
      <c r="AA7773"/>
    </row>
    <row r="7774" spans="27:27" ht="17.899999999999999" customHeight="1">
      <c r="AA7774"/>
    </row>
    <row r="7775" spans="27:27" ht="17.899999999999999" customHeight="1">
      <c r="AA7775"/>
    </row>
    <row r="7776" spans="27:27" ht="17.899999999999999" customHeight="1">
      <c r="AA7776"/>
    </row>
    <row r="7777" spans="27:27" ht="17.899999999999999" customHeight="1">
      <c r="AA7777"/>
    </row>
    <row r="7778" spans="27:27" ht="17.899999999999999" customHeight="1">
      <c r="AA7778"/>
    </row>
    <row r="7779" spans="27:27" ht="17.899999999999999" customHeight="1">
      <c r="AA7779"/>
    </row>
    <row r="7780" spans="27:27" ht="17.899999999999999" customHeight="1">
      <c r="AA7780"/>
    </row>
    <row r="7781" spans="27:27" ht="17.899999999999999" customHeight="1">
      <c r="AA7781"/>
    </row>
    <row r="7782" spans="27:27" ht="17.899999999999999" customHeight="1">
      <c r="AA7782"/>
    </row>
    <row r="7783" spans="27:27" ht="17.899999999999999" customHeight="1">
      <c r="AA7783"/>
    </row>
    <row r="7784" spans="27:27" ht="17.899999999999999" customHeight="1">
      <c r="AA7784"/>
    </row>
    <row r="7785" spans="27:27" ht="17.899999999999999" customHeight="1">
      <c r="AA7785"/>
    </row>
    <row r="7786" spans="27:27" ht="17.899999999999999" customHeight="1">
      <c r="AA7786"/>
    </row>
    <row r="7787" spans="27:27" ht="17.899999999999999" customHeight="1">
      <c r="AA7787"/>
    </row>
    <row r="7788" spans="27:27" ht="17.899999999999999" customHeight="1">
      <c r="AA7788"/>
    </row>
    <row r="7789" spans="27:27" ht="17.899999999999999" customHeight="1">
      <c r="AA7789"/>
    </row>
    <row r="7790" spans="27:27" ht="17.899999999999999" customHeight="1">
      <c r="AA7790"/>
    </row>
    <row r="7791" spans="27:27" ht="17.899999999999999" customHeight="1">
      <c r="AA7791"/>
    </row>
    <row r="7792" spans="27:27" ht="17.899999999999999" customHeight="1">
      <c r="AA7792"/>
    </row>
    <row r="7793" spans="27:27" ht="17.899999999999999" customHeight="1">
      <c r="AA7793"/>
    </row>
    <row r="7794" spans="27:27" ht="17.899999999999999" customHeight="1">
      <c r="AA7794"/>
    </row>
    <row r="7795" spans="27:27" ht="17.899999999999999" customHeight="1">
      <c r="AA7795"/>
    </row>
    <row r="7796" spans="27:27" ht="17.899999999999999" customHeight="1">
      <c r="AA7796"/>
    </row>
    <row r="7797" spans="27:27" ht="17.899999999999999" customHeight="1">
      <c r="AA7797"/>
    </row>
    <row r="7798" spans="27:27" ht="17.899999999999999" customHeight="1">
      <c r="AA7798"/>
    </row>
    <row r="7799" spans="27:27" ht="17.899999999999999" customHeight="1">
      <c r="AA7799"/>
    </row>
    <row r="7800" spans="27:27" ht="17.899999999999999" customHeight="1">
      <c r="AA7800"/>
    </row>
    <row r="7801" spans="27:27" ht="17.899999999999999" customHeight="1">
      <c r="AA7801"/>
    </row>
    <row r="7802" spans="27:27" ht="17.899999999999999" customHeight="1">
      <c r="AA7802"/>
    </row>
    <row r="7803" spans="27:27" ht="17.899999999999999" customHeight="1">
      <c r="AA7803"/>
    </row>
    <row r="7804" spans="27:27" ht="17.899999999999999" customHeight="1">
      <c r="AA7804"/>
    </row>
    <row r="7805" spans="27:27" ht="17.899999999999999" customHeight="1">
      <c r="AA7805"/>
    </row>
    <row r="7806" spans="27:27" ht="17.899999999999999" customHeight="1">
      <c r="AA7806"/>
    </row>
    <row r="7807" spans="27:27" ht="17.899999999999999" customHeight="1">
      <c r="AA7807"/>
    </row>
    <row r="7808" spans="27:27" ht="17.899999999999999" customHeight="1">
      <c r="AA7808"/>
    </row>
    <row r="7809" spans="27:27" ht="17.899999999999999" customHeight="1">
      <c r="AA7809"/>
    </row>
    <row r="7810" spans="27:27" ht="17.899999999999999" customHeight="1">
      <c r="AA7810"/>
    </row>
    <row r="7811" spans="27:27" ht="17.899999999999999" customHeight="1">
      <c r="AA7811"/>
    </row>
    <row r="7812" spans="27:27" ht="17.899999999999999" customHeight="1">
      <c r="AA7812"/>
    </row>
    <row r="7813" spans="27:27" ht="17.899999999999999" customHeight="1">
      <c r="AA7813"/>
    </row>
    <row r="7814" spans="27:27" ht="17.899999999999999" customHeight="1">
      <c r="AA7814"/>
    </row>
    <row r="7815" spans="27:27" ht="17.899999999999999" customHeight="1">
      <c r="AA7815"/>
    </row>
    <row r="7816" spans="27:27" ht="17.899999999999999" customHeight="1">
      <c r="AA7816"/>
    </row>
    <row r="7817" spans="27:27" ht="17.899999999999999" customHeight="1">
      <c r="AA7817"/>
    </row>
    <row r="7818" spans="27:27" ht="17.899999999999999" customHeight="1">
      <c r="AA7818"/>
    </row>
    <row r="7819" spans="27:27" ht="17.899999999999999" customHeight="1">
      <c r="AA7819"/>
    </row>
    <row r="7820" spans="27:27" ht="17.899999999999999" customHeight="1">
      <c r="AA7820"/>
    </row>
    <row r="7821" spans="27:27" ht="17.899999999999999" customHeight="1">
      <c r="AA7821"/>
    </row>
    <row r="7822" spans="27:27" ht="17.899999999999999" customHeight="1">
      <c r="AA7822"/>
    </row>
    <row r="7823" spans="27:27" ht="17.899999999999999" customHeight="1">
      <c r="AA7823"/>
    </row>
    <row r="7824" spans="27:27" ht="17.899999999999999" customHeight="1">
      <c r="AA7824"/>
    </row>
    <row r="7825" spans="27:27" ht="17.899999999999999" customHeight="1">
      <c r="AA7825"/>
    </row>
    <row r="7826" spans="27:27" ht="17.899999999999999" customHeight="1">
      <c r="AA7826"/>
    </row>
    <row r="7827" spans="27:27" ht="17.899999999999999" customHeight="1">
      <c r="AA7827"/>
    </row>
    <row r="7828" spans="27:27" ht="17.899999999999999" customHeight="1">
      <c r="AA7828"/>
    </row>
    <row r="7829" spans="27:27" ht="17.899999999999999" customHeight="1">
      <c r="AA7829"/>
    </row>
    <row r="7830" spans="27:27" ht="17.899999999999999" customHeight="1">
      <c r="AA7830"/>
    </row>
    <row r="7831" spans="27:27" ht="17.899999999999999" customHeight="1">
      <c r="AA7831"/>
    </row>
    <row r="7832" spans="27:27" ht="17.899999999999999" customHeight="1">
      <c r="AA7832"/>
    </row>
    <row r="7833" spans="27:27" ht="17.899999999999999" customHeight="1">
      <c r="AA7833"/>
    </row>
    <row r="7834" spans="27:27" ht="17.899999999999999" customHeight="1">
      <c r="AA7834"/>
    </row>
    <row r="7835" spans="27:27" ht="17.899999999999999" customHeight="1">
      <c r="AA7835"/>
    </row>
    <row r="7836" spans="27:27" ht="17.899999999999999" customHeight="1">
      <c r="AA7836"/>
    </row>
    <row r="7837" spans="27:27" ht="17.899999999999999" customHeight="1">
      <c r="AA7837"/>
    </row>
    <row r="7838" spans="27:27" ht="17.899999999999999" customHeight="1">
      <c r="AA7838"/>
    </row>
    <row r="7839" spans="27:27" ht="17.899999999999999" customHeight="1">
      <c r="AA7839"/>
    </row>
    <row r="7840" spans="27:27" ht="17.899999999999999" customHeight="1">
      <c r="AA7840"/>
    </row>
    <row r="7841" spans="27:27" ht="17.899999999999999" customHeight="1">
      <c r="AA7841"/>
    </row>
    <row r="7842" spans="27:27" ht="17.899999999999999" customHeight="1">
      <c r="AA7842"/>
    </row>
    <row r="7843" spans="27:27" ht="17.899999999999999" customHeight="1">
      <c r="AA7843"/>
    </row>
    <row r="7844" spans="27:27" ht="17.899999999999999" customHeight="1">
      <c r="AA7844"/>
    </row>
    <row r="7845" spans="27:27" ht="17.899999999999999" customHeight="1">
      <c r="AA7845"/>
    </row>
    <row r="7846" spans="27:27" ht="17.899999999999999" customHeight="1">
      <c r="AA7846"/>
    </row>
    <row r="7847" spans="27:27" ht="17.899999999999999" customHeight="1">
      <c r="AA7847"/>
    </row>
    <row r="7848" spans="27:27" ht="17.899999999999999" customHeight="1">
      <c r="AA7848"/>
    </row>
    <row r="7849" spans="27:27" ht="17.899999999999999" customHeight="1">
      <c r="AA7849"/>
    </row>
    <row r="7850" spans="27:27" ht="17.899999999999999" customHeight="1">
      <c r="AA7850"/>
    </row>
    <row r="7851" spans="27:27" ht="17.899999999999999" customHeight="1">
      <c r="AA7851"/>
    </row>
    <row r="7852" spans="27:27" ht="17.899999999999999" customHeight="1">
      <c r="AA7852"/>
    </row>
    <row r="7853" spans="27:27" ht="17.899999999999999" customHeight="1">
      <c r="AA7853"/>
    </row>
    <row r="7854" spans="27:27" ht="17.899999999999999" customHeight="1">
      <c r="AA7854"/>
    </row>
    <row r="7855" spans="27:27" ht="17.899999999999999" customHeight="1">
      <c r="AA7855"/>
    </row>
    <row r="7856" spans="27:27" ht="17.899999999999999" customHeight="1">
      <c r="AA7856"/>
    </row>
    <row r="7857" spans="27:27" ht="17.899999999999999" customHeight="1">
      <c r="AA7857"/>
    </row>
    <row r="7858" spans="27:27" ht="17.899999999999999" customHeight="1">
      <c r="AA7858"/>
    </row>
    <row r="7859" spans="27:27" ht="17.899999999999999" customHeight="1">
      <c r="AA7859"/>
    </row>
    <row r="7860" spans="27:27" ht="17.899999999999999" customHeight="1">
      <c r="AA7860"/>
    </row>
    <row r="7861" spans="27:27" ht="17.899999999999999" customHeight="1">
      <c r="AA7861"/>
    </row>
    <row r="7862" spans="27:27" ht="17.899999999999999" customHeight="1">
      <c r="AA7862"/>
    </row>
    <row r="7863" spans="27:27" ht="17.899999999999999" customHeight="1">
      <c r="AA7863"/>
    </row>
    <row r="7864" spans="27:27" ht="17.899999999999999" customHeight="1">
      <c r="AA7864"/>
    </row>
    <row r="7865" spans="27:27" ht="17.899999999999999" customHeight="1">
      <c r="AA7865"/>
    </row>
    <row r="7866" spans="27:27" ht="17.899999999999999" customHeight="1">
      <c r="AA7866"/>
    </row>
    <row r="7867" spans="27:27" ht="17.899999999999999" customHeight="1">
      <c r="AA7867"/>
    </row>
    <row r="7868" spans="27:27" ht="17.899999999999999" customHeight="1">
      <c r="AA7868"/>
    </row>
    <row r="7869" spans="27:27" ht="17.899999999999999" customHeight="1">
      <c r="AA7869"/>
    </row>
    <row r="7870" spans="27:27" ht="17.899999999999999" customHeight="1">
      <c r="AA7870"/>
    </row>
    <row r="7871" spans="27:27" ht="17.899999999999999" customHeight="1">
      <c r="AA7871"/>
    </row>
    <row r="7872" spans="27:27" ht="17.899999999999999" customHeight="1">
      <c r="AA7872"/>
    </row>
    <row r="7873" spans="27:27" ht="17.899999999999999" customHeight="1">
      <c r="AA7873"/>
    </row>
    <row r="7874" spans="27:27" ht="17.899999999999999" customHeight="1">
      <c r="AA7874"/>
    </row>
    <row r="7875" spans="27:27" ht="17.899999999999999" customHeight="1">
      <c r="AA7875"/>
    </row>
    <row r="7876" spans="27:27" ht="17.899999999999999" customHeight="1">
      <c r="AA7876"/>
    </row>
    <row r="7877" spans="27:27" ht="17.899999999999999" customHeight="1">
      <c r="AA7877"/>
    </row>
    <row r="7878" spans="27:27" ht="17.899999999999999" customHeight="1">
      <c r="AA7878"/>
    </row>
    <row r="7879" spans="27:27" ht="17.899999999999999" customHeight="1">
      <c r="AA7879"/>
    </row>
    <row r="7880" spans="27:27" ht="17.899999999999999" customHeight="1">
      <c r="AA7880"/>
    </row>
    <row r="7881" spans="27:27" ht="17.899999999999999" customHeight="1">
      <c r="AA7881"/>
    </row>
    <row r="7882" spans="27:27" ht="17.899999999999999" customHeight="1">
      <c r="AA7882"/>
    </row>
    <row r="7883" spans="27:27" ht="17.899999999999999" customHeight="1">
      <c r="AA7883"/>
    </row>
    <row r="7884" spans="27:27" ht="17.899999999999999" customHeight="1">
      <c r="AA7884"/>
    </row>
    <row r="7885" spans="27:27" ht="17.899999999999999" customHeight="1">
      <c r="AA7885"/>
    </row>
    <row r="7886" spans="27:27" ht="17.899999999999999" customHeight="1">
      <c r="AA7886"/>
    </row>
    <row r="7887" spans="27:27" ht="17.899999999999999" customHeight="1">
      <c r="AA7887"/>
    </row>
    <row r="7888" spans="27:27" ht="17.899999999999999" customHeight="1">
      <c r="AA7888"/>
    </row>
    <row r="7889" spans="27:27" ht="17.899999999999999" customHeight="1">
      <c r="AA7889"/>
    </row>
    <row r="7890" spans="27:27" ht="17.899999999999999" customHeight="1">
      <c r="AA7890"/>
    </row>
    <row r="7891" spans="27:27" ht="17.899999999999999" customHeight="1">
      <c r="AA7891"/>
    </row>
    <row r="7892" spans="27:27" ht="17.899999999999999" customHeight="1">
      <c r="AA7892"/>
    </row>
    <row r="7893" spans="27:27" ht="17.899999999999999" customHeight="1">
      <c r="AA7893"/>
    </row>
    <row r="7894" spans="27:27" ht="17.899999999999999" customHeight="1">
      <c r="AA7894"/>
    </row>
    <row r="7895" spans="27:27" ht="17.899999999999999" customHeight="1">
      <c r="AA7895"/>
    </row>
    <row r="7896" spans="27:27" ht="17.899999999999999" customHeight="1">
      <c r="AA7896"/>
    </row>
    <row r="7897" spans="27:27" ht="17.899999999999999" customHeight="1">
      <c r="AA7897"/>
    </row>
    <row r="7898" spans="27:27" ht="17.899999999999999" customHeight="1">
      <c r="AA7898"/>
    </row>
    <row r="7899" spans="27:27" ht="17.899999999999999" customHeight="1">
      <c r="AA7899"/>
    </row>
    <row r="7900" spans="27:27" ht="17.899999999999999" customHeight="1">
      <c r="AA7900"/>
    </row>
    <row r="7901" spans="27:27" ht="17.899999999999999" customHeight="1">
      <c r="AA7901"/>
    </row>
    <row r="7902" spans="27:27" ht="17.899999999999999" customHeight="1">
      <c r="AA7902"/>
    </row>
    <row r="7903" spans="27:27" ht="17.899999999999999" customHeight="1">
      <c r="AA7903"/>
    </row>
    <row r="7904" spans="27:27" ht="17.899999999999999" customHeight="1">
      <c r="AA7904"/>
    </row>
    <row r="7905" spans="27:27" ht="17.899999999999999" customHeight="1">
      <c r="AA7905"/>
    </row>
    <row r="7906" spans="27:27" ht="17.899999999999999" customHeight="1">
      <c r="AA7906"/>
    </row>
    <row r="7907" spans="27:27" ht="17.899999999999999" customHeight="1">
      <c r="AA7907"/>
    </row>
    <row r="7908" spans="27:27" ht="17.899999999999999" customHeight="1">
      <c r="AA7908"/>
    </row>
    <row r="7909" spans="27:27" ht="17.899999999999999" customHeight="1">
      <c r="AA7909"/>
    </row>
    <row r="7910" spans="27:27" ht="17.899999999999999" customHeight="1">
      <c r="AA7910"/>
    </row>
    <row r="7911" spans="27:27" ht="17.899999999999999" customHeight="1">
      <c r="AA7911"/>
    </row>
    <row r="7912" spans="27:27" ht="17.899999999999999" customHeight="1">
      <c r="AA7912"/>
    </row>
    <row r="7913" spans="27:27" ht="17.899999999999999" customHeight="1">
      <c r="AA7913"/>
    </row>
    <row r="7914" spans="27:27" ht="17.899999999999999" customHeight="1">
      <c r="AA7914"/>
    </row>
    <row r="7915" spans="27:27" ht="17.899999999999999" customHeight="1">
      <c r="AA7915"/>
    </row>
    <row r="7916" spans="27:27" ht="17.899999999999999" customHeight="1">
      <c r="AA7916"/>
    </row>
    <row r="7917" spans="27:27" ht="17.899999999999999" customHeight="1">
      <c r="AA7917"/>
    </row>
    <row r="7918" spans="27:27" ht="17.899999999999999" customHeight="1">
      <c r="AA7918"/>
    </row>
    <row r="7919" spans="27:27" ht="17.899999999999999" customHeight="1">
      <c r="AA7919"/>
    </row>
    <row r="7920" spans="27:27" ht="17.899999999999999" customHeight="1">
      <c r="AA7920"/>
    </row>
    <row r="7921" spans="27:27" ht="17.899999999999999" customHeight="1">
      <c r="AA7921"/>
    </row>
    <row r="7922" spans="27:27" ht="17.899999999999999" customHeight="1">
      <c r="AA7922"/>
    </row>
    <row r="7923" spans="27:27" ht="17.899999999999999" customHeight="1">
      <c r="AA7923"/>
    </row>
    <row r="7924" spans="27:27" ht="17.899999999999999" customHeight="1">
      <c r="AA7924"/>
    </row>
    <row r="7925" spans="27:27" ht="17.899999999999999" customHeight="1">
      <c r="AA7925"/>
    </row>
    <row r="7926" spans="27:27" ht="17.899999999999999" customHeight="1">
      <c r="AA7926"/>
    </row>
    <row r="7927" spans="27:27" ht="17.899999999999999" customHeight="1">
      <c r="AA7927"/>
    </row>
    <row r="7928" spans="27:27" ht="17.899999999999999" customHeight="1">
      <c r="AA7928"/>
    </row>
    <row r="7929" spans="27:27" ht="17.899999999999999" customHeight="1">
      <c r="AA7929"/>
    </row>
    <row r="7930" spans="27:27" ht="17.899999999999999" customHeight="1">
      <c r="AA7930"/>
    </row>
    <row r="7931" spans="27:27" ht="17.899999999999999" customHeight="1">
      <c r="AA7931"/>
    </row>
    <row r="7932" spans="27:27" ht="17.899999999999999" customHeight="1">
      <c r="AA7932"/>
    </row>
    <row r="7933" spans="27:27" ht="17.899999999999999" customHeight="1">
      <c r="AA7933"/>
    </row>
    <row r="7934" spans="27:27" ht="17.899999999999999" customHeight="1">
      <c r="AA7934"/>
    </row>
    <row r="7935" spans="27:27" ht="17.899999999999999" customHeight="1">
      <c r="AA7935"/>
    </row>
    <row r="7936" spans="27:27" ht="17.899999999999999" customHeight="1">
      <c r="AA7936"/>
    </row>
    <row r="7937" spans="27:27" ht="17.899999999999999" customHeight="1">
      <c r="AA7937"/>
    </row>
    <row r="7938" spans="27:27" ht="17.899999999999999" customHeight="1">
      <c r="AA7938"/>
    </row>
    <row r="7939" spans="27:27" ht="17.899999999999999" customHeight="1">
      <c r="AA7939"/>
    </row>
    <row r="7940" spans="27:27" ht="17.899999999999999" customHeight="1">
      <c r="AA7940"/>
    </row>
    <row r="7941" spans="27:27" ht="17.899999999999999" customHeight="1">
      <c r="AA7941"/>
    </row>
    <row r="7942" spans="27:27" ht="17.899999999999999" customHeight="1">
      <c r="AA7942"/>
    </row>
    <row r="7943" spans="27:27" ht="17.899999999999999" customHeight="1">
      <c r="AA7943"/>
    </row>
    <row r="7944" spans="27:27" ht="17.899999999999999" customHeight="1">
      <c r="AA7944"/>
    </row>
    <row r="7945" spans="27:27" ht="17.899999999999999" customHeight="1">
      <c r="AA7945"/>
    </row>
    <row r="7946" spans="27:27" ht="17.899999999999999" customHeight="1">
      <c r="AA7946"/>
    </row>
    <row r="7947" spans="27:27" ht="17.899999999999999" customHeight="1">
      <c r="AA7947"/>
    </row>
    <row r="7948" spans="27:27" ht="17.899999999999999" customHeight="1">
      <c r="AA7948"/>
    </row>
    <row r="7949" spans="27:27" ht="17.899999999999999" customHeight="1">
      <c r="AA7949"/>
    </row>
    <row r="7950" spans="27:27" ht="17.899999999999999" customHeight="1">
      <c r="AA7950"/>
    </row>
    <row r="7951" spans="27:27" ht="17.899999999999999" customHeight="1">
      <c r="AA7951"/>
    </row>
    <row r="7952" spans="27:27" ht="17.899999999999999" customHeight="1">
      <c r="AA7952"/>
    </row>
    <row r="7953" spans="27:27" ht="17.899999999999999" customHeight="1">
      <c r="AA7953"/>
    </row>
    <row r="7954" spans="27:27" ht="17.899999999999999" customHeight="1">
      <c r="AA7954"/>
    </row>
    <row r="7955" spans="27:27" ht="17.899999999999999" customHeight="1">
      <c r="AA7955"/>
    </row>
    <row r="7956" spans="27:27" ht="17.899999999999999" customHeight="1">
      <c r="AA7956"/>
    </row>
    <row r="7957" spans="27:27" ht="17.899999999999999" customHeight="1">
      <c r="AA7957"/>
    </row>
    <row r="7958" spans="27:27" ht="17.899999999999999" customHeight="1">
      <c r="AA7958"/>
    </row>
    <row r="7959" spans="27:27" ht="17.899999999999999" customHeight="1">
      <c r="AA7959"/>
    </row>
    <row r="7960" spans="27:27" ht="17.899999999999999" customHeight="1">
      <c r="AA7960"/>
    </row>
    <row r="7961" spans="27:27" ht="17.899999999999999" customHeight="1">
      <c r="AA7961"/>
    </row>
    <row r="7962" spans="27:27" ht="17.899999999999999" customHeight="1">
      <c r="AA7962"/>
    </row>
    <row r="7963" spans="27:27" ht="17.899999999999999" customHeight="1">
      <c r="AA7963"/>
    </row>
    <row r="7964" spans="27:27" ht="17.899999999999999" customHeight="1">
      <c r="AA7964"/>
    </row>
    <row r="7965" spans="27:27" ht="17.899999999999999" customHeight="1">
      <c r="AA7965"/>
    </row>
    <row r="7966" spans="27:27" ht="17.899999999999999" customHeight="1">
      <c r="AA7966"/>
    </row>
    <row r="7967" spans="27:27" ht="17.899999999999999" customHeight="1">
      <c r="AA7967"/>
    </row>
    <row r="7968" spans="27:27" ht="17.899999999999999" customHeight="1">
      <c r="AA7968"/>
    </row>
    <row r="7969" spans="27:27" ht="17.899999999999999" customHeight="1">
      <c r="AA7969"/>
    </row>
    <row r="7970" spans="27:27" ht="17.899999999999999" customHeight="1">
      <c r="AA7970"/>
    </row>
    <row r="7971" spans="27:27" ht="17.899999999999999" customHeight="1">
      <c r="AA7971"/>
    </row>
    <row r="7972" spans="27:27" ht="17.899999999999999" customHeight="1">
      <c r="AA7972"/>
    </row>
    <row r="7973" spans="27:27" ht="17.899999999999999" customHeight="1">
      <c r="AA7973"/>
    </row>
    <row r="7974" spans="27:27" ht="17.899999999999999" customHeight="1">
      <c r="AA7974"/>
    </row>
    <row r="7975" spans="27:27" ht="17.899999999999999" customHeight="1">
      <c r="AA7975"/>
    </row>
    <row r="7976" spans="27:27" ht="17.899999999999999" customHeight="1">
      <c r="AA7976"/>
    </row>
    <row r="7977" spans="27:27" ht="17.899999999999999" customHeight="1">
      <c r="AA7977"/>
    </row>
    <row r="7978" spans="27:27" ht="17.899999999999999" customHeight="1">
      <c r="AA7978"/>
    </row>
    <row r="7979" spans="27:27" ht="17.899999999999999" customHeight="1">
      <c r="AA7979"/>
    </row>
    <row r="7980" spans="27:27" ht="17.899999999999999" customHeight="1">
      <c r="AA7980"/>
    </row>
    <row r="7981" spans="27:27" ht="17.899999999999999" customHeight="1">
      <c r="AA7981"/>
    </row>
    <row r="7982" spans="27:27" ht="17.899999999999999" customHeight="1">
      <c r="AA7982"/>
    </row>
    <row r="7983" spans="27:27" ht="17.899999999999999" customHeight="1">
      <c r="AA7983"/>
    </row>
    <row r="7984" spans="27:27" ht="17.899999999999999" customHeight="1">
      <c r="AA7984"/>
    </row>
    <row r="7985" spans="27:27" ht="17.899999999999999" customHeight="1">
      <c r="AA7985"/>
    </row>
    <row r="7986" spans="27:27" ht="17.899999999999999" customHeight="1">
      <c r="AA7986"/>
    </row>
    <row r="7987" spans="27:27" ht="17.899999999999999" customHeight="1">
      <c r="AA7987"/>
    </row>
    <row r="7988" spans="27:27" ht="17.899999999999999" customHeight="1">
      <c r="AA7988"/>
    </row>
    <row r="7989" spans="27:27" ht="17.899999999999999" customHeight="1">
      <c r="AA7989"/>
    </row>
    <row r="7990" spans="27:27" ht="17.899999999999999" customHeight="1">
      <c r="AA7990"/>
    </row>
    <row r="7991" spans="27:27" ht="17.899999999999999" customHeight="1">
      <c r="AA7991"/>
    </row>
    <row r="7992" spans="27:27" ht="17.899999999999999" customHeight="1">
      <c r="AA7992"/>
    </row>
    <row r="7993" spans="27:27" ht="17.899999999999999" customHeight="1">
      <c r="AA7993"/>
    </row>
    <row r="7994" spans="27:27" ht="17.899999999999999" customHeight="1">
      <c r="AA7994"/>
    </row>
    <row r="7995" spans="27:27" ht="17.899999999999999" customHeight="1">
      <c r="AA7995"/>
    </row>
    <row r="7996" spans="27:27" ht="17.899999999999999" customHeight="1">
      <c r="AA7996"/>
    </row>
    <row r="7997" spans="27:27" ht="17.899999999999999" customHeight="1">
      <c r="AA7997"/>
    </row>
    <row r="7998" spans="27:27" ht="17.899999999999999" customHeight="1">
      <c r="AA7998"/>
    </row>
    <row r="7999" spans="27:27" ht="17.899999999999999" customHeight="1">
      <c r="AA7999"/>
    </row>
    <row r="8000" spans="27:27" ht="17.899999999999999" customHeight="1">
      <c r="AA8000"/>
    </row>
    <row r="8001" spans="27:27" ht="17.899999999999999" customHeight="1">
      <c r="AA8001"/>
    </row>
    <row r="8002" spans="27:27" ht="17.899999999999999" customHeight="1">
      <c r="AA8002"/>
    </row>
    <row r="8003" spans="27:27" ht="17.899999999999999" customHeight="1">
      <c r="AA8003"/>
    </row>
    <row r="8004" spans="27:27" ht="17.899999999999999" customHeight="1">
      <c r="AA8004"/>
    </row>
    <row r="8005" spans="27:27" ht="17.899999999999999" customHeight="1">
      <c r="AA8005"/>
    </row>
    <row r="8006" spans="27:27" ht="17.899999999999999" customHeight="1">
      <c r="AA8006"/>
    </row>
    <row r="8007" spans="27:27" ht="17.899999999999999" customHeight="1">
      <c r="AA8007"/>
    </row>
    <row r="8008" spans="27:27" ht="17.899999999999999" customHeight="1">
      <c r="AA8008"/>
    </row>
    <row r="8009" spans="27:27" ht="17.899999999999999" customHeight="1">
      <c r="AA8009"/>
    </row>
    <row r="8010" spans="27:27" ht="17.899999999999999" customHeight="1">
      <c r="AA8010"/>
    </row>
    <row r="8011" spans="27:27" ht="17.899999999999999" customHeight="1">
      <c r="AA8011"/>
    </row>
    <row r="8012" spans="27:27" ht="17.899999999999999" customHeight="1">
      <c r="AA8012"/>
    </row>
    <row r="8013" spans="27:27" ht="17.899999999999999" customHeight="1">
      <c r="AA8013"/>
    </row>
    <row r="8014" spans="27:27" ht="17.899999999999999" customHeight="1">
      <c r="AA8014"/>
    </row>
    <row r="8015" spans="27:27" ht="17.899999999999999" customHeight="1">
      <c r="AA8015"/>
    </row>
    <row r="8016" spans="27:27" ht="17.899999999999999" customHeight="1">
      <c r="AA8016"/>
    </row>
    <row r="8017" spans="27:27" ht="17.899999999999999" customHeight="1">
      <c r="AA8017"/>
    </row>
    <row r="8018" spans="27:27" ht="17.899999999999999" customHeight="1">
      <c r="AA8018"/>
    </row>
    <row r="8019" spans="27:27" ht="17.899999999999999" customHeight="1">
      <c r="AA8019"/>
    </row>
    <row r="8020" spans="27:27" ht="17.899999999999999" customHeight="1">
      <c r="AA8020"/>
    </row>
    <row r="8021" spans="27:27" ht="17.899999999999999" customHeight="1">
      <c r="AA8021"/>
    </row>
    <row r="8022" spans="27:27" ht="17.899999999999999" customHeight="1">
      <c r="AA8022"/>
    </row>
    <row r="8023" spans="27:27" ht="17.899999999999999" customHeight="1">
      <c r="AA8023"/>
    </row>
    <row r="8024" spans="27:27" ht="17.899999999999999" customHeight="1">
      <c r="AA8024"/>
    </row>
    <row r="8025" spans="27:27" ht="17.899999999999999" customHeight="1">
      <c r="AA8025"/>
    </row>
    <row r="8026" spans="27:27" ht="17.899999999999999" customHeight="1">
      <c r="AA8026"/>
    </row>
    <row r="8027" spans="27:27" ht="17.899999999999999" customHeight="1">
      <c r="AA8027"/>
    </row>
    <row r="8028" spans="27:27" ht="17.899999999999999" customHeight="1">
      <c r="AA8028"/>
    </row>
    <row r="8029" spans="27:27" ht="17.899999999999999" customHeight="1">
      <c r="AA8029"/>
    </row>
    <row r="8030" spans="27:27" ht="17.899999999999999" customHeight="1">
      <c r="AA8030"/>
    </row>
    <row r="8031" spans="27:27" ht="17.899999999999999" customHeight="1">
      <c r="AA8031"/>
    </row>
    <row r="8032" spans="27:27" ht="17.899999999999999" customHeight="1">
      <c r="AA8032"/>
    </row>
    <row r="8033" spans="27:27" ht="17.899999999999999" customHeight="1">
      <c r="AA8033"/>
    </row>
    <row r="8034" spans="27:27" ht="17.899999999999999" customHeight="1">
      <c r="AA8034"/>
    </row>
    <row r="8035" spans="27:27" ht="17.899999999999999" customHeight="1">
      <c r="AA8035"/>
    </row>
    <row r="8036" spans="27:27" ht="17.899999999999999" customHeight="1">
      <c r="AA8036"/>
    </row>
    <row r="8037" spans="27:27" ht="17.899999999999999" customHeight="1">
      <c r="AA8037"/>
    </row>
    <row r="8038" spans="27:27" ht="17.899999999999999" customHeight="1">
      <c r="AA8038"/>
    </row>
    <row r="8039" spans="27:27" ht="17.899999999999999" customHeight="1">
      <c r="AA8039"/>
    </row>
    <row r="8040" spans="27:27" ht="17.899999999999999" customHeight="1">
      <c r="AA8040"/>
    </row>
    <row r="8041" spans="27:27" ht="17.899999999999999" customHeight="1">
      <c r="AA8041"/>
    </row>
    <row r="8042" spans="27:27" ht="17.899999999999999" customHeight="1">
      <c r="AA8042"/>
    </row>
    <row r="8043" spans="27:27" ht="17.899999999999999" customHeight="1">
      <c r="AA8043"/>
    </row>
    <row r="8044" spans="27:27" ht="17.899999999999999" customHeight="1">
      <c r="AA8044"/>
    </row>
    <row r="8045" spans="27:27" ht="17.899999999999999" customHeight="1">
      <c r="AA8045"/>
    </row>
    <row r="8046" spans="27:27" ht="17.899999999999999" customHeight="1">
      <c r="AA8046"/>
    </row>
    <row r="8047" spans="27:27" ht="17.899999999999999" customHeight="1">
      <c r="AA8047"/>
    </row>
    <row r="8048" spans="27:27" ht="17.899999999999999" customHeight="1">
      <c r="AA8048"/>
    </row>
    <row r="8049" spans="27:27" ht="17.899999999999999" customHeight="1">
      <c r="AA8049"/>
    </row>
    <row r="8050" spans="27:27" ht="17.899999999999999" customHeight="1">
      <c r="AA8050"/>
    </row>
    <row r="8051" spans="27:27" ht="17.899999999999999" customHeight="1">
      <c r="AA8051"/>
    </row>
    <row r="8052" spans="27:27" ht="17.899999999999999" customHeight="1">
      <c r="AA8052"/>
    </row>
    <row r="8053" spans="27:27" ht="17.899999999999999" customHeight="1">
      <c r="AA8053"/>
    </row>
    <row r="8054" spans="27:27" ht="17.899999999999999" customHeight="1">
      <c r="AA8054"/>
    </row>
    <row r="8055" spans="27:27" ht="17.899999999999999" customHeight="1">
      <c r="AA8055"/>
    </row>
    <row r="8056" spans="27:27" ht="17.899999999999999" customHeight="1">
      <c r="AA8056"/>
    </row>
    <row r="8057" spans="27:27" ht="17.899999999999999" customHeight="1">
      <c r="AA8057"/>
    </row>
    <row r="8058" spans="27:27" ht="17.899999999999999" customHeight="1">
      <c r="AA8058"/>
    </row>
    <row r="8059" spans="27:27" ht="17.899999999999999" customHeight="1">
      <c r="AA8059"/>
    </row>
    <row r="8060" spans="27:27" ht="17.899999999999999" customHeight="1">
      <c r="AA8060"/>
    </row>
    <row r="8061" spans="27:27" ht="17.899999999999999" customHeight="1">
      <c r="AA8061"/>
    </row>
    <row r="8062" spans="27:27" ht="17.899999999999999" customHeight="1">
      <c r="AA8062"/>
    </row>
    <row r="8063" spans="27:27" ht="17.899999999999999" customHeight="1">
      <c r="AA8063"/>
    </row>
    <row r="8064" spans="27:27" ht="17.899999999999999" customHeight="1">
      <c r="AA8064"/>
    </row>
    <row r="8065" spans="27:27" ht="17.899999999999999" customHeight="1">
      <c r="AA8065"/>
    </row>
    <row r="8066" spans="27:27" ht="17.899999999999999" customHeight="1">
      <c r="AA8066"/>
    </row>
    <row r="8067" spans="27:27" ht="17.899999999999999" customHeight="1">
      <c r="AA8067"/>
    </row>
    <row r="8068" spans="27:27" ht="17.899999999999999" customHeight="1">
      <c r="AA8068"/>
    </row>
    <row r="8069" spans="27:27" ht="17.899999999999999" customHeight="1">
      <c r="AA8069"/>
    </row>
    <row r="8070" spans="27:27" ht="17.899999999999999" customHeight="1">
      <c r="AA8070"/>
    </row>
    <row r="8071" spans="27:27" ht="17.899999999999999" customHeight="1">
      <c r="AA8071"/>
    </row>
    <row r="8072" spans="27:27" ht="17.899999999999999" customHeight="1">
      <c r="AA8072"/>
    </row>
    <row r="8073" spans="27:27" ht="17.899999999999999" customHeight="1">
      <c r="AA8073"/>
    </row>
    <row r="8074" spans="27:27" ht="17.899999999999999" customHeight="1">
      <c r="AA8074"/>
    </row>
    <row r="8075" spans="27:27" ht="17.899999999999999" customHeight="1">
      <c r="AA8075"/>
    </row>
    <row r="8076" spans="27:27" ht="17.899999999999999" customHeight="1">
      <c r="AA8076"/>
    </row>
    <row r="8077" spans="27:27" ht="17.899999999999999" customHeight="1">
      <c r="AA8077"/>
    </row>
    <row r="8078" spans="27:27" ht="17.899999999999999" customHeight="1">
      <c r="AA8078"/>
    </row>
    <row r="8079" spans="27:27" ht="17.899999999999999" customHeight="1">
      <c r="AA8079"/>
    </row>
    <row r="8080" spans="27:27" ht="17.899999999999999" customHeight="1">
      <c r="AA8080"/>
    </row>
    <row r="8081" spans="27:27" ht="17.899999999999999" customHeight="1">
      <c r="AA8081"/>
    </row>
    <row r="8082" spans="27:27" ht="17.899999999999999" customHeight="1">
      <c r="AA8082"/>
    </row>
    <row r="8083" spans="27:27" ht="17.899999999999999" customHeight="1">
      <c r="AA8083"/>
    </row>
    <row r="8084" spans="27:27" ht="17.899999999999999" customHeight="1">
      <c r="AA8084"/>
    </row>
    <row r="8085" spans="27:27" ht="17.899999999999999" customHeight="1">
      <c r="AA8085"/>
    </row>
    <row r="8086" spans="27:27" ht="17.899999999999999" customHeight="1">
      <c r="AA8086"/>
    </row>
    <row r="8087" spans="27:27" ht="17.899999999999999" customHeight="1">
      <c r="AA8087"/>
    </row>
    <row r="8088" spans="27:27" ht="17.899999999999999" customHeight="1">
      <c r="AA8088"/>
    </row>
    <row r="8089" spans="27:27" ht="17.899999999999999" customHeight="1">
      <c r="AA8089"/>
    </row>
    <row r="8090" spans="27:27" ht="17.899999999999999" customHeight="1">
      <c r="AA8090"/>
    </row>
    <row r="8091" spans="27:27" ht="17.899999999999999" customHeight="1">
      <c r="AA8091"/>
    </row>
    <row r="8092" spans="27:27" ht="17.899999999999999" customHeight="1">
      <c r="AA8092"/>
    </row>
    <row r="8093" spans="27:27" ht="17.899999999999999" customHeight="1">
      <c r="AA8093"/>
    </row>
    <row r="8094" spans="27:27" ht="17.899999999999999" customHeight="1">
      <c r="AA8094"/>
    </row>
    <row r="8095" spans="27:27" ht="17.899999999999999" customHeight="1">
      <c r="AA8095"/>
    </row>
    <row r="8096" spans="27:27" ht="17.899999999999999" customHeight="1">
      <c r="AA8096"/>
    </row>
    <row r="8097" spans="27:27" ht="17.899999999999999" customHeight="1">
      <c r="AA8097"/>
    </row>
    <row r="8098" spans="27:27" ht="17.899999999999999" customHeight="1">
      <c r="AA8098"/>
    </row>
    <row r="8099" spans="27:27" ht="17.899999999999999" customHeight="1">
      <c r="AA8099"/>
    </row>
    <row r="8100" spans="27:27" ht="17.899999999999999" customHeight="1">
      <c r="AA8100"/>
    </row>
    <row r="8101" spans="27:27" ht="17.899999999999999" customHeight="1">
      <c r="AA8101"/>
    </row>
    <row r="8102" spans="27:27" ht="17.899999999999999" customHeight="1">
      <c r="AA8102"/>
    </row>
    <row r="8103" spans="27:27" ht="17.899999999999999" customHeight="1">
      <c r="AA8103"/>
    </row>
    <row r="8104" spans="27:27" ht="17.899999999999999" customHeight="1">
      <c r="AA8104"/>
    </row>
    <row r="8105" spans="27:27" ht="17.899999999999999" customHeight="1">
      <c r="AA8105"/>
    </row>
    <row r="8106" spans="27:27" ht="17.899999999999999" customHeight="1">
      <c r="AA8106"/>
    </row>
    <row r="8107" spans="27:27" ht="17.899999999999999" customHeight="1">
      <c r="AA8107"/>
    </row>
    <row r="8108" spans="27:27" ht="17.899999999999999" customHeight="1">
      <c r="AA8108"/>
    </row>
    <row r="8109" spans="27:27" ht="17.899999999999999" customHeight="1">
      <c r="AA8109"/>
    </row>
    <row r="8110" spans="27:27" ht="17.899999999999999" customHeight="1">
      <c r="AA8110"/>
    </row>
    <row r="8111" spans="27:27" ht="17.899999999999999" customHeight="1">
      <c r="AA8111"/>
    </row>
    <row r="8112" spans="27:27" ht="17.899999999999999" customHeight="1">
      <c r="AA8112"/>
    </row>
    <row r="8113" spans="27:27" ht="17.899999999999999" customHeight="1">
      <c r="AA8113"/>
    </row>
    <row r="8114" spans="27:27" ht="17.899999999999999" customHeight="1">
      <c r="AA8114"/>
    </row>
    <row r="8115" spans="27:27" ht="17.899999999999999" customHeight="1">
      <c r="AA8115"/>
    </row>
    <row r="8116" spans="27:27" ht="17.899999999999999" customHeight="1">
      <c r="AA8116"/>
    </row>
    <row r="8117" spans="27:27" ht="17.899999999999999" customHeight="1">
      <c r="AA8117"/>
    </row>
    <row r="8118" spans="27:27" ht="17.899999999999999" customHeight="1">
      <c r="AA8118"/>
    </row>
    <row r="8119" spans="27:27" ht="17.899999999999999" customHeight="1">
      <c r="AA8119"/>
    </row>
    <row r="8120" spans="27:27" ht="17.899999999999999" customHeight="1">
      <c r="AA8120"/>
    </row>
    <row r="8121" spans="27:27" ht="17.899999999999999" customHeight="1">
      <c r="AA8121"/>
    </row>
    <row r="8122" spans="27:27" ht="17.899999999999999" customHeight="1">
      <c r="AA8122"/>
    </row>
    <row r="8123" spans="27:27" ht="17.899999999999999" customHeight="1">
      <c r="AA8123"/>
    </row>
    <row r="8124" spans="27:27" ht="17.899999999999999" customHeight="1">
      <c r="AA8124"/>
    </row>
    <row r="8125" spans="27:27" ht="17.899999999999999" customHeight="1">
      <c r="AA8125"/>
    </row>
    <row r="8126" spans="27:27" ht="17.899999999999999" customHeight="1">
      <c r="AA8126"/>
    </row>
    <row r="8127" spans="27:27" ht="17.899999999999999" customHeight="1">
      <c r="AA8127"/>
    </row>
    <row r="8128" spans="27:27" ht="17.899999999999999" customHeight="1">
      <c r="AA8128"/>
    </row>
    <row r="8129" spans="27:27" ht="17.899999999999999" customHeight="1">
      <c r="AA8129"/>
    </row>
    <row r="8130" spans="27:27" ht="17.899999999999999" customHeight="1">
      <c r="AA8130"/>
    </row>
    <row r="8131" spans="27:27" ht="17.899999999999999" customHeight="1">
      <c r="AA8131"/>
    </row>
    <row r="8132" spans="27:27" ht="17.899999999999999" customHeight="1">
      <c r="AA8132"/>
    </row>
    <row r="8133" spans="27:27" ht="17.899999999999999" customHeight="1">
      <c r="AA8133"/>
    </row>
    <row r="8134" spans="27:27" ht="17.899999999999999" customHeight="1">
      <c r="AA8134"/>
    </row>
    <row r="8135" spans="27:27" ht="17.899999999999999" customHeight="1">
      <c r="AA8135"/>
    </row>
    <row r="8136" spans="27:27" ht="17.899999999999999" customHeight="1">
      <c r="AA8136"/>
    </row>
    <row r="8137" spans="27:27" ht="17.899999999999999" customHeight="1">
      <c r="AA8137"/>
    </row>
    <row r="8138" spans="27:27" ht="17.899999999999999" customHeight="1">
      <c r="AA8138"/>
    </row>
    <row r="8139" spans="27:27" ht="17.899999999999999" customHeight="1">
      <c r="AA8139"/>
    </row>
    <row r="8140" spans="27:27" ht="17.899999999999999" customHeight="1">
      <c r="AA8140"/>
    </row>
    <row r="8141" spans="27:27" ht="17.899999999999999" customHeight="1">
      <c r="AA8141"/>
    </row>
    <row r="8142" spans="27:27" ht="17.899999999999999" customHeight="1">
      <c r="AA8142"/>
    </row>
    <row r="8143" spans="27:27" ht="17.899999999999999" customHeight="1">
      <c r="AA8143"/>
    </row>
    <row r="8144" spans="27:27" ht="17.899999999999999" customHeight="1">
      <c r="AA8144"/>
    </row>
    <row r="8145" spans="27:27" ht="17.899999999999999" customHeight="1">
      <c r="AA8145"/>
    </row>
    <row r="8146" spans="27:27" ht="17.899999999999999" customHeight="1">
      <c r="AA8146"/>
    </row>
    <row r="8147" spans="27:27" ht="17.899999999999999" customHeight="1">
      <c r="AA8147"/>
    </row>
    <row r="8148" spans="27:27" ht="17.899999999999999" customHeight="1">
      <c r="AA8148"/>
    </row>
    <row r="8149" spans="27:27" ht="17.899999999999999" customHeight="1">
      <c r="AA8149"/>
    </row>
    <row r="8150" spans="27:27" ht="17.899999999999999" customHeight="1">
      <c r="AA8150"/>
    </row>
    <row r="8151" spans="27:27" ht="17.899999999999999" customHeight="1">
      <c r="AA8151"/>
    </row>
    <row r="8152" spans="27:27" ht="17.899999999999999" customHeight="1">
      <c r="AA8152"/>
    </row>
    <row r="8153" spans="27:27" ht="17.899999999999999" customHeight="1">
      <c r="AA8153"/>
    </row>
    <row r="8154" spans="27:27" ht="17.899999999999999" customHeight="1">
      <c r="AA8154"/>
    </row>
    <row r="8155" spans="27:27" ht="17.899999999999999" customHeight="1">
      <c r="AA8155"/>
    </row>
    <row r="8156" spans="27:27" ht="17.899999999999999" customHeight="1">
      <c r="AA8156"/>
    </row>
    <row r="8157" spans="27:27" ht="17.899999999999999" customHeight="1">
      <c r="AA8157"/>
    </row>
    <row r="8158" spans="27:27" ht="17.899999999999999" customHeight="1">
      <c r="AA8158"/>
    </row>
    <row r="8159" spans="27:27" ht="17.899999999999999" customHeight="1">
      <c r="AA8159"/>
    </row>
    <row r="8160" spans="27:27" ht="17.899999999999999" customHeight="1">
      <c r="AA8160"/>
    </row>
    <row r="8161" spans="27:27" ht="17.899999999999999" customHeight="1">
      <c r="AA8161"/>
    </row>
    <row r="8162" spans="27:27" ht="17.899999999999999" customHeight="1">
      <c r="AA8162"/>
    </row>
    <row r="8163" spans="27:27" ht="17.899999999999999" customHeight="1">
      <c r="AA8163"/>
    </row>
    <row r="8164" spans="27:27" ht="17.899999999999999" customHeight="1">
      <c r="AA8164"/>
    </row>
    <row r="8165" spans="27:27" ht="17.899999999999999" customHeight="1">
      <c r="AA8165"/>
    </row>
    <row r="8166" spans="27:27" ht="17.899999999999999" customHeight="1">
      <c r="AA8166"/>
    </row>
    <row r="8167" spans="27:27" ht="17.899999999999999" customHeight="1">
      <c r="AA8167"/>
    </row>
    <row r="8168" spans="27:27" ht="17.899999999999999" customHeight="1">
      <c r="AA8168"/>
    </row>
    <row r="8169" spans="27:27" ht="17.899999999999999" customHeight="1">
      <c r="AA8169"/>
    </row>
    <row r="8170" spans="27:27" ht="17.899999999999999" customHeight="1">
      <c r="AA8170"/>
    </row>
    <row r="8171" spans="27:27" ht="17.899999999999999" customHeight="1">
      <c r="AA8171"/>
    </row>
    <row r="8172" spans="27:27" ht="17.899999999999999" customHeight="1">
      <c r="AA8172"/>
    </row>
    <row r="8173" spans="27:27" ht="17.899999999999999" customHeight="1">
      <c r="AA8173"/>
    </row>
    <row r="8174" spans="27:27" ht="17.899999999999999" customHeight="1">
      <c r="AA8174"/>
    </row>
    <row r="8175" spans="27:27" ht="17.899999999999999" customHeight="1">
      <c r="AA8175"/>
    </row>
    <row r="8176" spans="27:27" ht="17.899999999999999" customHeight="1">
      <c r="AA8176"/>
    </row>
    <row r="8177" spans="27:27" ht="17.899999999999999" customHeight="1">
      <c r="AA8177"/>
    </row>
    <row r="8178" spans="27:27" ht="17.899999999999999" customHeight="1">
      <c r="AA8178"/>
    </row>
    <row r="8179" spans="27:27" ht="17.899999999999999" customHeight="1">
      <c r="AA8179"/>
    </row>
    <row r="8180" spans="27:27" ht="17.899999999999999" customHeight="1">
      <c r="AA8180"/>
    </row>
    <row r="8181" spans="27:27" ht="17.899999999999999" customHeight="1">
      <c r="AA8181"/>
    </row>
    <row r="8182" spans="27:27" ht="17.899999999999999" customHeight="1">
      <c r="AA8182"/>
    </row>
    <row r="8183" spans="27:27" ht="17.899999999999999" customHeight="1">
      <c r="AA8183"/>
    </row>
    <row r="8184" spans="27:27" ht="17.899999999999999" customHeight="1">
      <c r="AA8184"/>
    </row>
    <row r="8185" spans="27:27" ht="17.899999999999999" customHeight="1">
      <c r="AA8185"/>
    </row>
    <row r="8186" spans="27:27" ht="17.899999999999999" customHeight="1">
      <c r="AA8186"/>
    </row>
    <row r="8187" spans="27:27" ht="17.899999999999999" customHeight="1">
      <c r="AA8187"/>
    </row>
    <row r="8188" spans="27:27" ht="17.899999999999999" customHeight="1">
      <c r="AA8188"/>
    </row>
    <row r="8189" spans="27:27" ht="17.899999999999999" customHeight="1">
      <c r="AA8189"/>
    </row>
    <row r="8190" spans="27:27" ht="17.899999999999999" customHeight="1">
      <c r="AA8190"/>
    </row>
    <row r="8191" spans="27:27" ht="17.899999999999999" customHeight="1">
      <c r="AA8191"/>
    </row>
    <row r="8192" spans="27:27" ht="17.899999999999999" customHeight="1">
      <c r="AA8192"/>
    </row>
    <row r="8193" spans="27:27" ht="17.899999999999999" customHeight="1">
      <c r="AA8193"/>
    </row>
    <row r="8194" spans="27:27" ht="17.899999999999999" customHeight="1">
      <c r="AA8194"/>
    </row>
    <row r="8195" spans="27:27" ht="17.899999999999999" customHeight="1">
      <c r="AA8195"/>
    </row>
    <row r="8196" spans="27:27" ht="17.899999999999999" customHeight="1">
      <c r="AA8196"/>
    </row>
    <row r="8197" spans="27:27" ht="17.899999999999999" customHeight="1">
      <c r="AA8197"/>
    </row>
    <row r="8198" spans="27:27" ht="17.899999999999999" customHeight="1">
      <c r="AA8198"/>
    </row>
    <row r="8199" spans="27:27" ht="17.899999999999999" customHeight="1">
      <c r="AA8199"/>
    </row>
    <row r="8200" spans="27:27" ht="17.899999999999999" customHeight="1">
      <c r="AA8200"/>
    </row>
    <row r="8201" spans="27:27" ht="17.899999999999999" customHeight="1">
      <c r="AA8201"/>
    </row>
    <row r="8202" spans="27:27" ht="17.899999999999999" customHeight="1">
      <c r="AA8202"/>
    </row>
    <row r="8203" spans="27:27" ht="17.899999999999999" customHeight="1">
      <c r="AA8203"/>
    </row>
    <row r="8204" spans="27:27" ht="17.899999999999999" customHeight="1">
      <c r="AA8204"/>
    </row>
    <row r="8205" spans="27:27" ht="17.899999999999999" customHeight="1">
      <c r="AA8205"/>
    </row>
    <row r="8206" spans="27:27" ht="17.899999999999999" customHeight="1">
      <c r="AA8206"/>
    </row>
    <row r="8207" spans="27:27" ht="17.899999999999999" customHeight="1">
      <c r="AA8207"/>
    </row>
    <row r="8208" spans="27:27" ht="17.899999999999999" customHeight="1">
      <c r="AA8208"/>
    </row>
    <row r="8209" spans="27:27" ht="17.899999999999999" customHeight="1">
      <c r="AA8209"/>
    </row>
    <row r="8210" spans="27:27" ht="17.899999999999999" customHeight="1">
      <c r="AA8210"/>
    </row>
    <row r="8211" spans="27:27" ht="17.899999999999999" customHeight="1">
      <c r="AA8211"/>
    </row>
    <row r="8212" spans="27:27" ht="17.899999999999999" customHeight="1">
      <c r="AA8212"/>
    </row>
    <row r="8213" spans="27:27" ht="17.899999999999999" customHeight="1">
      <c r="AA8213"/>
    </row>
    <row r="8214" spans="27:27" ht="17.899999999999999" customHeight="1">
      <c r="AA8214"/>
    </row>
    <row r="8215" spans="27:27" ht="17.899999999999999" customHeight="1">
      <c r="AA8215"/>
    </row>
    <row r="8216" spans="27:27" ht="17.899999999999999" customHeight="1">
      <c r="AA8216"/>
    </row>
    <row r="8217" spans="27:27" ht="17.899999999999999" customHeight="1">
      <c r="AA8217"/>
    </row>
    <row r="8218" spans="27:27" ht="17.899999999999999" customHeight="1">
      <c r="AA8218"/>
    </row>
    <row r="8219" spans="27:27" ht="17.899999999999999" customHeight="1">
      <c r="AA8219"/>
    </row>
    <row r="8220" spans="27:27" ht="17.899999999999999" customHeight="1">
      <c r="AA8220"/>
    </row>
    <row r="8221" spans="27:27" ht="17.899999999999999" customHeight="1">
      <c r="AA8221"/>
    </row>
    <row r="8222" spans="27:27" ht="17.899999999999999" customHeight="1">
      <c r="AA8222"/>
    </row>
    <row r="8223" spans="27:27" ht="17.899999999999999" customHeight="1">
      <c r="AA8223"/>
    </row>
    <row r="8224" spans="27:27" ht="17.899999999999999" customHeight="1">
      <c r="AA8224"/>
    </row>
    <row r="8225" spans="27:27" ht="17.899999999999999" customHeight="1">
      <c r="AA8225"/>
    </row>
    <row r="8226" spans="27:27" ht="17.899999999999999" customHeight="1">
      <c r="AA8226"/>
    </row>
    <row r="8227" spans="27:27" ht="17.899999999999999" customHeight="1">
      <c r="AA8227"/>
    </row>
    <row r="8228" spans="27:27" ht="17.899999999999999" customHeight="1">
      <c r="AA8228"/>
    </row>
    <row r="8229" spans="27:27" ht="17.899999999999999" customHeight="1">
      <c r="AA8229"/>
    </row>
    <row r="8230" spans="27:27" ht="17.899999999999999" customHeight="1">
      <c r="AA8230"/>
    </row>
    <row r="8231" spans="27:27" ht="17.899999999999999" customHeight="1">
      <c r="AA8231"/>
    </row>
    <row r="8232" spans="27:27" ht="17.899999999999999" customHeight="1">
      <c r="AA8232"/>
    </row>
    <row r="8233" spans="27:27" ht="17.899999999999999" customHeight="1">
      <c r="AA8233"/>
    </row>
    <row r="8234" spans="27:27" ht="17.899999999999999" customHeight="1">
      <c r="AA8234"/>
    </row>
    <row r="8235" spans="27:27" ht="17.899999999999999" customHeight="1">
      <c r="AA8235"/>
    </row>
    <row r="8236" spans="27:27" ht="17.899999999999999" customHeight="1">
      <c r="AA8236"/>
    </row>
    <row r="8237" spans="27:27" ht="17.899999999999999" customHeight="1">
      <c r="AA8237"/>
    </row>
    <row r="8238" spans="27:27" ht="17.899999999999999" customHeight="1">
      <c r="AA8238"/>
    </row>
    <row r="8239" spans="27:27" ht="17.899999999999999" customHeight="1">
      <c r="AA8239"/>
    </row>
    <row r="8240" spans="27:27" ht="17.899999999999999" customHeight="1">
      <c r="AA8240"/>
    </row>
    <row r="8241" spans="27:27" ht="17.899999999999999" customHeight="1">
      <c r="AA8241"/>
    </row>
    <row r="8242" spans="27:27" ht="17.899999999999999" customHeight="1">
      <c r="AA8242"/>
    </row>
    <row r="8243" spans="27:27" ht="17.899999999999999" customHeight="1">
      <c r="AA8243"/>
    </row>
    <row r="8244" spans="27:27" ht="17.899999999999999" customHeight="1">
      <c r="AA8244"/>
    </row>
    <row r="8245" spans="27:27" ht="17.899999999999999" customHeight="1">
      <c r="AA8245"/>
    </row>
    <row r="8246" spans="27:27" ht="17.899999999999999" customHeight="1">
      <c r="AA8246"/>
    </row>
    <row r="8247" spans="27:27" ht="17.899999999999999" customHeight="1">
      <c r="AA8247"/>
    </row>
    <row r="8248" spans="27:27" ht="17.899999999999999" customHeight="1">
      <c r="AA8248"/>
    </row>
    <row r="8249" spans="27:27" ht="17.899999999999999" customHeight="1">
      <c r="AA8249"/>
    </row>
    <row r="8250" spans="27:27" ht="17.899999999999999" customHeight="1">
      <c r="AA8250"/>
    </row>
    <row r="8251" spans="27:27" ht="17.899999999999999" customHeight="1">
      <c r="AA8251"/>
    </row>
    <row r="8252" spans="27:27" ht="17.899999999999999" customHeight="1">
      <c r="AA8252"/>
    </row>
    <row r="8253" spans="27:27" ht="17.899999999999999" customHeight="1">
      <c r="AA8253"/>
    </row>
    <row r="8254" spans="27:27" ht="17.899999999999999" customHeight="1">
      <c r="AA8254"/>
    </row>
    <row r="8255" spans="27:27" ht="17.899999999999999" customHeight="1">
      <c r="AA8255"/>
    </row>
    <row r="8256" spans="27:27" ht="17.899999999999999" customHeight="1">
      <c r="AA8256"/>
    </row>
    <row r="8257" spans="27:27" ht="17.899999999999999" customHeight="1">
      <c r="AA8257"/>
    </row>
    <row r="8258" spans="27:27" ht="17.899999999999999" customHeight="1">
      <c r="AA8258"/>
    </row>
    <row r="8259" spans="27:27" ht="17.899999999999999" customHeight="1">
      <c r="AA8259"/>
    </row>
    <row r="8260" spans="27:27" ht="17.899999999999999" customHeight="1">
      <c r="AA8260"/>
    </row>
    <row r="8261" spans="27:27" ht="17.899999999999999" customHeight="1">
      <c r="AA8261"/>
    </row>
    <row r="8262" spans="27:27" ht="17.899999999999999" customHeight="1">
      <c r="AA8262"/>
    </row>
    <row r="8263" spans="27:27" ht="17.899999999999999" customHeight="1">
      <c r="AA8263"/>
    </row>
    <row r="8264" spans="27:27" ht="17.899999999999999" customHeight="1">
      <c r="AA8264"/>
    </row>
    <row r="8265" spans="27:27" ht="17.899999999999999" customHeight="1">
      <c r="AA8265"/>
    </row>
    <row r="8266" spans="27:27" ht="17.899999999999999" customHeight="1">
      <c r="AA8266"/>
    </row>
    <row r="8267" spans="27:27" ht="17.899999999999999" customHeight="1">
      <c r="AA8267"/>
    </row>
    <row r="8268" spans="27:27" ht="17.899999999999999" customHeight="1">
      <c r="AA8268"/>
    </row>
    <row r="8269" spans="27:27" ht="17.899999999999999" customHeight="1">
      <c r="AA8269"/>
    </row>
    <row r="8270" spans="27:27" ht="17.899999999999999" customHeight="1">
      <c r="AA8270"/>
    </row>
    <row r="8271" spans="27:27" ht="17.899999999999999" customHeight="1">
      <c r="AA8271"/>
    </row>
    <row r="8272" spans="27:27" ht="17.899999999999999" customHeight="1">
      <c r="AA8272"/>
    </row>
    <row r="8273" spans="27:27" ht="17.899999999999999" customHeight="1">
      <c r="AA8273"/>
    </row>
    <row r="8274" spans="27:27" ht="17.899999999999999" customHeight="1">
      <c r="AA8274"/>
    </row>
    <row r="8275" spans="27:27" ht="17.899999999999999" customHeight="1">
      <c r="AA8275"/>
    </row>
    <row r="8276" spans="27:27" ht="17.899999999999999" customHeight="1">
      <c r="AA8276"/>
    </row>
    <row r="8277" spans="27:27" ht="17.899999999999999" customHeight="1">
      <c r="AA8277"/>
    </row>
    <row r="8278" spans="27:27" ht="17.899999999999999" customHeight="1">
      <c r="AA8278"/>
    </row>
    <row r="8279" spans="27:27" ht="17.899999999999999" customHeight="1">
      <c r="AA8279"/>
    </row>
    <row r="8280" spans="27:27" ht="17.899999999999999" customHeight="1">
      <c r="AA8280"/>
    </row>
    <row r="8281" spans="27:27" ht="17.899999999999999" customHeight="1">
      <c r="AA8281"/>
    </row>
    <row r="8282" spans="27:27" ht="17.899999999999999" customHeight="1">
      <c r="AA8282"/>
    </row>
    <row r="8283" spans="27:27" ht="17.899999999999999" customHeight="1">
      <c r="AA8283"/>
    </row>
    <row r="8284" spans="27:27" ht="17.899999999999999" customHeight="1">
      <c r="AA8284"/>
    </row>
    <row r="8285" spans="27:27" ht="17.899999999999999" customHeight="1">
      <c r="AA8285"/>
    </row>
    <row r="8286" spans="27:27" ht="17.899999999999999" customHeight="1">
      <c r="AA8286"/>
    </row>
    <row r="8287" spans="27:27" ht="17.899999999999999" customHeight="1">
      <c r="AA8287"/>
    </row>
    <row r="8288" spans="27:27" ht="17.899999999999999" customHeight="1">
      <c r="AA8288"/>
    </row>
    <row r="8289" spans="27:27" ht="17.899999999999999" customHeight="1">
      <c r="AA8289"/>
    </row>
    <row r="8290" spans="27:27" ht="17.899999999999999" customHeight="1">
      <c r="AA8290"/>
    </row>
    <row r="8291" spans="27:27" ht="17.899999999999999" customHeight="1">
      <c r="AA8291"/>
    </row>
    <row r="8292" spans="27:27" ht="17.899999999999999" customHeight="1">
      <c r="AA8292"/>
    </row>
    <row r="8293" spans="27:27" ht="17.899999999999999" customHeight="1">
      <c r="AA8293"/>
    </row>
    <row r="8294" spans="27:27" ht="17.899999999999999" customHeight="1">
      <c r="AA8294"/>
    </row>
    <row r="8295" spans="27:27" ht="17.899999999999999" customHeight="1">
      <c r="AA8295"/>
    </row>
    <row r="8296" spans="27:27" ht="17.899999999999999" customHeight="1">
      <c r="AA8296"/>
    </row>
    <row r="8297" spans="27:27" ht="17.899999999999999" customHeight="1">
      <c r="AA8297"/>
    </row>
    <row r="8298" spans="27:27" ht="17.899999999999999" customHeight="1">
      <c r="AA8298"/>
    </row>
    <row r="8299" spans="27:27" ht="17.899999999999999" customHeight="1">
      <c r="AA8299"/>
    </row>
    <row r="8300" spans="27:27" ht="17.899999999999999" customHeight="1">
      <c r="AA8300"/>
    </row>
    <row r="8301" spans="27:27" ht="17.899999999999999" customHeight="1">
      <c r="AA8301"/>
    </row>
    <row r="8302" spans="27:27" ht="17.899999999999999" customHeight="1">
      <c r="AA8302"/>
    </row>
    <row r="8303" spans="27:27" ht="17.899999999999999" customHeight="1">
      <c r="AA8303"/>
    </row>
    <row r="8304" spans="27:27" ht="17.899999999999999" customHeight="1">
      <c r="AA8304"/>
    </row>
    <row r="8305" spans="27:27" ht="17.899999999999999" customHeight="1">
      <c r="AA8305"/>
    </row>
    <row r="8306" spans="27:27" ht="17.899999999999999" customHeight="1">
      <c r="AA8306"/>
    </row>
    <row r="8307" spans="27:27" ht="17.899999999999999" customHeight="1">
      <c r="AA8307"/>
    </row>
    <row r="8308" spans="27:27" ht="17.899999999999999" customHeight="1">
      <c r="AA8308"/>
    </row>
    <row r="8309" spans="27:27" ht="17.899999999999999" customHeight="1">
      <c r="AA8309"/>
    </row>
    <row r="8310" spans="27:27" ht="17.899999999999999" customHeight="1">
      <c r="AA8310"/>
    </row>
    <row r="8311" spans="27:27" ht="17.899999999999999" customHeight="1">
      <c r="AA8311"/>
    </row>
    <row r="8312" spans="27:27" ht="17.899999999999999" customHeight="1">
      <c r="AA8312"/>
    </row>
    <row r="8313" spans="27:27" ht="17.899999999999999" customHeight="1">
      <c r="AA8313"/>
    </row>
    <row r="8314" spans="27:27" ht="17.899999999999999" customHeight="1">
      <c r="AA8314"/>
    </row>
    <row r="8315" spans="27:27" ht="17.899999999999999" customHeight="1">
      <c r="AA8315"/>
    </row>
    <row r="8316" spans="27:27" ht="17.899999999999999" customHeight="1">
      <c r="AA8316"/>
    </row>
    <row r="8317" spans="27:27" ht="17.899999999999999" customHeight="1">
      <c r="AA8317"/>
    </row>
    <row r="8318" spans="27:27" ht="17.899999999999999" customHeight="1">
      <c r="AA8318"/>
    </row>
    <row r="8319" spans="27:27" ht="17.899999999999999" customHeight="1">
      <c r="AA8319"/>
    </row>
    <row r="8320" spans="27:27" ht="17.899999999999999" customHeight="1">
      <c r="AA8320"/>
    </row>
    <row r="8321" spans="27:27" ht="17.899999999999999" customHeight="1">
      <c r="AA8321"/>
    </row>
    <row r="8322" spans="27:27" ht="17.899999999999999" customHeight="1">
      <c r="AA8322"/>
    </row>
    <row r="8323" spans="27:27" ht="17.899999999999999" customHeight="1">
      <c r="AA8323"/>
    </row>
    <row r="8324" spans="27:27" ht="17.899999999999999" customHeight="1">
      <c r="AA8324"/>
    </row>
    <row r="8325" spans="27:27" ht="17.899999999999999" customHeight="1">
      <c r="AA8325"/>
    </row>
    <row r="8326" spans="27:27" ht="17.899999999999999" customHeight="1">
      <c r="AA8326"/>
    </row>
    <row r="8327" spans="27:27" ht="17.899999999999999" customHeight="1">
      <c r="AA8327"/>
    </row>
    <row r="8328" spans="27:27" ht="17.899999999999999" customHeight="1">
      <c r="AA8328"/>
    </row>
    <row r="8329" spans="27:27" ht="17.899999999999999" customHeight="1">
      <c r="AA8329"/>
    </row>
    <row r="8330" spans="27:27" ht="17.899999999999999" customHeight="1">
      <c r="AA8330"/>
    </row>
    <row r="8331" spans="27:27" ht="17.899999999999999" customHeight="1">
      <c r="AA8331"/>
    </row>
    <row r="8332" spans="27:27" ht="17.899999999999999" customHeight="1">
      <c r="AA8332"/>
    </row>
    <row r="8333" spans="27:27" ht="17.899999999999999" customHeight="1">
      <c r="AA8333"/>
    </row>
    <row r="8334" spans="27:27" ht="17.899999999999999" customHeight="1">
      <c r="AA8334"/>
    </row>
    <row r="8335" spans="27:27" ht="17.899999999999999" customHeight="1">
      <c r="AA8335"/>
    </row>
    <row r="8336" spans="27:27" ht="17.899999999999999" customHeight="1">
      <c r="AA8336"/>
    </row>
    <row r="8337" spans="27:27" ht="17.899999999999999" customHeight="1">
      <c r="AA8337"/>
    </row>
    <row r="8338" spans="27:27" ht="17.899999999999999" customHeight="1">
      <c r="AA8338"/>
    </row>
    <row r="8339" spans="27:27" ht="17.899999999999999" customHeight="1">
      <c r="AA8339"/>
    </row>
    <row r="8340" spans="27:27" ht="17.899999999999999" customHeight="1">
      <c r="AA8340"/>
    </row>
    <row r="8341" spans="27:27" ht="17.899999999999999" customHeight="1">
      <c r="AA8341"/>
    </row>
    <row r="8342" spans="27:27" ht="17.899999999999999" customHeight="1">
      <c r="AA8342"/>
    </row>
    <row r="8343" spans="27:27" ht="17.899999999999999" customHeight="1">
      <c r="AA8343"/>
    </row>
    <row r="8344" spans="27:27" ht="17.899999999999999" customHeight="1">
      <c r="AA8344"/>
    </row>
    <row r="8345" spans="27:27" ht="17.899999999999999" customHeight="1">
      <c r="AA8345"/>
    </row>
    <row r="8346" spans="27:27" ht="17.899999999999999" customHeight="1">
      <c r="AA8346"/>
    </row>
    <row r="8347" spans="27:27" ht="17.899999999999999" customHeight="1">
      <c r="AA8347"/>
    </row>
    <row r="8348" spans="27:27" ht="17.899999999999999" customHeight="1">
      <c r="AA8348"/>
    </row>
    <row r="8349" spans="27:27" ht="17.899999999999999" customHeight="1">
      <c r="AA8349"/>
    </row>
    <row r="8350" spans="27:27" ht="17.899999999999999" customHeight="1">
      <c r="AA8350"/>
    </row>
    <row r="8351" spans="27:27" ht="17.899999999999999" customHeight="1">
      <c r="AA8351"/>
    </row>
    <row r="8352" spans="27:27" ht="17.899999999999999" customHeight="1">
      <c r="AA8352"/>
    </row>
    <row r="8353" spans="27:27" ht="17.899999999999999" customHeight="1">
      <c r="AA8353"/>
    </row>
    <row r="8354" spans="27:27" ht="17.899999999999999" customHeight="1">
      <c r="AA8354"/>
    </row>
    <row r="8355" spans="27:27" ht="17.899999999999999" customHeight="1">
      <c r="AA8355"/>
    </row>
    <row r="8356" spans="27:27" ht="17.899999999999999" customHeight="1">
      <c r="AA8356"/>
    </row>
    <row r="8357" spans="27:27" ht="17.899999999999999" customHeight="1">
      <c r="AA8357"/>
    </row>
    <row r="8358" spans="27:27" ht="17.899999999999999" customHeight="1">
      <c r="AA8358"/>
    </row>
    <row r="8359" spans="27:27" ht="17.899999999999999" customHeight="1">
      <c r="AA8359"/>
    </row>
    <row r="8360" spans="27:27" ht="17.899999999999999" customHeight="1">
      <c r="AA8360"/>
    </row>
    <row r="8361" spans="27:27" ht="17.899999999999999" customHeight="1">
      <c r="AA8361"/>
    </row>
    <row r="8362" spans="27:27" ht="17.899999999999999" customHeight="1">
      <c r="AA8362"/>
    </row>
    <row r="8363" spans="27:27" ht="17.899999999999999" customHeight="1">
      <c r="AA8363"/>
    </row>
    <row r="8364" spans="27:27" ht="17.899999999999999" customHeight="1">
      <c r="AA8364"/>
    </row>
    <row r="8365" spans="27:27" ht="17.899999999999999" customHeight="1">
      <c r="AA8365"/>
    </row>
    <row r="8366" spans="27:27" ht="17.899999999999999" customHeight="1">
      <c r="AA8366"/>
    </row>
    <row r="8367" spans="27:27" ht="17.899999999999999" customHeight="1">
      <c r="AA8367"/>
    </row>
    <row r="8368" spans="27:27" ht="17.899999999999999" customHeight="1">
      <c r="AA8368"/>
    </row>
    <row r="8369" spans="27:27" ht="17.899999999999999" customHeight="1">
      <c r="AA8369"/>
    </row>
    <row r="8370" spans="27:27" ht="17.899999999999999" customHeight="1">
      <c r="AA8370"/>
    </row>
    <row r="8371" spans="27:27" ht="17.899999999999999" customHeight="1">
      <c r="AA8371"/>
    </row>
    <row r="8372" spans="27:27" ht="17.899999999999999" customHeight="1">
      <c r="AA8372"/>
    </row>
    <row r="8373" spans="27:27" ht="17.899999999999999" customHeight="1">
      <c r="AA8373"/>
    </row>
    <row r="8374" spans="27:27" ht="17.899999999999999" customHeight="1">
      <c r="AA8374"/>
    </row>
    <row r="8375" spans="27:27" ht="17.899999999999999" customHeight="1">
      <c r="AA8375"/>
    </row>
    <row r="8376" spans="27:27" ht="17.899999999999999" customHeight="1">
      <c r="AA8376"/>
    </row>
    <row r="8377" spans="27:27" ht="17.899999999999999" customHeight="1">
      <c r="AA8377"/>
    </row>
    <row r="8378" spans="27:27" ht="17.899999999999999" customHeight="1">
      <c r="AA8378"/>
    </row>
    <row r="8379" spans="27:27" ht="17.899999999999999" customHeight="1">
      <c r="AA8379"/>
    </row>
    <row r="8380" spans="27:27" ht="17.899999999999999" customHeight="1">
      <c r="AA8380"/>
    </row>
    <row r="8381" spans="27:27" ht="17.899999999999999" customHeight="1">
      <c r="AA8381"/>
    </row>
    <row r="8382" spans="27:27" ht="17.899999999999999" customHeight="1">
      <c r="AA8382"/>
    </row>
    <row r="8383" spans="27:27" ht="17.899999999999999" customHeight="1">
      <c r="AA8383"/>
    </row>
    <row r="8384" spans="27:27" ht="17.899999999999999" customHeight="1">
      <c r="AA8384"/>
    </row>
    <row r="8385" spans="27:27" ht="17.899999999999999" customHeight="1">
      <c r="AA8385"/>
    </row>
    <row r="8386" spans="27:27" ht="17.899999999999999" customHeight="1">
      <c r="AA8386"/>
    </row>
    <row r="8387" spans="27:27" ht="17.899999999999999" customHeight="1">
      <c r="AA8387"/>
    </row>
    <row r="8388" spans="27:27" ht="17.899999999999999" customHeight="1">
      <c r="AA8388"/>
    </row>
    <row r="8389" spans="27:27" ht="17.899999999999999" customHeight="1">
      <c r="AA8389"/>
    </row>
    <row r="8390" spans="27:27" ht="17.899999999999999" customHeight="1">
      <c r="AA8390"/>
    </row>
    <row r="8391" spans="27:27" ht="17.899999999999999" customHeight="1">
      <c r="AA8391"/>
    </row>
    <row r="8392" spans="27:27" ht="17.899999999999999" customHeight="1">
      <c r="AA8392"/>
    </row>
    <row r="8393" spans="27:27" ht="17.899999999999999" customHeight="1">
      <c r="AA8393"/>
    </row>
    <row r="8394" spans="27:27" ht="17.899999999999999" customHeight="1">
      <c r="AA8394"/>
    </row>
    <row r="8395" spans="27:27" ht="17.899999999999999" customHeight="1">
      <c r="AA8395"/>
    </row>
    <row r="8396" spans="27:27" ht="17.899999999999999" customHeight="1">
      <c r="AA8396"/>
    </row>
    <row r="8397" spans="27:27" ht="17.899999999999999" customHeight="1">
      <c r="AA8397"/>
    </row>
    <row r="8398" spans="27:27" ht="17.899999999999999" customHeight="1">
      <c r="AA8398"/>
    </row>
    <row r="8399" spans="27:27" ht="17.899999999999999" customHeight="1">
      <c r="AA8399"/>
    </row>
    <row r="8400" spans="27:27" ht="17.899999999999999" customHeight="1">
      <c r="AA8400"/>
    </row>
    <row r="8401" spans="27:27" ht="17.899999999999999" customHeight="1">
      <c r="AA8401"/>
    </row>
    <row r="8402" spans="27:27" ht="17.899999999999999" customHeight="1">
      <c r="AA8402"/>
    </row>
    <row r="8403" spans="27:27" ht="17.899999999999999" customHeight="1">
      <c r="AA8403"/>
    </row>
    <row r="8404" spans="27:27" ht="17.899999999999999" customHeight="1">
      <c r="AA8404"/>
    </row>
    <row r="8405" spans="27:27" ht="17.899999999999999" customHeight="1">
      <c r="AA8405"/>
    </row>
    <row r="8406" spans="27:27" ht="17.899999999999999" customHeight="1">
      <c r="AA8406"/>
    </row>
    <row r="8407" spans="27:27" ht="17.899999999999999" customHeight="1">
      <c r="AA8407"/>
    </row>
    <row r="8408" spans="27:27" ht="17.899999999999999" customHeight="1">
      <c r="AA8408"/>
    </row>
    <row r="8409" spans="27:27" ht="17.899999999999999" customHeight="1">
      <c r="AA8409"/>
    </row>
    <row r="8410" spans="27:27" ht="17.899999999999999" customHeight="1">
      <c r="AA8410"/>
    </row>
    <row r="8411" spans="27:27" ht="17.899999999999999" customHeight="1">
      <c r="AA8411"/>
    </row>
    <row r="8412" spans="27:27" ht="17.899999999999999" customHeight="1">
      <c r="AA8412"/>
    </row>
    <row r="8413" spans="27:27" ht="17.899999999999999" customHeight="1">
      <c r="AA8413"/>
    </row>
    <row r="8414" spans="27:27" ht="17.899999999999999" customHeight="1">
      <c r="AA8414"/>
    </row>
    <row r="8415" spans="27:27" ht="17.899999999999999" customHeight="1">
      <c r="AA8415"/>
    </row>
    <row r="8416" spans="27:27" ht="17.899999999999999" customHeight="1">
      <c r="AA8416"/>
    </row>
    <row r="8417" spans="27:27" ht="17.899999999999999" customHeight="1">
      <c r="AA8417"/>
    </row>
    <row r="8418" spans="27:27" ht="17.899999999999999" customHeight="1">
      <c r="AA8418"/>
    </row>
    <row r="8419" spans="27:27" ht="17.899999999999999" customHeight="1">
      <c r="AA8419"/>
    </row>
    <row r="8420" spans="27:27" ht="17.899999999999999" customHeight="1">
      <c r="AA8420"/>
    </row>
    <row r="8421" spans="27:27" ht="17.899999999999999" customHeight="1">
      <c r="AA8421"/>
    </row>
    <row r="8422" spans="27:27" ht="17.899999999999999" customHeight="1">
      <c r="AA8422"/>
    </row>
    <row r="8423" spans="27:27" ht="17.899999999999999" customHeight="1">
      <c r="AA8423"/>
    </row>
    <row r="8424" spans="27:27" ht="17.899999999999999" customHeight="1">
      <c r="AA8424"/>
    </row>
    <row r="8425" spans="27:27" ht="17.899999999999999" customHeight="1">
      <c r="AA8425"/>
    </row>
    <row r="8426" spans="27:27" ht="17.899999999999999" customHeight="1">
      <c r="AA8426"/>
    </row>
    <row r="8427" spans="27:27" ht="17.899999999999999" customHeight="1">
      <c r="AA8427"/>
    </row>
    <row r="8428" spans="27:27" ht="17.899999999999999" customHeight="1">
      <c r="AA8428"/>
    </row>
    <row r="8429" spans="27:27" ht="17.899999999999999" customHeight="1">
      <c r="AA8429"/>
    </row>
    <row r="8430" spans="27:27" ht="17.899999999999999" customHeight="1">
      <c r="AA8430"/>
    </row>
    <row r="8431" spans="27:27" ht="17.899999999999999" customHeight="1">
      <c r="AA8431"/>
    </row>
    <row r="8432" spans="27:27" ht="17.899999999999999" customHeight="1">
      <c r="AA8432"/>
    </row>
    <row r="8433" spans="27:27" ht="17.899999999999999" customHeight="1">
      <c r="AA8433"/>
    </row>
    <row r="8434" spans="27:27" ht="17.899999999999999" customHeight="1">
      <c r="AA8434"/>
    </row>
    <row r="8435" spans="27:27" ht="17.899999999999999" customHeight="1">
      <c r="AA8435"/>
    </row>
    <row r="8436" spans="27:27" ht="17.899999999999999" customHeight="1">
      <c r="AA8436"/>
    </row>
    <row r="8437" spans="27:27" ht="17.899999999999999" customHeight="1">
      <c r="AA8437"/>
    </row>
    <row r="8438" spans="27:27" ht="17.899999999999999" customHeight="1">
      <c r="AA8438"/>
    </row>
    <row r="8439" spans="27:27" ht="17.899999999999999" customHeight="1">
      <c r="AA8439"/>
    </row>
    <row r="8440" spans="27:27" ht="17.899999999999999" customHeight="1">
      <c r="AA8440"/>
    </row>
    <row r="8441" spans="27:27" ht="17.899999999999999" customHeight="1">
      <c r="AA8441"/>
    </row>
    <row r="8442" spans="27:27" ht="17.899999999999999" customHeight="1">
      <c r="AA8442"/>
    </row>
    <row r="8443" spans="27:27" ht="17.899999999999999" customHeight="1">
      <c r="AA8443"/>
    </row>
    <row r="8444" spans="27:27" ht="17.899999999999999" customHeight="1">
      <c r="AA8444"/>
    </row>
    <row r="8445" spans="27:27" ht="17.899999999999999" customHeight="1">
      <c r="AA8445"/>
    </row>
    <row r="8446" spans="27:27" ht="17.899999999999999" customHeight="1">
      <c r="AA8446"/>
    </row>
    <row r="8447" spans="27:27" ht="17.899999999999999" customHeight="1">
      <c r="AA8447"/>
    </row>
    <row r="8448" spans="27:27" ht="17.899999999999999" customHeight="1">
      <c r="AA8448"/>
    </row>
    <row r="8449" spans="27:27" ht="17.899999999999999" customHeight="1">
      <c r="AA8449"/>
    </row>
    <row r="8450" spans="27:27" ht="17.899999999999999" customHeight="1">
      <c r="AA8450"/>
    </row>
    <row r="8451" spans="27:27" ht="17.899999999999999" customHeight="1">
      <c r="AA8451"/>
    </row>
    <row r="8452" spans="27:27" ht="17.899999999999999" customHeight="1">
      <c r="AA8452"/>
    </row>
    <row r="8453" spans="27:27" ht="17.899999999999999" customHeight="1">
      <c r="AA8453"/>
    </row>
    <row r="8454" spans="27:27" ht="17.899999999999999" customHeight="1">
      <c r="AA8454"/>
    </row>
    <row r="8455" spans="27:27" ht="17.899999999999999" customHeight="1">
      <c r="AA8455"/>
    </row>
    <row r="8456" spans="27:27" ht="17.899999999999999" customHeight="1">
      <c r="AA8456"/>
    </row>
    <row r="8457" spans="27:27" ht="17.899999999999999" customHeight="1">
      <c r="AA8457"/>
    </row>
    <row r="8458" spans="27:27" ht="17.899999999999999" customHeight="1">
      <c r="AA8458"/>
    </row>
    <row r="8459" spans="27:27" ht="17.899999999999999" customHeight="1">
      <c r="AA8459"/>
    </row>
    <row r="8460" spans="27:27" ht="17.899999999999999" customHeight="1">
      <c r="AA8460"/>
    </row>
    <row r="8461" spans="27:27" ht="17.899999999999999" customHeight="1">
      <c r="AA8461"/>
    </row>
    <row r="8462" spans="27:27" ht="17.899999999999999" customHeight="1">
      <c r="AA8462"/>
    </row>
    <row r="8463" spans="27:27" ht="17.899999999999999" customHeight="1">
      <c r="AA8463"/>
    </row>
    <row r="8464" spans="27:27" ht="17.899999999999999" customHeight="1">
      <c r="AA8464"/>
    </row>
    <row r="8465" spans="27:27" ht="17.899999999999999" customHeight="1">
      <c r="AA8465"/>
    </row>
    <row r="8466" spans="27:27" ht="17.899999999999999" customHeight="1">
      <c r="AA8466"/>
    </row>
    <row r="8467" spans="27:27" ht="17.899999999999999" customHeight="1">
      <c r="AA8467"/>
    </row>
    <row r="8468" spans="27:27" ht="17.899999999999999" customHeight="1">
      <c r="AA8468"/>
    </row>
    <row r="8469" spans="27:27" ht="17.899999999999999" customHeight="1">
      <c r="AA8469"/>
    </row>
    <row r="8470" spans="27:27" ht="17.899999999999999" customHeight="1">
      <c r="AA8470"/>
    </row>
    <row r="8471" spans="27:27" ht="17.899999999999999" customHeight="1">
      <c r="AA8471"/>
    </row>
    <row r="8472" spans="27:27" ht="17.899999999999999" customHeight="1">
      <c r="AA8472"/>
    </row>
    <row r="8473" spans="27:27" ht="17.899999999999999" customHeight="1">
      <c r="AA8473"/>
    </row>
    <row r="8474" spans="27:27" ht="17.899999999999999" customHeight="1">
      <c r="AA8474"/>
    </row>
    <row r="8475" spans="27:27" ht="17.899999999999999" customHeight="1">
      <c r="AA8475"/>
    </row>
    <row r="8476" spans="27:27" ht="17.899999999999999" customHeight="1">
      <c r="AA8476"/>
    </row>
    <row r="8477" spans="27:27" ht="17.899999999999999" customHeight="1">
      <c r="AA8477"/>
    </row>
    <row r="8478" spans="27:27" ht="17.899999999999999" customHeight="1">
      <c r="AA8478"/>
    </row>
    <row r="8479" spans="27:27" ht="17.899999999999999" customHeight="1">
      <c r="AA8479"/>
    </row>
    <row r="8480" spans="27:27" ht="17.899999999999999" customHeight="1">
      <c r="AA8480"/>
    </row>
    <row r="8481" spans="27:27" ht="17.899999999999999" customHeight="1">
      <c r="AA8481"/>
    </row>
    <row r="8482" spans="27:27" ht="17.899999999999999" customHeight="1">
      <c r="AA8482"/>
    </row>
    <row r="8483" spans="27:27" ht="17.899999999999999" customHeight="1">
      <c r="AA8483"/>
    </row>
    <row r="8484" spans="27:27" ht="17.899999999999999" customHeight="1">
      <c r="AA8484"/>
    </row>
    <row r="8485" spans="27:27" ht="17.899999999999999" customHeight="1">
      <c r="AA8485"/>
    </row>
    <row r="8486" spans="27:27" ht="17.899999999999999" customHeight="1">
      <c r="AA8486"/>
    </row>
    <row r="8487" spans="27:27" ht="17.899999999999999" customHeight="1">
      <c r="AA8487"/>
    </row>
    <row r="8488" spans="27:27" ht="17.899999999999999" customHeight="1">
      <c r="AA8488"/>
    </row>
    <row r="8489" spans="27:27" ht="17.899999999999999" customHeight="1">
      <c r="AA8489"/>
    </row>
    <row r="8490" spans="27:27" ht="17.899999999999999" customHeight="1">
      <c r="AA8490"/>
    </row>
    <row r="8491" spans="27:27" ht="17.899999999999999" customHeight="1">
      <c r="AA8491"/>
    </row>
    <row r="8492" spans="27:27" ht="17.899999999999999" customHeight="1">
      <c r="AA8492"/>
    </row>
    <row r="8493" spans="27:27" ht="17.899999999999999" customHeight="1">
      <c r="AA8493"/>
    </row>
    <row r="8494" spans="27:27" ht="17.899999999999999" customHeight="1">
      <c r="AA8494"/>
    </row>
    <row r="8495" spans="27:27" ht="17.899999999999999" customHeight="1">
      <c r="AA8495"/>
    </row>
    <row r="8496" spans="27:27" ht="17.899999999999999" customHeight="1">
      <c r="AA8496"/>
    </row>
    <row r="8497" spans="27:27" ht="17.899999999999999" customHeight="1">
      <c r="AA8497"/>
    </row>
    <row r="8498" spans="27:27" ht="17.899999999999999" customHeight="1">
      <c r="AA8498"/>
    </row>
    <row r="8499" spans="27:27" ht="17.899999999999999" customHeight="1">
      <c r="AA8499"/>
    </row>
    <row r="8500" spans="27:27" ht="17.899999999999999" customHeight="1">
      <c r="AA8500"/>
    </row>
    <row r="8501" spans="27:27" ht="17.899999999999999" customHeight="1">
      <c r="AA8501"/>
    </row>
    <row r="8502" spans="27:27" ht="17.899999999999999" customHeight="1">
      <c r="AA8502"/>
    </row>
    <row r="8503" spans="27:27" ht="17.899999999999999" customHeight="1">
      <c r="AA8503"/>
    </row>
    <row r="8504" spans="27:27" ht="17.899999999999999" customHeight="1">
      <c r="AA8504"/>
    </row>
    <row r="8505" spans="27:27" ht="17.899999999999999" customHeight="1">
      <c r="AA8505"/>
    </row>
    <row r="8506" spans="27:27" ht="17.899999999999999" customHeight="1">
      <c r="AA8506"/>
    </row>
    <row r="8507" spans="27:27" ht="17.899999999999999" customHeight="1">
      <c r="AA8507"/>
    </row>
    <row r="8508" spans="27:27" ht="17.899999999999999" customHeight="1">
      <c r="AA8508"/>
    </row>
    <row r="8509" spans="27:27" ht="17.899999999999999" customHeight="1">
      <c r="AA8509"/>
    </row>
    <row r="8510" spans="27:27" ht="17.899999999999999" customHeight="1">
      <c r="AA8510"/>
    </row>
    <row r="8511" spans="27:27" ht="17.899999999999999" customHeight="1">
      <c r="AA8511"/>
    </row>
    <row r="8512" spans="27:27" ht="17.899999999999999" customHeight="1">
      <c r="AA8512"/>
    </row>
    <row r="8513" spans="27:27" ht="17.899999999999999" customHeight="1">
      <c r="AA8513"/>
    </row>
    <row r="8514" spans="27:27" ht="17.899999999999999" customHeight="1">
      <c r="AA8514"/>
    </row>
    <row r="8515" spans="27:27" ht="17.899999999999999" customHeight="1">
      <c r="AA8515"/>
    </row>
    <row r="8516" spans="27:27" ht="17.899999999999999" customHeight="1">
      <c r="AA8516"/>
    </row>
    <row r="8517" spans="27:27" ht="17.899999999999999" customHeight="1">
      <c r="AA8517"/>
    </row>
    <row r="8518" spans="27:27" ht="17.899999999999999" customHeight="1">
      <c r="AA8518"/>
    </row>
    <row r="8519" spans="27:27" ht="17.899999999999999" customHeight="1">
      <c r="AA8519"/>
    </row>
    <row r="8520" spans="27:27" ht="17.899999999999999" customHeight="1">
      <c r="AA8520"/>
    </row>
    <row r="8521" spans="27:27" ht="17.899999999999999" customHeight="1">
      <c r="AA8521"/>
    </row>
    <row r="8522" spans="27:27" ht="17.899999999999999" customHeight="1">
      <c r="AA8522"/>
    </row>
    <row r="8523" spans="27:27" ht="17.899999999999999" customHeight="1">
      <c r="AA8523"/>
    </row>
    <row r="8524" spans="27:27" ht="17.899999999999999" customHeight="1">
      <c r="AA8524"/>
    </row>
    <row r="8525" spans="27:27" ht="17.899999999999999" customHeight="1">
      <c r="AA8525"/>
    </row>
    <row r="8526" spans="27:27" ht="17.899999999999999" customHeight="1">
      <c r="AA8526"/>
    </row>
    <row r="8527" spans="27:27" ht="17.899999999999999" customHeight="1">
      <c r="AA8527"/>
    </row>
    <row r="8528" spans="27:27" ht="17.899999999999999" customHeight="1">
      <c r="AA8528"/>
    </row>
    <row r="8529" spans="27:27" ht="17.899999999999999" customHeight="1">
      <c r="AA8529"/>
    </row>
    <row r="8530" spans="27:27" ht="17.899999999999999" customHeight="1">
      <c r="AA8530"/>
    </row>
    <row r="8531" spans="27:27" ht="17.899999999999999" customHeight="1">
      <c r="AA8531"/>
    </row>
    <row r="8532" spans="27:27" ht="17.899999999999999" customHeight="1">
      <c r="AA8532"/>
    </row>
    <row r="8533" spans="27:27" ht="17.899999999999999" customHeight="1">
      <c r="AA8533"/>
    </row>
    <row r="8534" spans="27:27" ht="17.899999999999999" customHeight="1">
      <c r="AA8534"/>
    </row>
    <row r="8535" spans="27:27" ht="17.899999999999999" customHeight="1">
      <c r="AA8535"/>
    </row>
    <row r="8536" spans="27:27" ht="17.899999999999999" customHeight="1">
      <c r="AA8536"/>
    </row>
    <row r="8537" spans="27:27" ht="17.899999999999999" customHeight="1">
      <c r="AA8537"/>
    </row>
    <row r="8538" spans="27:27" ht="17.899999999999999" customHeight="1">
      <c r="AA8538"/>
    </row>
    <row r="8539" spans="27:27" ht="17.899999999999999" customHeight="1">
      <c r="AA8539"/>
    </row>
    <row r="8540" spans="27:27" ht="17.899999999999999" customHeight="1">
      <c r="AA8540"/>
    </row>
    <row r="8541" spans="27:27" ht="17.899999999999999" customHeight="1">
      <c r="AA8541"/>
    </row>
    <row r="8542" spans="27:27" ht="17.899999999999999" customHeight="1">
      <c r="AA8542"/>
    </row>
    <row r="8543" spans="27:27" ht="17.899999999999999" customHeight="1">
      <c r="AA8543"/>
    </row>
    <row r="8544" spans="27:27" ht="17.899999999999999" customHeight="1">
      <c r="AA8544"/>
    </row>
    <row r="8545" spans="27:27" ht="17.899999999999999" customHeight="1">
      <c r="AA8545"/>
    </row>
    <row r="8546" spans="27:27" ht="17.899999999999999" customHeight="1">
      <c r="AA8546"/>
    </row>
    <row r="8547" spans="27:27" ht="17.899999999999999" customHeight="1">
      <c r="AA8547"/>
    </row>
    <row r="8548" spans="27:27" ht="17.899999999999999" customHeight="1">
      <c r="AA8548"/>
    </row>
    <row r="8549" spans="27:27" ht="17.899999999999999" customHeight="1">
      <c r="AA8549"/>
    </row>
    <row r="8550" spans="27:27" ht="17.899999999999999" customHeight="1">
      <c r="AA8550"/>
    </row>
    <row r="8551" spans="27:27" ht="17.899999999999999" customHeight="1">
      <c r="AA8551"/>
    </row>
    <row r="8552" spans="27:27" ht="17.899999999999999" customHeight="1">
      <c r="AA8552"/>
    </row>
    <row r="8553" spans="27:27" ht="17.899999999999999" customHeight="1">
      <c r="AA8553"/>
    </row>
    <row r="8554" spans="27:27" ht="17.899999999999999" customHeight="1">
      <c r="AA8554"/>
    </row>
    <row r="8555" spans="27:27" ht="17.899999999999999" customHeight="1">
      <c r="AA8555"/>
    </row>
    <row r="8556" spans="27:27" ht="17.899999999999999" customHeight="1">
      <c r="AA8556"/>
    </row>
    <row r="8557" spans="27:27" ht="17.899999999999999" customHeight="1">
      <c r="AA8557"/>
    </row>
    <row r="8558" spans="27:27" ht="17.899999999999999" customHeight="1">
      <c r="AA8558"/>
    </row>
    <row r="8559" spans="27:27" ht="17.899999999999999" customHeight="1">
      <c r="AA8559"/>
    </row>
    <row r="8560" spans="27:27" ht="17.899999999999999" customHeight="1">
      <c r="AA8560"/>
    </row>
    <row r="8561" spans="27:27" ht="17.899999999999999" customHeight="1">
      <c r="AA8561"/>
    </row>
    <row r="8562" spans="27:27" ht="17.899999999999999" customHeight="1">
      <c r="AA8562"/>
    </row>
    <row r="8563" spans="27:27" ht="17.899999999999999" customHeight="1">
      <c r="AA8563"/>
    </row>
    <row r="8564" spans="27:27" ht="17.899999999999999" customHeight="1">
      <c r="AA8564"/>
    </row>
    <row r="8565" spans="27:27" ht="17.899999999999999" customHeight="1">
      <c r="AA8565"/>
    </row>
    <row r="8566" spans="27:27" ht="17.899999999999999" customHeight="1">
      <c r="AA8566"/>
    </row>
    <row r="8567" spans="27:27" ht="17.899999999999999" customHeight="1">
      <c r="AA8567"/>
    </row>
    <row r="8568" spans="27:27" ht="17.899999999999999" customHeight="1">
      <c r="AA8568"/>
    </row>
    <row r="8569" spans="27:27" ht="17.899999999999999" customHeight="1">
      <c r="AA8569"/>
    </row>
    <row r="8570" spans="27:27" ht="17.899999999999999" customHeight="1">
      <c r="AA8570"/>
    </row>
    <row r="8571" spans="27:27" ht="17.899999999999999" customHeight="1">
      <c r="AA8571"/>
    </row>
    <row r="8572" spans="27:27" ht="17.899999999999999" customHeight="1">
      <c r="AA8572"/>
    </row>
    <row r="8573" spans="27:27" ht="17.899999999999999" customHeight="1">
      <c r="AA8573"/>
    </row>
    <row r="8574" spans="27:27" ht="17.899999999999999" customHeight="1">
      <c r="AA8574"/>
    </row>
    <row r="8575" spans="27:27" ht="17.899999999999999" customHeight="1">
      <c r="AA8575"/>
    </row>
    <row r="8576" spans="27:27" ht="17.899999999999999" customHeight="1">
      <c r="AA8576"/>
    </row>
    <row r="8577" spans="27:27" ht="17.899999999999999" customHeight="1">
      <c r="AA8577"/>
    </row>
    <row r="8578" spans="27:27" ht="17.899999999999999" customHeight="1">
      <c r="AA8578"/>
    </row>
    <row r="8579" spans="27:27" ht="17.899999999999999" customHeight="1">
      <c r="AA8579"/>
    </row>
    <row r="8580" spans="27:27" ht="17.899999999999999" customHeight="1">
      <c r="AA8580"/>
    </row>
    <row r="8581" spans="27:27" ht="17.899999999999999" customHeight="1">
      <c r="AA8581"/>
    </row>
    <row r="8582" spans="27:27" ht="17.899999999999999" customHeight="1">
      <c r="AA8582"/>
    </row>
    <row r="8583" spans="27:27" ht="17.899999999999999" customHeight="1">
      <c r="AA8583"/>
    </row>
    <row r="8584" spans="27:27" ht="17.899999999999999" customHeight="1">
      <c r="AA8584"/>
    </row>
    <row r="8585" spans="27:27" ht="17.899999999999999" customHeight="1">
      <c r="AA8585"/>
    </row>
    <row r="8586" spans="27:27" ht="17.899999999999999" customHeight="1">
      <c r="AA8586"/>
    </row>
    <row r="8587" spans="27:27" ht="17.899999999999999" customHeight="1">
      <c r="AA8587"/>
    </row>
    <row r="8588" spans="27:27" ht="17.899999999999999" customHeight="1">
      <c r="AA8588"/>
    </row>
    <row r="8589" spans="27:27" ht="17.899999999999999" customHeight="1">
      <c r="AA8589"/>
    </row>
    <row r="8590" spans="27:27" ht="17.899999999999999" customHeight="1">
      <c r="AA8590"/>
    </row>
    <row r="8591" spans="27:27" ht="17.899999999999999" customHeight="1">
      <c r="AA8591"/>
    </row>
    <row r="8592" spans="27:27" ht="17.899999999999999" customHeight="1">
      <c r="AA8592"/>
    </row>
    <row r="8593" spans="27:27" ht="17.899999999999999" customHeight="1">
      <c r="AA8593"/>
    </row>
    <row r="8594" spans="27:27" ht="17.899999999999999" customHeight="1">
      <c r="AA8594"/>
    </row>
    <row r="8595" spans="27:27" ht="17.899999999999999" customHeight="1">
      <c r="AA8595"/>
    </row>
    <row r="8596" spans="27:27" ht="17.899999999999999" customHeight="1">
      <c r="AA8596"/>
    </row>
    <row r="8597" spans="27:27" ht="17.899999999999999" customHeight="1">
      <c r="AA8597"/>
    </row>
    <row r="8598" spans="27:27" ht="17.899999999999999" customHeight="1">
      <c r="AA8598"/>
    </row>
    <row r="8599" spans="27:27" ht="17.899999999999999" customHeight="1">
      <c r="AA8599"/>
    </row>
    <row r="8600" spans="27:27" ht="17.899999999999999" customHeight="1">
      <c r="AA8600"/>
    </row>
    <row r="8601" spans="27:27" ht="17.899999999999999" customHeight="1">
      <c r="AA8601"/>
    </row>
    <row r="8602" spans="27:27" ht="17.899999999999999" customHeight="1">
      <c r="AA8602"/>
    </row>
    <row r="8603" spans="27:27" ht="17.899999999999999" customHeight="1">
      <c r="AA8603"/>
    </row>
    <row r="8604" spans="27:27" ht="17.899999999999999" customHeight="1">
      <c r="AA8604"/>
    </row>
    <row r="8605" spans="27:27" ht="17.899999999999999" customHeight="1">
      <c r="AA8605"/>
    </row>
    <row r="8606" spans="27:27" ht="17.899999999999999" customHeight="1">
      <c r="AA8606"/>
    </row>
    <row r="8607" spans="27:27" ht="17.899999999999999" customHeight="1">
      <c r="AA8607"/>
    </row>
    <row r="8608" spans="27:27" ht="17.899999999999999" customHeight="1">
      <c r="AA8608"/>
    </row>
    <row r="8609" spans="27:27" ht="17.899999999999999" customHeight="1">
      <c r="AA8609"/>
    </row>
    <row r="8610" spans="27:27" ht="17.899999999999999" customHeight="1">
      <c r="AA8610"/>
    </row>
    <row r="8611" spans="27:27" ht="17.899999999999999" customHeight="1">
      <c r="AA8611"/>
    </row>
    <row r="8612" spans="27:27" ht="17.899999999999999" customHeight="1">
      <c r="AA8612"/>
    </row>
    <row r="8613" spans="27:27" ht="17.899999999999999" customHeight="1">
      <c r="AA8613"/>
    </row>
    <row r="8614" spans="27:27" ht="17.899999999999999" customHeight="1">
      <c r="AA8614"/>
    </row>
    <row r="8615" spans="27:27" ht="17.899999999999999" customHeight="1">
      <c r="AA8615"/>
    </row>
    <row r="8616" spans="27:27" ht="17.899999999999999" customHeight="1">
      <c r="AA8616"/>
    </row>
    <row r="8617" spans="27:27" ht="17.899999999999999" customHeight="1">
      <c r="AA8617"/>
    </row>
    <row r="8618" spans="27:27" ht="17.899999999999999" customHeight="1">
      <c r="AA8618"/>
    </row>
    <row r="8619" spans="27:27" ht="17.899999999999999" customHeight="1">
      <c r="AA8619"/>
    </row>
    <row r="8620" spans="27:27" ht="17.899999999999999" customHeight="1">
      <c r="AA8620"/>
    </row>
    <row r="8621" spans="27:27" ht="17.899999999999999" customHeight="1">
      <c r="AA8621"/>
    </row>
    <row r="8622" spans="27:27" ht="17.899999999999999" customHeight="1">
      <c r="AA8622"/>
    </row>
    <row r="8623" spans="27:27" ht="17.899999999999999" customHeight="1">
      <c r="AA8623"/>
    </row>
    <row r="8624" spans="27:27" ht="17.899999999999999" customHeight="1">
      <c r="AA8624"/>
    </row>
    <row r="8625" spans="27:27" ht="17.899999999999999" customHeight="1">
      <c r="AA8625"/>
    </row>
    <row r="8626" spans="27:27" ht="17.899999999999999" customHeight="1">
      <c r="AA8626"/>
    </row>
    <row r="8627" spans="27:27" ht="17.899999999999999" customHeight="1">
      <c r="AA8627"/>
    </row>
    <row r="8628" spans="27:27" ht="17.899999999999999" customHeight="1">
      <c r="AA8628"/>
    </row>
    <row r="8629" spans="27:27" ht="17.899999999999999" customHeight="1">
      <c r="AA8629"/>
    </row>
    <row r="8630" spans="27:27" ht="17.899999999999999" customHeight="1">
      <c r="AA8630"/>
    </row>
    <row r="8631" spans="27:27" ht="17.899999999999999" customHeight="1">
      <c r="AA8631"/>
    </row>
    <row r="8632" spans="27:27" ht="17.899999999999999" customHeight="1">
      <c r="AA8632"/>
    </row>
    <row r="8633" spans="27:27" ht="17.899999999999999" customHeight="1">
      <c r="AA8633"/>
    </row>
    <row r="8634" spans="27:27" ht="17.899999999999999" customHeight="1">
      <c r="AA8634"/>
    </row>
    <row r="8635" spans="27:27" ht="17.899999999999999" customHeight="1">
      <c r="AA8635"/>
    </row>
    <row r="8636" spans="27:27" ht="17.899999999999999" customHeight="1">
      <c r="AA8636"/>
    </row>
    <row r="8637" spans="27:27" ht="17.899999999999999" customHeight="1">
      <c r="AA8637"/>
    </row>
    <row r="8638" spans="27:27" ht="17.899999999999999" customHeight="1">
      <c r="AA8638"/>
    </row>
    <row r="8639" spans="27:27" ht="17.899999999999999" customHeight="1">
      <c r="AA8639"/>
    </row>
    <row r="8640" spans="27:27" ht="17.899999999999999" customHeight="1">
      <c r="AA8640"/>
    </row>
    <row r="8641" spans="27:27" ht="17.899999999999999" customHeight="1">
      <c r="AA8641"/>
    </row>
    <row r="8642" spans="27:27" ht="17.899999999999999" customHeight="1">
      <c r="AA8642"/>
    </row>
    <row r="8643" spans="27:27" ht="17.899999999999999" customHeight="1">
      <c r="AA8643"/>
    </row>
    <row r="8644" spans="27:27" ht="17.899999999999999" customHeight="1">
      <c r="AA8644"/>
    </row>
    <row r="8645" spans="27:27" ht="17.899999999999999" customHeight="1">
      <c r="AA8645"/>
    </row>
    <row r="8646" spans="27:27" ht="17.899999999999999" customHeight="1">
      <c r="AA8646"/>
    </row>
    <row r="8647" spans="27:27" ht="17.899999999999999" customHeight="1">
      <c r="AA8647"/>
    </row>
    <row r="8648" spans="27:27" ht="17.899999999999999" customHeight="1">
      <c r="AA8648"/>
    </row>
    <row r="8649" spans="27:27" ht="17.899999999999999" customHeight="1">
      <c r="AA8649"/>
    </row>
    <row r="8650" spans="27:27" ht="17.899999999999999" customHeight="1">
      <c r="AA8650"/>
    </row>
    <row r="8651" spans="27:27" ht="17.899999999999999" customHeight="1">
      <c r="AA8651"/>
    </row>
    <row r="8652" spans="27:27" ht="17.899999999999999" customHeight="1">
      <c r="AA8652"/>
    </row>
    <row r="8653" spans="27:27" ht="17.899999999999999" customHeight="1">
      <c r="AA8653"/>
    </row>
    <row r="8654" spans="27:27" ht="17.899999999999999" customHeight="1">
      <c r="AA8654"/>
    </row>
    <row r="8655" spans="27:27" ht="17.899999999999999" customHeight="1">
      <c r="AA8655"/>
    </row>
    <row r="8656" spans="27:27" ht="17.899999999999999" customHeight="1">
      <c r="AA8656"/>
    </row>
    <row r="8657" spans="27:27" ht="17.899999999999999" customHeight="1">
      <c r="AA8657"/>
    </row>
    <row r="8658" spans="27:27" ht="17.899999999999999" customHeight="1">
      <c r="AA8658"/>
    </row>
    <row r="8659" spans="27:27" ht="17.899999999999999" customHeight="1">
      <c r="AA8659"/>
    </row>
    <row r="8660" spans="27:27" ht="17.899999999999999" customHeight="1">
      <c r="AA8660"/>
    </row>
    <row r="8661" spans="27:27" ht="17.899999999999999" customHeight="1">
      <c r="AA8661"/>
    </row>
    <row r="8662" spans="27:27" ht="17.899999999999999" customHeight="1">
      <c r="AA8662"/>
    </row>
    <row r="8663" spans="27:27" ht="17.899999999999999" customHeight="1">
      <c r="AA8663"/>
    </row>
    <row r="8664" spans="27:27" ht="17.899999999999999" customHeight="1">
      <c r="AA8664"/>
    </row>
    <row r="8665" spans="27:27" ht="17.899999999999999" customHeight="1">
      <c r="AA8665"/>
    </row>
    <row r="8666" spans="27:27" ht="17.899999999999999" customHeight="1">
      <c r="AA8666"/>
    </row>
    <row r="8667" spans="27:27" ht="17.899999999999999" customHeight="1">
      <c r="AA8667"/>
    </row>
    <row r="8668" spans="27:27" ht="17.899999999999999" customHeight="1">
      <c r="AA8668"/>
    </row>
    <row r="8669" spans="27:27" ht="17.899999999999999" customHeight="1">
      <c r="AA8669"/>
    </row>
    <row r="8670" spans="27:27" ht="17.899999999999999" customHeight="1">
      <c r="AA8670"/>
    </row>
    <row r="8671" spans="27:27" ht="17.899999999999999" customHeight="1">
      <c r="AA8671"/>
    </row>
    <row r="8672" spans="27:27" ht="17.899999999999999" customHeight="1">
      <c r="AA8672"/>
    </row>
    <row r="8673" spans="27:27" ht="17.899999999999999" customHeight="1">
      <c r="AA8673"/>
    </row>
    <row r="8674" spans="27:27" ht="17.899999999999999" customHeight="1">
      <c r="AA8674"/>
    </row>
    <row r="8675" spans="27:27" ht="17.899999999999999" customHeight="1">
      <c r="AA8675"/>
    </row>
    <row r="8676" spans="27:27" ht="17.899999999999999" customHeight="1">
      <c r="AA8676"/>
    </row>
    <row r="8677" spans="27:27" ht="17.899999999999999" customHeight="1">
      <c r="AA8677"/>
    </row>
    <row r="8678" spans="27:27" ht="17.899999999999999" customHeight="1">
      <c r="AA8678"/>
    </row>
    <row r="8679" spans="27:27" ht="17.899999999999999" customHeight="1">
      <c r="AA8679"/>
    </row>
    <row r="8680" spans="27:27" ht="17.899999999999999" customHeight="1">
      <c r="AA8680"/>
    </row>
    <row r="8681" spans="27:27" ht="17.899999999999999" customHeight="1">
      <c r="AA8681"/>
    </row>
    <row r="8682" spans="27:27" ht="17.899999999999999" customHeight="1">
      <c r="AA8682"/>
    </row>
    <row r="8683" spans="27:27" ht="17.899999999999999" customHeight="1">
      <c r="AA8683"/>
    </row>
    <row r="8684" spans="27:27" ht="17.899999999999999" customHeight="1">
      <c r="AA8684"/>
    </row>
    <row r="8685" spans="27:27" ht="17.899999999999999" customHeight="1">
      <c r="AA8685"/>
    </row>
    <row r="8686" spans="27:27" ht="17.899999999999999" customHeight="1">
      <c r="AA8686"/>
    </row>
    <row r="8687" spans="27:27" ht="17.899999999999999" customHeight="1">
      <c r="AA8687"/>
    </row>
    <row r="8688" spans="27:27" ht="17.899999999999999" customHeight="1">
      <c r="AA8688"/>
    </row>
    <row r="8689" spans="27:27" ht="17.899999999999999" customHeight="1">
      <c r="AA8689"/>
    </row>
    <row r="8690" spans="27:27" ht="17.899999999999999" customHeight="1">
      <c r="AA8690"/>
    </row>
    <row r="8691" spans="27:27" ht="17.899999999999999" customHeight="1">
      <c r="AA8691"/>
    </row>
    <row r="8692" spans="27:27" ht="17.899999999999999" customHeight="1">
      <c r="AA8692"/>
    </row>
    <row r="8693" spans="27:27" ht="17.899999999999999" customHeight="1">
      <c r="AA8693"/>
    </row>
    <row r="8694" spans="27:27" ht="17.899999999999999" customHeight="1">
      <c r="AA8694"/>
    </row>
    <row r="8695" spans="27:27" ht="17.899999999999999" customHeight="1">
      <c r="AA8695"/>
    </row>
    <row r="8696" spans="27:27" ht="17.899999999999999" customHeight="1">
      <c r="AA8696"/>
    </row>
    <row r="8697" spans="27:27" ht="17.899999999999999" customHeight="1">
      <c r="AA8697"/>
    </row>
    <row r="8698" spans="27:27" ht="17.899999999999999" customHeight="1">
      <c r="AA8698"/>
    </row>
    <row r="8699" spans="27:27" ht="17.899999999999999" customHeight="1">
      <c r="AA8699"/>
    </row>
    <row r="8700" spans="27:27" ht="17.899999999999999" customHeight="1">
      <c r="AA8700"/>
    </row>
    <row r="8701" spans="27:27" ht="17.899999999999999" customHeight="1">
      <c r="AA8701"/>
    </row>
    <row r="8702" spans="27:27" ht="17.899999999999999" customHeight="1">
      <c r="AA8702"/>
    </row>
    <row r="8703" spans="27:27" ht="17.899999999999999" customHeight="1">
      <c r="AA8703"/>
    </row>
    <row r="8704" spans="27:27" ht="17.899999999999999" customHeight="1">
      <c r="AA8704"/>
    </row>
    <row r="8705" spans="27:27" ht="17.899999999999999" customHeight="1">
      <c r="AA8705"/>
    </row>
    <row r="8706" spans="27:27" ht="17.899999999999999" customHeight="1">
      <c r="AA8706"/>
    </row>
    <row r="8707" spans="27:27" ht="17.899999999999999" customHeight="1">
      <c r="AA8707"/>
    </row>
    <row r="8708" spans="27:27" ht="17.899999999999999" customHeight="1">
      <c r="AA8708"/>
    </row>
    <row r="8709" spans="27:27" ht="17.899999999999999" customHeight="1">
      <c r="AA8709"/>
    </row>
    <row r="8710" spans="27:27" ht="17.899999999999999" customHeight="1">
      <c r="AA8710"/>
    </row>
    <row r="8711" spans="27:27" ht="17.899999999999999" customHeight="1">
      <c r="AA8711"/>
    </row>
    <row r="8712" spans="27:27" ht="17.899999999999999" customHeight="1">
      <c r="AA8712"/>
    </row>
    <row r="8713" spans="27:27" ht="17.899999999999999" customHeight="1">
      <c r="AA8713"/>
    </row>
    <row r="8714" spans="27:27" ht="17.899999999999999" customHeight="1">
      <c r="AA8714"/>
    </row>
    <row r="8715" spans="27:27" ht="17.899999999999999" customHeight="1">
      <c r="AA8715"/>
    </row>
    <row r="8716" spans="27:27" ht="17.899999999999999" customHeight="1">
      <c r="AA8716"/>
    </row>
    <row r="8717" spans="27:27" ht="17.899999999999999" customHeight="1">
      <c r="AA8717"/>
    </row>
    <row r="8718" spans="27:27" ht="17.899999999999999" customHeight="1">
      <c r="AA8718"/>
    </row>
    <row r="8719" spans="27:27" ht="17.899999999999999" customHeight="1">
      <c r="AA8719"/>
    </row>
    <row r="8720" spans="27:27" ht="17.899999999999999" customHeight="1">
      <c r="AA8720"/>
    </row>
    <row r="8721" spans="27:27" ht="17.899999999999999" customHeight="1">
      <c r="AA8721"/>
    </row>
    <row r="8722" spans="27:27" ht="17.899999999999999" customHeight="1">
      <c r="AA8722"/>
    </row>
    <row r="8723" spans="27:27" ht="17.899999999999999" customHeight="1">
      <c r="AA8723"/>
    </row>
    <row r="8724" spans="27:27" ht="17.899999999999999" customHeight="1">
      <c r="AA8724"/>
    </row>
    <row r="8725" spans="27:27" ht="17.899999999999999" customHeight="1">
      <c r="AA8725"/>
    </row>
    <row r="8726" spans="27:27" ht="17.899999999999999" customHeight="1">
      <c r="AA8726"/>
    </row>
    <row r="8727" spans="27:27" ht="17.899999999999999" customHeight="1">
      <c r="AA8727"/>
    </row>
    <row r="8728" spans="27:27" ht="17.899999999999999" customHeight="1">
      <c r="AA8728"/>
    </row>
    <row r="8729" spans="27:27" ht="17.899999999999999" customHeight="1">
      <c r="AA8729"/>
    </row>
    <row r="8730" spans="27:27" ht="17.899999999999999" customHeight="1">
      <c r="AA8730"/>
    </row>
    <row r="8731" spans="27:27" ht="17.899999999999999" customHeight="1">
      <c r="AA8731"/>
    </row>
    <row r="8732" spans="27:27" ht="17.899999999999999" customHeight="1">
      <c r="AA8732"/>
    </row>
    <row r="8733" spans="27:27" ht="17.899999999999999" customHeight="1">
      <c r="AA8733"/>
    </row>
    <row r="8734" spans="27:27" ht="17.899999999999999" customHeight="1">
      <c r="AA8734"/>
    </row>
    <row r="8735" spans="27:27" ht="17.899999999999999" customHeight="1">
      <c r="AA8735"/>
    </row>
    <row r="8736" spans="27:27" ht="17.899999999999999" customHeight="1">
      <c r="AA8736"/>
    </row>
    <row r="8737" spans="27:27" ht="17.899999999999999" customHeight="1">
      <c r="AA8737"/>
    </row>
    <row r="8738" spans="27:27" ht="17.899999999999999" customHeight="1">
      <c r="AA8738"/>
    </row>
    <row r="8739" spans="27:27" ht="17.899999999999999" customHeight="1">
      <c r="AA8739"/>
    </row>
    <row r="8740" spans="27:27" ht="17.899999999999999" customHeight="1">
      <c r="AA8740"/>
    </row>
    <row r="8741" spans="27:27" ht="17.899999999999999" customHeight="1">
      <c r="AA8741"/>
    </row>
    <row r="8742" spans="27:27" ht="17.899999999999999" customHeight="1">
      <c r="AA8742"/>
    </row>
    <row r="8743" spans="27:27" ht="17.899999999999999" customHeight="1">
      <c r="AA8743"/>
    </row>
    <row r="8744" spans="27:27" ht="17.899999999999999" customHeight="1">
      <c r="AA8744"/>
    </row>
    <row r="8745" spans="27:27" ht="17.899999999999999" customHeight="1">
      <c r="AA8745"/>
    </row>
    <row r="8746" spans="27:27" ht="17.899999999999999" customHeight="1">
      <c r="AA8746"/>
    </row>
    <row r="8747" spans="27:27" ht="17.899999999999999" customHeight="1">
      <c r="AA8747"/>
    </row>
    <row r="8748" spans="27:27" ht="17.899999999999999" customHeight="1">
      <c r="AA8748"/>
    </row>
    <row r="8749" spans="27:27" ht="17.899999999999999" customHeight="1">
      <c r="AA8749"/>
    </row>
    <row r="8750" spans="27:27" ht="17.899999999999999" customHeight="1">
      <c r="AA8750"/>
    </row>
    <row r="8751" spans="27:27" ht="17.899999999999999" customHeight="1">
      <c r="AA8751"/>
    </row>
    <row r="8752" spans="27:27" ht="17.899999999999999" customHeight="1">
      <c r="AA8752"/>
    </row>
    <row r="8753" spans="27:27" ht="17.899999999999999" customHeight="1">
      <c r="AA8753"/>
    </row>
    <row r="8754" spans="27:27" ht="17.899999999999999" customHeight="1">
      <c r="AA8754"/>
    </row>
    <row r="8755" spans="27:27" ht="17.899999999999999" customHeight="1">
      <c r="AA8755"/>
    </row>
    <row r="8756" spans="27:27" ht="17.899999999999999" customHeight="1">
      <c r="AA8756"/>
    </row>
    <row r="8757" spans="27:27" ht="17.899999999999999" customHeight="1">
      <c r="AA8757"/>
    </row>
    <row r="8758" spans="27:27" ht="17.899999999999999" customHeight="1">
      <c r="AA8758"/>
    </row>
    <row r="8759" spans="27:27" ht="17.899999999999999" customHeight="1">
      <c r="AA8759"/>
    </row>
    <row r="8760" spans="27:27" ht="17.899999999999999" customHeight="1">
      <c r="AA8760"/>
    </row>
    <row r="8761" spans="27:27" ht="17.899999999999999" customHeight="1">
      <c r="AA8761"/>
    </row>
    <row r="8762" spans="27:27" ht="17.899999999999999" customHeight="1">
      <c r="AA8762"/>
    </row>
    <row r="8763" spans="27:27" ht="17.899999999999999" customHeight="1">
      <c r="AA8763"/>
    </row>
    <row r="8764" spans="27:27" ht="17.899999999999999" customHeight="1">
      <c r="AA8764"/>
    </row>
    <row r="8765" spans="27:27" ht="17.899999999999999" customHeight="1">
      <c r="AA8765"/>
    </row>
    <row r="8766" spans="27:27" ht="17.899999999999999" customHeight="1">
      <c r="AA8766"/>
    </row>
    <row r="8767" spans="27:27" ht="17.899999999999999" customHeight="1">
      <c r="AA8767"/>
    </row>
    <row r="8768" spans="27:27" ht="17.899999999999999" customHeight="1">
      <c r="AA8768"/>
    </row>
    <row r="8769" spans="27:27" ht="17.899999999999999" customHeight="1">
      <c r="AA8769"/>
    </row>
    <row r="8770" spans="27:27" ht="17.899999999999999" customHeight="1">
      <c r="AA8770"/>
    </row>
    <row r="8771" spans="27:27" ht="17.899999999999999" customHeight="1">
      <c r="AA8771"/>
    </row>
    <row r="8772" spans="27:27" ht="17.899999999999999" customHeight="1">
      <c r="AA8772"/>
    </row>
    <row r="8773" spans="27:27" ht="17.899999999999999" customHeight="1">
      <c r="AA8773"/>
    </row>
    <row r="8774" spans="27:27" ht="17.899999999999999" customHeight="1">
      <c r="AA8774"/>
    </row>
    <row r="8775" spans="27:27" ht="17.899999999999999" customHeight="1">
      <c r="AA8775"/>
    </row>
    <row r="8776" spans="27:27" ht="17.899999999999999" customHeight="1">
      <c r="AA8776"/>
    </row>
    <row r="8777" spans="27:27" ht="17.899999999999999" customHeight="1">
      <c r="AA8777"/>
    </row>
    <row r="8778" spans="27:27" ht="17.899999999999999" customHeight="1">
      <c r="AA8778"/>
    </row>
    <row r="8779" spans="27:27" ht="17.899999999999999" customHeight="1">
      <c r="AA8779"/>
    </row>
    <row r="8780" spans="27:27" ht="17.899999999999999" customHeight="1">
      <c r="AA8780"/>
    </row>
    <row r="8781" spans="27:27" ht="17.899999999999999" customHeight="1">
      <c r="AA8781"/>
    </row>
    <row r="8782" spans="27:27" ht="17.899999999999999" customHeight="1">
      <c r="AA8782"/>
    </row>
    <row r="8783" spans="27:27" ht="17.899999999999999" customHeight="1">
      <c r="AA8783"/>
    </row>
    <row r="8784" spans="27:27" ht="17.899999999999999" customHeight="1">
      <c r="AA8784"/>
    </row>
    <row r="8785" spans="27:27" ht="17.899999999999999" customHeight="1">
      <c r="AA8785"/>
    </row>
    <row r="8786" spans="27:27" ht="17.899999999999999" customHeight="1">
      <c r="AA8786"/>
    </row>
    <row r="8787" spans="27:27" ht="17.899999999999999" customHeight="1">
      <c r="AA8787"/>
    </row>
    <row r="8788" spans="27:27" ht="17.899999999999999" customHeight="1">
      <c r="AA8788"/>
    </row>
    <row r="8789" spans="27:27" ht="17.899999999999999" customHeight="1">
      <c r="AA8789"/>
    </row>
    <row r="8790" spans="27:27" ht="17.899999999999999" customHeight="1">
      <c r="AA8790"/>
    </row>
    <row r="8791" spans="27:27" ht="17.899999999999999" customHeight="1">
      <c r="AA8791"/>
    </row>
    <row r="8792" spans="27:27" ht="17.899999999999999" customHeight="1">
      <c r="AA8792"/>
    </row>
    <row r="8793" spans="27:27" ht="17.899999999999999" customHeight="1">
      <c r="AA8793"/>
    </row>
    <row r="8794" spans="27:27" ht="17.899999999999999" customHeight="1">
      <c r="AA8794"/>
    </row>
    <row r="8795" spans="27:27" ht="17.899999999999999" customHeight="1">
      <c r="AA8795"/>
    </row>
    <row r="8796" spans="27:27" ht="17.899999999999999" customHeight="1">
      <c r="AA8796"/>
    </row>
    <row r="8797" spans="27:27" ht="17.899999999999999" customHeight="1">
      <c r="AA8797"/>
    </row>
    <row r="8798" spans="27:27" ht="17.899999999999999" customHeight="1">
      <c r="AA8798"/>
    </row>
    <row r="8799" spans="27:27" ht="17.899999999999999" customHeight="1">
      <c r="AA8799"/>
    </row>
    <row r="8800" spans="27:27" ht="17.899999999999999" customHeight="1">
      <c r="AA8800"/>
    </row>
    <row r="8801" spans="27:27" ht="17.899999999999999" customHeight="1">
      <c r="AA8801"/>
    </row>
    <row r="8802" spans="27:27" ht="17.899999999999999" customHeight="1">
      <c r="AA8802"/>
    </row>
    <row r="8803" spans="27:27" ht="17.899999999999999" customHeight="1">
      <c r="AA8803"/>
    </row>
    <row r="8804" spans="27:27" ht="17.899999999999999" customHeight="1">
      <c r="AA8804"/>
    </row>
    <row r="8805" spans="27:27" ht="17.899999999999999" customHeight="1">
      <c r="AA8805"/>
    </row>
    <row r="8806" spans="27:27" ht="17.899999999999999" customHeight="1">
      <c r="AA8806"/>
    </row>
    <row r="8807" spans="27:27" ht="17.899999999999999" customHeight="1">
      <c r="AA8807"/>
    </row>
    <row r="8808" spans="27:27" ht="17.899999999999999" customHeight="1">
      <c r="AA8808"/>
    </row>
    <row r="8809" spans="27:27" ht="17.899999999999999" customHeight="1">
      <c r="AA8809"/>
    </row>
    <row r="8810" spans="27:27" ht="17.899999999999999" customHeight="1">
      <c r="AA8810"/>
    </row>
    <row r="8811" spans="27:27" ht="17.899999999999999" customHeight="1">
      <c r="AA8811"/>
    </row>
    <row r="8812" spans="27:27" ht="17.899999999999999" customHeight="1">
      <c r="AA8812"/>
    </row>
    <row r="8813" spans="27:27" ht="17.899999999999999" customHeight="1">
      <c r="AA8813"/>
    </row>
    <row r="8814" spans="27:27" ht="17.899999999999999" customHeight="1">
      <c r="AA8814"/>
    </row>
    <row r="8815" spans="27:27" ht="17.899999999999999" customHeight="1">
      <c r="AA8815"/>
    </row>
    <row r="8816" spans="27:27" ht="17.899999999999999" customHeight="1">
      <c r="AA8816"/>
    </row>
    <row r="8817" spans="27:27" ht="17.899999999999999" customHeight="1">
      <c r="AA8817"/>
    </row>
    <row r="8818" spans="27:27" ht="17.899999999999999" customHeight="1">
      <c r="AA8818"/>
    </row>
    <row r="8819" spans="27:27" ht="17.899999999999999" customHeight="1">
      <c r="AA8819"/>
    </row>
    <row r="8820" spans="27:27" ht="17.899999999999999" customHeight="1">
      <c r="AA8820"/>
    </row>
    <row r="8821" spans="27:27" ht="17.899999999999999" customHeight="1">
      <c r="AA8821"/>
    </row>
    <row r="8822" spans="27:27" ht="17.899999999999999" customHeight="1">
      <c r="AA8822"/>
    </row>
    <row r="8823" spans="27:27" ht="17.899999999999999" customHeight="1">
      <c r="AA8823"/>
    </row>
    <row r="8824" spans="27:27" ht="17.899999999999999" customHeight="1">
      <c r="AA8824"/>
    </row>
    <row r="8825" spans="27:27" ht="17.899999999999999" customHeight="1">
      <c r="AA8825"/>
    </row>
    <row r="8826" spans="27:27" ht="17.899999999999999" customHeight="1">
      <c r="AA8826"/>
    </row>
    <row r="8827" spans="27:27" ht="17.899999999999999" customHeight="1">
      <c r="AA8827"/>
    </row>
    <row r="8828" spans="27:27" ht="17.899999999999999" customHeight="1">
      <c r="AA8828"/>
    </row>
    <row r="8829" spans="27:27" ht="17.899999999999999" customHeight="1">
      <c r="AA8829"/>
    </row>
    <row r="8830" spans="27:27" ht="17.899999999999999" customHeight="1">
      <c r="AA8830"/>
    </row>
    <row r="8831" spans="27:27" ht="17.899999999999999" customHeight="1">
      <c r="AA8831"/>
    </row>
    <row r="8832" spans="27:27" ht="17.899999999999999" customHeight="1">
      <c r="AA8832"/>
    </row>
    <row r="8833" spans="27:27" ht="17.899999999999999" customHeight="1">
      <c r="AA8833"/>
    </row>
    <row r="8834" spans="27:27" ht="17.899999999999999" customHeight="1">
      <c r="AA8834"/>
    </row>
    <row r="8835" spans="27:27" ht="17.899999999999999" customHeight="1">
      <c r="AA8835"/>
    </row>
    <row r="8836" spans="27:27" ht="17.899999999999999" customHeight="1">
      <c r="AA8836"/>
    </row>
    <row r="8837" spans="27:27" ht="17.899999999999999" customHeight="1">
      <c r="AA8837"/>
    </row>
    <row r="8838" spans="27:27" ht="17.899999999999999" customHeight="1">
      <c r="AA8838"/>
    </row>
    <row r="8839" spans="27:27" ht="17.899999999999999" customHeight="1">
      <c r="AA8839"/>
    </row>
    <row r="8840" spans="27:27" ht="17.899999999999999" customHeight="1">
      <c r="AA8840"/>
    </row>
    <row r="8841" spans="27:27" ht="17.899999999999999" customHeight="1">
      <c r="AA8841"/>
    </row>
    <row r="8842" spans="27:27" ht="17.899999999999999" customHeight="1">
      <c r="AA8842"/>
    </row>
    <row r="8843" spans="27:27" ht="17.899999999999999" customHeight="1">
      <c r="AA8843"/>
    </row>
    <row r="8844" spans="27:27" ht="17.899999999999999" customHeight="1">
      <c r="AA8844"/>
    </row>
    <row r="8845" spans="27:27" ht="17.899999999999999" customHeight="1">
      <c r="AA8845"/>
    </row>
    <row r="8846" spans="27:27" ht="17.899999999999999" customHeight="1">
      <c r="AA8846"/>
    </row>
    <row r="8847" spans="27:27" ht="17.899999999999999" customHeight="1">
      <c r="AA8847"/>
    </row>
    <row r="8848" spans="27:27" ht="17.899999999999999" customHeight="1">
      <c r="AA8848"/>
    </row>
    <row r="8849" spans="27:27" ht="17.899999999999999" customHeight="1">
      <c r="AA8849"/>
    </row>
    <row r="8850" spans="27:27" ht="17.899999999999999" customHeight="1">
      <c r="AA8850"/>
    </row>
    <row r="8851" spans="27:27" ht="17.899999999999999" customHeight="1">
      <c r="AA8851"/>
    </row>
    <row r="8852" spans="27:27" ht="17.899999999999999" customHeight="1">
      <c r="AA8852"/>
    </row>
    <row r="8853" spans="27:27" ht="17.899999999999999" customHeight="1">
      <c r="AA8853"/>
    </row>
    <row r="8854" spans="27:27" ht="17.899999999999999" customHeight="1">
      <c r="AA8854"/>
    </row>
    <row r="8855" spans="27:27" ht="17.899999999999999" customHeight="1">
      <c r="AA8855"/>
    </row>
    <row r="8856" spans="27:27" ht="17.899999999999999" customHeight="1">
      <c r="AA8856"/>
    </row>
    <row r="8857" spans="27:27" ht="17.899999999999999" customHeight="1">
      <c r="AA8857"/>
    </row>
    <row r="8858" spans="27:27" ht="17.899999999999999" customHeight="1">
      <c r="AA8858"/>
    </row>
    <row r="8859" spans="27:27" ht="17.899999999999999" customHeight="1">
      <c r="AA8859"/>
    </row>
    <row r="8860" spans="27:27" ht="17.899999999999999" customHeight="1">
      <c r="AA8860"/>
    </row>
    <row r="8861" spans="27:27" ht="17.899999999999999" customHeight="1">
      <c r="AA8861"/>
    </row>
    <row r="8862" spans="27:27" ht="17.899999999999999" customHeight="1">
      <c r="AA8862"/>
    </row>
    <row r="8863" spans="27:27" ht="17.899999999999999" customHeight="1">
      <c r="AA8863"/>
    </row>
    <row r="8864" spans="27:27" ht="17.899999999999999" customHeight="1">
      <c r="AA8864"/>
    </row>
    <row r="8865" spans="27:27" ht="17.899999999999999" customHeight="1">
      <c r="AA8865"/>
    </row>
    <row r="8866" spans="27:27" ht="17.899999999999999" customHeight="1">
      <c r="AA8866"/>
    </row>
    <row r="8867" spans="27:27" ht="17.899999999999999" customHeight="1">
      <c r="AA8867"/>
    </row>
    <row r="8868" spans="27:27" ht="17.899999999999999" customHeight="1">
      <c r="AA8868"/>
    </row>
    <row r="8869" spans="27:27" ht="17.899999999999999" customHeight="1">
      <c r="AA8869"/>
    </row>
    <row r="8870" spans="27:27" ht="17.899999999999999" customHeight="1">
      <c r="AA8870"/>
    </row>
    <row r="8871" spans="27:27" ht="17.899999999999999" customHeight="1">
      <c r="AA8871"/>
    </row>
    <row r="8872" spans="27:27" ht="17.899999999999999" customHeight="1">
      <c r="AA8872"/>
    </row>
    <row r="8873" spans="27:27" ht="17.899999999999999" customHeight="1">
      <c r="AA8873"/>
    </row>
    <row r="8874" spans="27:27" ht="17.899999999999999" customHeight="1">
      <c r="AA8874"/>
    </row>
    <row r="8875" spans="27:27" ht="17.899999999999999" customHeight="1">
      <c r="AA8875"/>
    </row>
    <row r="8876" spans="27:27" ht="17.899999999999999" customHeight="1">
      <c r="AA8876"/>
    </row>
    <row r="8877" spans="27:27" ht="17.899999999999999" customHeight="1">
      <c r="AA8877"/>
    </row>
    <row r="8878" spans="27:27" ht="17.899999999999999" customHeight="1">
      <c r="AA8878"/>
    </row>
    <row r="8879" spans="27:27" ht="17.899999999999999" customHeight="1">
      <c r="AA8879"/>
    </row>
    <row r="8880" spans="27:27" ht="17.899999999999999" customHeight="1">
      <c r="AA8880"/>
    </row>
    <row r="8881" spans="27:27" ht="17.899999999999999" customHeight="1">
      <c r="AA8881"/>
    </row>
    <row r="8882" spans="27:27" ht="17.899999999999999" customHeight="1">
      <c r="AA8882"/>
    </row>
    <row r="8883" spans="27:27" ht="17.899999999999999" customHeight="1">
      <c r="AA8883"/>
    </row>
    <row r="8884" spans="27:27" ht="17.899999999999999" customHeight="1">
      <c r="AA8884"/>
    </row>
    <row r="8885" spans="27:27" ht="17.899999999999999" customHeight="1">
      <c r="AA8885"/>
    </row>
    <row r="8886" spans="27:27" ht="17.899999999999999" customHeight="1">
      <c r="AA8886"/>
    </row>
    <row r="8887" spans="27:27" ht="17.899999999999999" customHeight="1">
      <c r="AA8887"/>
    </row>
    <row r="8888" spans="27:27" ht="17.899999999999999" customHeight="1">
      <c r="AA8888"/>
    </row>
    <row r="8889" spans="27:27" ht="17.899999999999999" customHeight="1">
      <c r="AA8889"/>
    </row>
    <row r="8890" spans="27:27" ht="17.899999999999999" customHeight="1">
      <c r="AA8890"/>
    </row>
    <row r="8891" spans="27:27" ht="17.899999999999999" customHeight="1">
      <c r="AA8891"/>
    </row>
    <row r="8892" spans="27:27" ht="17.899999999999999" customHeight="1">
      <c r="AA8892"/>
    </row>
    <row r="8893" spans="27:27" ht="17.899999999999999" customHeight="1">
      <c r="AA8893"/>
    </row>
    <row r="8894" spans="27:27" ht="17.899999999999999" customHeight="1">
      <c r="AA8894"/>
    </row>
    <row r="8895" spans="27:27" ht="17.899999999999999" customHeight="1">
      <c r="AA8895"/>
    </row>
    <row r="8896" spans="27:27" ht="17.899999999999999" customHeight="1">
      <c r="AA8896"/>
    </row>
    <row r="8897" spans="27:27" ht="17.899999999999999" customHeight="1">
      <c r="AA8897"/>
    </row>
    <row r="8898" spans="27:27" ht="17.899999999999999" customHeight="1">
      <c r="AA8898"/>
    </row>
    <row r="8899" spans="27:27" ht="17.899999999999999" customHeight="1">
      <c r="AA8899"/>
    </row>
    <row r="8900" spans="27:27" ht="17.899999999999999" customHeight="1">
      <c r="AA8900"/>
    </row>
    <row r="8901" spans="27:27" ht="17.899999999999999" customHeight="1">
      <c r="AA8901"/>
    </row>
    <row r="8902" spans="27:27" ht="17.899999999999999" customHeight="1">
      <c r="AA8902"/>
    </row>
    <row r="8903" spans="27:27" ht="17.899999999999999" customHeight="1">
      <c r="AA8903"/>
    </row>
    <row r="8904" spans="27:27" ht="17.899999999999999" customHeight="1">
      <c r="AA8904"/>
    </row>
    <row r="8905" spans="27:27" ht="17.899999999999999" customHeight="1">
      <c r="AA8905"/>
    </row>
    <row r="8906" spans="27:27" ht="17.899999999999999" customHeight="1">
      <c r="AA8906"/>
    </row>
    <row r="8907" spans="27:27" ht="17.899999999999999" customHeight="1">
      <c r="AA8907"/>
    </row>
    <row r="8908" spans="27:27" ht="17.899999999999999" customHeight="1">
      <c r="AA8908"/>
    </row>
    <row r="8909" spans="27:27" ht="17.899999999999999" customHeight="1">
      <c r="AA8909"/>
    </row>
    <row r="8910" spans="27:27" ht="17.899999999999999" customHeight="1">
      <c r="AA8910"/>
    </row>
    <row r="8911" spans="27:27" ht="17.899999999999999" customHeight="1">
      <c r="AA8911"/>
    </row>
    <row r="8912" spans="27:27" ht="17.899999999999999" customHeight="1">
      <c r="AA8912"/>
    </row>
    <row r="8913" spans="27:27" ht="17.899999999999999" customHeight="1">
      <c r="AA8913"/>
    </row>
    <row r="8914" spans="27:27" ht="17.899999999999999" customHeight="1">
      <c r="AA8914"/>
    </row>
    <row r="8915" spans="27:27" ht="17.899999999999999" customHeight="1">
      <c r="AA8915"/>
    </row>
    <row r="8916" spans="27:27" ht="17.899999999999999" customHeight="1">
      <c r="AA8916"/>
    </row>
    <row r="8917" spans="27:27" ht="17.899999999999999" customHeight="1">
      <c r="AA8917"/>
    </row>
    <row r="8918" spans="27:27" ht="17.899999999999999" customHeight="1">
      <c r="AA8918"/>
    </row>
    <row r="8919" spans="27:27" ht="17.899999999999999" customHeight="1">
      <c r="AA8919"/>
    </row>
    <row r="8920" spans="27:27" ht="17.899999999999999" customHeight="1">
      <c r="AA8920"/>
    </row>
    <row r="8921" spans="27:27" ht="17.899999999999999" customHeight="1">
      <c r="AA8921"/>
    </row>
    <row r="8922" spans="27:27" ht="17.899999999999999" customHeight="1">
      <c r="AA8922"/>
    </row>
    <row r="8923" spans="27:27" ht="17.899999999999999" customHeight="1">
      <c r="AA8923"/>
    </row>
    <row r="8924" spans="27:27" ht="17.899999999999999" customHeight="1">
      <c r="AA8924"/>
    </row>
    <row r="8925" spans="27:27" ht="17.899999999999999" customHeight="1">
      <c r="AA8925"/>
    </row>
    <row r="8926" spans="27:27" ht="17.899999999999999" customHeight="1">
      <c r="AA8926"/>
    </row>
    <row r="8927" spans="27:27" ht="17.899999999999999" customHeight="1">
      <c r="AA8927"/>
    </row>
    <row r="8928" spans="27:27" ht="17.899999999999999" customHeight="1">
      <c r="AA8928"/>
    </row>
    <row r="8929" spans="27:27" ht="17.899999999999999" customHeight="1">
      <c r="AA8929"/>
    </row>
    <row r="8930" spans="27:27" ht="17.899999999999999" customHeight="1">
      <c r="AA8930"/>
    </row>
    <row r="8931" spans="27:27" ht="17.899999999999999" customHeight="1">
      <c r="AA8931"/>
    </row>
    <row r="8932" spans="27:27" ht="17.899999999999999" customHeight="1">
      <c r="AA8932"/>
    </row>
    <row r="8933" spans="27:27" ht="17.899999999999999" customHeight="1">
      <c r="AA8933"/>
    </row>
    <row r="8934" spans="27:27" ht="17.899999999999999" customHeight="1">
      <c r="AA8934"/>
    </row>
    <row r="8935" spans="27:27" ht="17.899999999999999" customHeight="1">
      <c r="AA8935"/>
    </row>
    <row r="8936" spans="27:27" ht="17.899999999999999" customHeight="1">
      <c r="AA8936"/>
    </row>
    <row r="8937" spans="27:27" ht="17.899999999999999" customHeight="1">
      <c r="AA8937"/>
    </row>
    <row r="8938" spans="27:27" ht="17.899999999999999" customHeight="1">
      <c r="AA8938"/>
    </row>
    <row r="8939" spans="27:27" ht="17.899999999999999" customHeight="1">
      <c r="AA8939"/>
    </row>
    <row r="8940" spans="27:27" ht="17.899999999999999" customHeight="1">
      <c r="AA8940"/>
    </row>
    <row r="8941" spans="27:27" ht="17.899999999999999" customHeight="1">
      <c r="AA8941"/>
    </row>
    <row r="8942" spans="27:27" ht="17.899999999999999" customHeight="1">
      <c r="AA8942"/>
    </row>
    <row r="8943" spans="27:27" ht="17.899999999999999" customHeight="1">
      <c r="AA8943"/>
    </row>
    <row r="8944" spans="27:27" ht="17.899999999999999" customHeight="1">
      <c r="AA8944"/>
    </row>
    <row r="8945" spans="27:27" ht="17.899999999999999" customHeight="1">
      <c r="AA8945"/>
    </row>
    <row r="8946" spans="27:27" ht="17.899999999999999" customHeight="1">
      <c r="AA8946"/>
    </row>
    <row r="8947" spans="27:27" ht="17.899999999999999" customHeight="1">
      <c r="AA8947"/>
    </row>
    <row r="8948" spans="27:27" ht="17.899999999999999" customHeight="1">
      <c r="AA8948"/>
    </row>
    <row r="8949" spans="27:27" ht="17.899999999999999" customHeight="1">
      <c r="AA8949"/>
    </row>
    <row r="8950" spans="27:27" ht="17.899999999999999" customHeight="1">
      <c r="AA8950"/>
    </row>
    <row r="8951" spans="27:27" ht="17.899999999999999" customHeight="1">
      <c r="AA8951"/>
    </row>
    <row r="8952" spans="27:27" ht="17.899999999999999" customHeight="1">
      <c r="AA8952"/>
    </row>
    <row r="8953" spans="27:27" ht="17.899999999999999" customHeight="1">
      <c r="AA8953"/>
    </row>
    <row r="8954" spans="27:27" ht="17.899999999999999" customHeight="1">
      <c r="AA8954"/>
    </row>
    <row r="8955" spans="27:27" ht="17.899999999999999" customHeight="1">
      <c r="AA8955"/>
    </row>
    <row r="8956" spans="27:27" ht="17.899999999999999" customHeight="1">
      <c r="AA8956"/>
    </row>
    <row r="8957" spans="27:27" ht="17.899999999999999" customHeight="1">
      <c r="AA8957"/>
    </row>
    <row r="8958" spans="27:27" ht="17.899999999999999" customHeight="1">
      <c r="AA8958"/>
    </row>
    <row r="8959" spans="27:27" ht="17.899999999999999" customHeight="1">
      <c r="AA8959"/>
    </row>
    <row r="8960" spans="27:27" ht="17.899999999999999" customHeight="1">
      <c r="AA8960"/>
    </row>
    <row r="8961" spans="27:27" ht="17.899999999999999" customHeight="1">
      <c r="AA8961"/>
    </row>
    <row r="8962" spans="27:27" ht="17.899999999999999" customHeight="1">
      <c r="AA8962"/>
    </row>
    <row r="8963" spans="27:27" ht="17.899999999999999" customHeight="1">
      <c r="AA8963"/>
    </row>
    <row r="8964" spans="27:27" ht="17.899999999999999" customHeight="1">
      <c r="AA8964"/>
    </row>
    <row r="8965" spans="27:27" ht="17.899999999999999" customHeight="1">
      <c r="AA8965"/>
    </row>
    <row r="8966" spans="27:27" ht="17.899999999999999" customHeight="1">
      <c r="AA8966"/>
    </row>
    <row r="8967" spans="27:27" ht="17.899999999999999" customHeight="1">
      <c r="AA8967"/>
    </row>
    <row r="8968" spans="27:27" ht="17.899999999999999" customHeight="1">
      <c r="AA8968"/>
    </row>
    <row r="8969" spans="27:27" ht="17.899999999999999" customHeight="1">
      <c r="AA8969"/>
    </row>
    <row r="8970" spans="27:27" ht="17.899999999999999" customHeight="1">
      <c r="AA8970"/>
    </row>
    <row r="8971" spans="27:27" ht="17.899999999999999" customHeight="1">
      <c r="AA8971"/>
    </row>
    <row r="8972" spans="27:27" ht="17.899999999999999" customHeight="1">
      <c r="AA8972"/>
    </row>
    <row r="8973" spans="27:27" ht="17.899999999999999" customHeight="1">
      <c r="AA8973"/>
    </row>
    <row r="8974" spans="27:27" ht="17.899999999999999" customHeight="1">
      <c r="AA8974"/>
    </row>
    <row r="8975" spans="27:27" ht="17.899999999999999" customHeight="1">
      <c r="AA8975"/>
    </row>
    <row r="8976" spans="27:27" ht="17.899999999999999" customHeight="1">
      <c r="AA8976"/>
    </row>
    <row r="8977" spans="27:27" ht="17.899999999999999" customHeight="1">
      <c r="AA8977"/>
    </row>
    <row r="8978" spans="27:27" ht="17.899999999999999" customHeight="1">
      <c r="AA8978"/>
    </row>
    <row r="8979" spans="27:27" ht="17.899999999999999" customHeight="1">
      <c r="AA8979"/>
    </row>
    <row r="8980" spans="27:27" ht="17.899999999999999" customHeight="1">
      <c r="AA8980"/>
    </row>
    <row r="8981" spans="27:27" ht="17.899999999999999" customHeight="1">
      <c r="AA8981"/>
    </row>
    <row r="8982" spans="27:27" ht="17.899999999999999" customHeight="1">
      <c r="AA8982"/>
    </row>
    <row r="8983" spans="27:27" ht="17.899999999999999" customHeight="1">
      <c r="AA8983"/>
    </row>
    <row r="8984" spans="27:27" ht="17.899999999999999" customHeight="1">
      <c r="AA8984"/>
    </row>
    <row r="8985" spans="27:27" ht="17.899999999999999" customHeight="1">
      <c r="AA8985"/>
    </row>
    <row r="8986" spans="27:27" ht="17.899999999999999" customHeight="1">
      <c r="AA8986"/>
    </row>
    <row r="8987" spans="27:27" ht="17.899999999999999" customHeight="1">
      <c r="AA8987"/>
    </row>
    <row r="8988" spans="27:27" ht="17.899999999999999" customHeight="1">
      <c r="AA8988"/>
    </row>
    <row r="8989" spans="27:27" ht="17.899999999999999" customHeight="1">
      <c r="AA8989"/>
    </row>
    <row r="8990" spans="27:27" ht="17.899999999999999" customHeight="1">
      <c r="AA8990"/>
    </row>
    <row r="8991" spans="27:27" ht="17.899999999999999" customHeight="1">
      <c r="AA8991"/>
    </row>
    <row r="8992" spans="27:27" ht="17.899999999999999" customHeight="1">
      <c r="AA8992"/>
    </row>
    <row r="8993" spans="27:27" ht="17.899999999999999" customHeight="1">
      <c r="AA8993"/>
    </row>
    <row r="8994" spans="27:27" ht="17.899999999999999" customHeight="1">
      <c r="AA8994"/>
    </row>
    <row r="8995" spans="27:27" ht="17.899999999999999" customHeight="1">
      <c r="AA8995"/>
    </row>
    <row r="8996" spans="27:27" ht="17.899999999999999" customHeight="1">
      <c r="AA8996"/>
    </row>
    <row r="8997" spans="27:27" ht="17.899999999999999" customHeight="1">
      <c r="AA8997"/>
    </row>
    <row r="8998" spans="27:27" ht="17.899999999999999" customHeight="1">
      <c r="AA8998"/>
    </row>
    <row r="8999" spans="27:27" ht="17.899999999999999" customHeight="1">
      <c r="AA8999"/>
    </row>
    <row r="9000" spans="27:27" ht="17.899999999999999" customHeight="1">
      <c r="AA9000"/>
    </row>
    <row r="9001" spans="27:27" ht="17.899999999999999" customHeight="1">
      <c r="AA9001"/>
    </row>
    <row r="9002" spans="27:27" ht="17.899999999999999" customHeight="1">
      <c r="AA9002"/>
    </row>
    <row r="9003" spans="27:27" ht="17.899999999999999" customHeight="1">
      <c r="AA9003"/>
    </row>
    <row r="9004" spans="27:27" ht="17.899999999999999" customHeight="1">
      <c r="AA9004"/>
    </row>
    <row r="9005" spans="27:27" ht="17.899999999999999" customHeight="1">
      <c r="AA9005"/>
    </row>
    <row r="9006" spans="27:27" ht="17.899999999999999" customHeight="1">
      <c r="AA9006"/>
    </row>
    <row r="9007" spans="27:27" ht="17.899999999999999" customHeight="1">
      <c r="AA9007"/>
    </row>
    <row r="9008" spans="27:27" ht="17.899999999999999" customHeight="1">
      <c r="AA9008"/>
    </row>
    <row r="9009" spans="27:27" ht="17.899999999999999" customHeight="1">
      <c r="AA9009"/>
    </row>
    <row r="9010" spans="27:27" ht="17.899999999999999" customHeight="1">
      <c r="AA9010"/>
    </row>
    <row r="9011" spans="27:27" ht="17.899999999999999" customHeight="1">
      <c r="AA9011"/>
    </row>
    <row r="9012" spans="27:27" ht="17.899999999999999" customHeight="1">
      <c r="AA9012"/>
    </row>
    <row r="9013" spans="27:27" ht="17.899999999999999" customHeight="1">
      <c r="AA9013"/>
    </row>
    <row r="9014" spans="27:27" ht="17.899999999999999" customHeight="1">
      <c r="AA9014"/>
    </row>
    <row r="9015" spans="27:27" ht="17.899999999999999" customHeight="1">
      <c r="AA9015"/>
    </row>
    <row r="9016" spans="27:27" ht="17.899999999999999" customHeight="1">
      <c r="AA9016"/>
    </row>
    <row r="9017" spans="27:27" ht="17.899999999999999" customHeight="1">
      <c r="AA9017"/>
    </row>
    <row r="9018" spans="27:27" ht="17.899999999999999" customHeight="1">
      <c r="AA9018"/>
    </row>
    <row r="9019" spans="27:27" ht="17.899999999999999" customHeight="1">
      <c r="AA9019"/>
    </row>
    <row r="9020" spans="27:27" ht="17.899999999999999" customHeight="1">
      <c r="AA9020"/>
    </row>
    <row r="9021" spans="27:27" ht="17.899999999999999" customHeight="1">
      <c r="AA9021"/>
    </row>
    <row r="9022" spans="27:27" ht="17.899999999999999" customHeight="1">
      <c r="AA9022"/>
    </row>
    <row r="9023" spans="27:27" ht="17.899999999999999" customHeight="1">
      <c r="AA9023"/>
    </row>
    <row r="9024" spans="27:27" ht="17.899999999999999" customHeight="1">
      <c r="AA9024"/>
    </row>
    <row r="9025" spans="27:27" ht="17.899999999999999" customHeight="1">
      <c r="AA9025"/>
    </row>
    <row r="9026" spans="27:27" ht="17.899999999999999" customHeight="1">
      <c r="AA9026"/>
    </row>
    <row r="9027" spans="27:27" ht="17.899999999999999" customHeight="1">
      <c r="AA9027"/>
    </row>
    <row r="9028" spans="27:27" ht="17.899999999999999" customHeight="1">
      <c r="AA9028"/>
    </row>
    <row r="9029" spans="27:27" ht="17.899999999999999" customHeight="1">
      <c r="AA9029"/>
    </row>
    <row r="9030" spans="27:27" ht="17.899999999999999" customHeight="1">
      <c r="AA9030"/>
    </row>
    <row r="9031" spans="27:27" ht="17.899999999999999" customHeight="1">
      <c r="AA9031"/>
    </row>
    <row r="9032" spans="27:27" ht="17.899999999999999" customHeight="1">
      <c r="AA9032"/>
    </row>
    <row r="9033" spans="27:27" ht="17.899999999999999" customHeight="1">
      <c r="AA9033"/>
    </row>
    <row r="9034" spans="27:27" ht="17.899999999999999" customHeight="1">
      <c r="AA9034"/>
    </row>
    <row r="9035" spans="27:27" ht="17.899999999999999" customHeight="1">
      <c r="AA9035"/>
    </row>
    <row r="9036" spans="27:27" ht="17.899999999999999" customHeight="1">
      <c r="AA9036"/>
    </row>
    <row r="9037" spans="27:27" ht="17.899999999999999" customHeight="1">
      <c r="AA9037"/>
    </row>
    <row r="9038" spans="27:27" ht="17.899999999999999" customHeight="1">
      <c r="AA9038"/>
    </row>
    <row r="9039" spans="27:27" ht="17.899999999999999" customHeight="1">
      <c r="AA9039"/>
    </row>
    <row r="9040" spans="27:27" ht="17.899999999999999" customHeight="1">
      <c r="AA9040"/>
    </row>
    <row r="9041" spans="27:27" ht="17.899999999999999" customHeight="1">
      <c r="AA9041"/>
    </row>
    <row r="9042" spans="27:27" ht="17.899999999999999" customHeight="1">
      <c r="AA9042"/>
    </row>
    <row r="9043" spans="27:27" ht="17.899999999999999" customHeight="1">
      <c r="AA9043"/>
    </row>
    <row r="9044" spans="27:27" ht="17.899999999999999" customHeight="1">
      <c r="AA9044"/>
    </row>
    <row r="9045" spans="27:27" ht="17.899999999999999" customHeight="1">
      <c r="AA9045"/>
    </row>
    <row r="9046" spans="27:27" ht="17.899999999999999" customHeight="1">
      <c r="AA9046"/>
    </row>
    <row r="9047" spans="27:27" ht="17.899999999999999" customHeight="1">
      <c r="AA9047"/>
    </row>
    <row r="9048" spans="27:27" ht="17.899999999999999" customHeight="1">
      <c r="AA9048"/>
    </row>
    <row r="9049" spans="27:27" ht="17.899999999999999" customHeight="1">
      <c r="AA9049"/>
    </row>
    <row r="9050" spans="27:27" ht="17.899999999999999" customHeight="1">
      <c r="AA9050"/>
    </row>
    <row r="9051" spans="27:27" ht="17.899999999999999" customHeight="1">
      <c r="AA9051"/>
    </row>
    <row r="9052" spans="27:27" ht="17.899999999999999" customHeight="1">
      <c r="AA9052"/>
    </row>
    <row r="9053" spans="27:27" ht="17.899999999999999" customHeight="1">
      <c r="AA9053"/>
    </row>
    <row r="9054" spans="27:27" ht="17.899999999999999" customHeight="1">
      <c r="AA9054"/>
    </row>
    <row r="9055" spans="27:27" ht="17.899999999999999" customHeight="1">
      <c r="AA9055"/>
    </row>
    <row r="9056" spans="27:27" ht="17.899999999999999" customHeight="1">
      <c r="AA9056"/>
    </row>
    <row r="9057" spans="27:27" ht="17.899999999999999" customHeight="1">
      <c r="AA9057"/>
    </row>
    <row r="9058" spans="27:27" ht="17.899999999999999" customHeight="1">
      <c r="AA9058"/>
    </row>
    <row r="9059" spans="27:27" ht="17.899999999999999" customHeight="1">
      <c r="AA9059"/>
    </row>
    <row r="9060" spans="27:27" ht="17.899999999999999" customHeight="1">
      <c r="AA9060"/>
    </row>
    <row r="9061" spans="27:27" ht="17.899999999999999" customHeight="1">
      <c r="AA9061"/>
    </row>
    <row r="9062" spans="27:27" ht="17.899999999999999" customHeight="1">
      <c r="AA9062"/>
    </row>
    <row r="9063" spans="27:27" ht="17.899999999999999" customHeight="1">
      <c r="AA9063"/>
    </row>
    <row r="9064" spans="27:27" ht="17.899999999999999" customHeight="1">
      <c r="AA9064"/>
    </row>
    <row r="9065" spans="27:27" ht="17.899999999999999" customHeight="1">
      <c r="AA9065"/>
    </row>
    <row r="9066" spans="27:27" ht="17.899999999999999" customHeight="1">
      <c r="AA9066"/>
    </row>
    <row r="9067" spans="27:27" ht="17.899999999999999" customHeight="1">
      <c r="AA9067"/>
    </row>
    <row r="9068" spans="27:27" ht="17.899999999999999" customHeight="1">
      <c r="AA9068"/>
    </row>
    <row r="9069" spans="27:27" ht="17.899999999999999" customHeight="1">
      <c r="AA9069"/>
    </row>
    <row r="9070" spans="27:27" ht="17.899999999999999" customHeight="1">
      <c r="AA9070"/>
    </row>
    <row r="9071" spans="27:27" ht="17.899999999999999" customHeight="1">
      <c r="AA9071"/>
    </row>
    <row r="9072" spans="27:27" ht="17.899999999999999" customHeight="1">
      <c r="AA9072"/>
    </row>
    <row r="9073" spans="27:27" ht="17.899999999999999" customHeight="1">
      <c r="AA9073"/>
    </row>
    <row r="9074" spans="27:27" ht="17.899999999999999" customHeight="1">
      <c r="AA9074"/>
    </row>
    <row r="9075" spans="27:27" ht="17.899999999999999" customHeight="1">
      <c r="AA9075"/>
    </row>
    <row r="9076" spans="27:27" ht="17.899999999999999" customHeight="1">
      <c r="AA9076"/>
    </row>
    <row r="9077" spans="27:27" ht="17.899999999999999" customHeight="1">
      <c r="AA9077"/>
    </row>
    <row r="9078" spans="27:27" ht="17.899999999999999" customHeight="1">
      <c r="AA9078"/>
    </row>
    <row r="9079" spans="27:27" ht="17.899999999999999" customHeight="1">
      <c r="AA9079"/>
    </row>
    <row r="9080" spans="27:27" ht="17.899999999999999" customHeight="1">
      <c r="AA9080"/>
    </row>
    <row r="9081" spans="27:27" ht="17.899999999999999" customHeight="1">
      <c r="AA9081"/>
    </row>
    <row r="9082" spans="27:27" ht="17.899999999999999" customHeight="1">
      <c r="AA9082"/>
    </row>
    <row r="9083" spans="27:27" ht="17.899999999999999" customHeight="1">
      <c r="AA9083"/>
    </row>
    <row r="9084" spans="27:27" ht="17.899999999999999" customHeight="1">
      <c r="AA9084"/>
    </row>
    <row r="9085" spans="27:27" ht="17.899999999999999" customHeight="1">
      <c r="AA9085"/>
    </row>
    <row r="9086" spans="27:27" ht="17.899999999999999" customHeight="1">
      <c r="AA9086"/>
    </row>
    <row r="9087" spans="27:27" ht="17.899999999999999" customHeight="1">
      <c r="AA9087"/>
    </row>
    <row r="9088" spans="27:27" ht="17.899999999999999" customHeight="1">
      <c r="AA9088"/>
    </row>
    <row r="9089" spans="27:27" ht="17.899999999999999" customHeight="1">
      <c r="AA9089"/>
    </row>
    <row r="9090" spans="27:27" ht="17.899999999999999" customHeight="1">
      <c r="AA9090"/>
    </row>
    <row r="9091" spans="27:27" ht="17.899999999999999" customHeight="1">
      <c r="AA9091"/>
    </row>
    <row r="9092" spans="27:27" ht="17.899999999999999" customHeight="1">
      <c r="AA9092"/>
    </row>
    <row r="9093" spans="27:27" ht="17.899999999999999" customHeight="1">
      <c r="AA9093"/>
    </row>
    <row r="9094" spans="27:27" ht="17.899999999999999" customHeight="1">
      <c r="AA9094"/>
    </row>
    <row r="9095" spans="27:27" ht="17.899999999999999" customHeight="1">
      <c r="AA9095"/>
    </row>
    <row r="9096" spans="27:27" ht="17.899999999999999" customHeight="1">
      <c r="AA9096"/>
    </row>
    <row r="9097" spans="27:27" ht="17.899999999999999" customHeight="1">
      <c r="AA9097"/>
    </row>
    <row r="9098" spans="27:27" ht="17.899999999999999" customHeight="1">
      <c r="AA9098"/>
    </row>
    <row r="9099" spans="27:27" ht="17.899999999999999" customHeight="1">
      <c r="AA9099"/>
    </row>
    <row r="9100" spans="27:27" ht="17.899999999999999" customHeight="1">
      <c r="AA9100"/>
    </row>
    <row r="9101" spans="27:27" ht="17.899999999999999" customHeight="1">
      <c r="AA9101"/>
    </row>
    <row r="9102" spans="27:27" ht="17.899999999999999" customHeight="1">
      <c r="AA9102"/>
    </row>
    <row r="9103" spans="27:27" ht="17.899999999999999" customHeight="1">
      <c r="AA9103"/>
    </row>
    <row r="9104" spans="27:27" ht="17.899999999999999" customHeight="1">
      <c r="AA9104"/>
    </row>
    <row r="9105" spans="27:27" ht="17.899999999999999" customHeight="1">
      <c r="AA9105"/>
    </row>
    <row r="9106" spans="27:27" ht="17.899999999999999" customHeight="1">
      <c r="AA9106"/>
    </row>
    <row r="9107" spans="27:27" ht="17.899999999999999" customHeight="1">
      <c r="AA9107"/>
    </row>
    <row r="9108" spans="27:27" ht="17.899999999999999" customHeight="1">
      <c r="AA9108"/>
    </row>
    <row r="9109" spans="27:27" ht="17.899999999999999" customHeight="1">
      <c r="AA9109"/>
    </row>
    <row r="9110" spans="27:27" ht="17.899999999999999" customHeight="1">
      <c r="AA9110"/>
    </row>
    <row r="9111" spans="27:27" ht="17.899999999999999" customHeight="1">
      <c r="AA9111"/>
    </row>
    <row r="9112" spans="27:27" ht="17.899999999999999" customHeight="1">
      <c r="AA9112"/>
    </row>
    <row r="9113" spans="27:27" ht="17.899999999999999" customHeight="1">
      <c r="AA9113"/>
    </row>
    <row r="9114" spans="27:27" ht="17.899999999999999" customHeight="1">
      <c r="AA9114"/>
    </row>
    <row r="9115" spans="27:27" ht="17.899999999999999" customHeight="1">
      <c r="AA9115"/>
    </row>
    <row r="9116" spans="27:27" ht="17.899999999999999" customHeight="1">
      <c r="AA9116"/>
    </row>
    <row r="9117" spans="27:27" ht="17.899999999999999" customHeight="1">
      <c r="AA9117"/>
    </row>
    <row r="9118" spans="27:27" ht="17.899999999999999" customHeight="1">
      <c r="AA9118"/>
    </row>
    <row r="9119" spans="27:27" ht="17.899999999999999" customHeight="1">
      <c r="AA9119"/>
    </row>
    <row r="9120" spans="27:27" ht="17.899999999999999" customHeight="1">
      <c r="AA9120"/>
    </row>
    <row r="9121" spans="27:27" ht="17.899999999999999" customHeight="1">
      <c r="AA9121"/>
    </row>
    <row r="9122" spans="27:27" ht="17.899999999999999" customHeight="1">
      <c r="AA9122"/>
    </row>
    <row r="9123" spans="27:27" ht="17.899999999999999" customHeight="1">
      <c r="AA9123"/>
    </row>
    <row r="9124" spans="27:27" ht="17.899999999999999" customHeight="1">
      <c r="AA9124"/>
    </row>
    <row r="9125" spans="27:27" ht="17.899999999999999" customHeight="1">
      <c r="AA9125"/>
    </row>
    <row r="9126" spans="27:27" ht="17.899999999999999" customHeight="1">
      <c r="AA9126"/>
    </row>
    <row r="9127" spans="27:27" ht="17.899999999999999" customHeight="1">
      <c r="AA9127"/>
    </row>
    <row r="9128" spans="27:27" ht="17.899999999999999" customHeight="1">
      <c r="AA9128"/>
    </row>
    <row r="9129" spans="27:27" ht="17.899999999999999" customHeight="1">
      <c r="AA9129"/>
    </row>
    <row r="9130" spans="27:27" ht="17.899999999999999" customHeight="1">
      <c r="AA9130"/>
    </row>
    <row r="9131" spans="27:27" ht="17.899999999999999" customHeight="1">
      <c r="AA9131"/>
    </row>
    <row r="9132" spans="27:27" ht="17.899999999999999" customHeight="1">
      <c r="AA9132"/>
    </row>
    <row r="9133" spans="27:27" ht="17.899999999999999" customHeight="1">
      <c r="AA9133"/>
    </row>
    <row r="9134" spans="27:27" ht="17.899999999999999" customHeight="1">
      <c r="AA9134"/>
    </row>
    <row r="9135" spans="27:27" ht="17.899999999999999" customHeight="1">
      <c r="AA9135"/>
    </row>
    <row r="9136" spans="27:27" ht="17.899999999999999" customHeight="1">
      <c r="AA9136"/>
    </row>
    <row r="9137" spans="27:27" ht="17.899999999999999" customHeight="1">
      <c r="AA9137"/>
    </row>
    <row r="9138" spans="27:27" ht="17.899999999999999" customHeight="1">
      <c r="AA9138"/>
    </row>
    <row r="9139" spans="27:27" ht="17.899999999999999" customHeight="1">
      <c r="AA9139"/>
    </row>
    <row r="9140" spans="27:27" ht="17.899999999999999" customHeight="1">
      <c r="AA9140"/>
    </row>
    <row r="9141" spans="27:27" ht="17.899999999999999" customHeight="1">
      <c r="AA9141"/>
    </row>
    <row r="9142" spans="27:27" ht="17.899999999999999" customHeight="1">
      <c r="AA9142"/>
    </row>
    <row r="9143" spans="27:27" ht="17.899999999999999" customHeight="1">
      <c r="AA9143"/>
    </row>
    <row r="9144" spans="27:27" ht="17.899999999999999" customHeight="1">
      <c r="AA9144"/>
    </row>
    <row r="9145" spans="27:27" ht="17.899999999999999" customHeight="1">
      <c r="AA9145"/>
    </row>
    <row r="9146" spans="27:27" ht="17.899999999999999" customHeight="1">
      <c r="AA9146"/>
    </row>
    <row r="9147" spans="27:27" ht="17.899999999999999" customHeight="1">
      <c r="AA9147"/>
    </row>
    <row r="9148" spans="27:27" ht="17.899999999999999" customHeight="1">
      <c r="AA9148"/>
    </row>
    <row r="9149" spans="27:27" ht="17.899999999999999" customHeight="1">
      <c r="AA9149"/>
    </row>
    <row r="9150" spans="27:27" ht="17.899999999999999" customHeight="1">
      <c r="AA9150"/>
    </row>
    <row r="9151" spans="27:27" ht="17.899999999999999" customHeight="1">
      <c r="AA9151"/>
    </row>
    <row r="9152" spans="27:27" ht="17.899999999999999" customHeight="1">
      <c r="AA9152"/>
    </row>
    <row r="9153" spans="27:27" ht="17.899999999999999" customHeight="1">
      <c r="AA9153"/>
    </row>
    <row r="9154" spans="27:27" ht="17.899999999999999" customHeight="1">
      <c r="AA9154"/>
    </row>
    <row r="9155" spans="27:27" ht="17.899999999999999" customHeight="1">
      <c r="AA9155"/>
    </row>
    <row r="9156" spans="27:27" ht="17.899999999999999" customHeight="1">
      <c r="AA9156"/>
    </row>
    <row r="9157" spans="27:27" ht="17.899999999999999" customHeight="1">
      <c r="AA9157"/>
    </row>
    <row r="9158" spans="27:27" ht="17.899999999999999" customHeight="1">
      <c r="AA9158"/>
    </row>
    <row r="9159" spans="27:27" ht="17.899999999999999" customHeight="1">
      <c r="AA9159"/>
    </row>
    <row r="9160" spans="27:27" ht="17.899999999999999" customHeight="1">
      <c r="AA9160"/>
    </row>
    <row r="9161" spans="27:27" ht="17.899999999999999" customHeight="1">
      <c r="AA9161"/>
    </row>
    <row r="9162" spans="27:27" ht="17.899999999999999" customHeight="1">
      <c r="AA9162"/>
    </row>
    <row r="9163" spans="27:27" ht="17.899999999999999" customHeight="1">
      <c r="AA9163"/>
    </row>
    <row r="9164" spans="27:27" ht="17.899999999999999" customHeight="1">
      <c r="AA9164"/>
    </row>
    <row r="9165" spans="27:27" ht="17.899999999999999" customHeight="1">
      <c r="AA9165"/>
    </row>
    <row r="9166" spans="27:27" ht="17.899999999999999" customHeight="1">
      <c r="AA9166"/>
    </row>
    <row r="9167" spans="27:27" ht="17.899999999999999" customHeight="1">
      <c r="AA9167"/>
    </row>
    <row r="9168" spans="27:27" ht="17.899999999999999" customHeight="1">
      <c r="AA9168"/>
    </row>
    <row r="9169" spans="27:27" ht="17.899999999999999" customHeight="1">
      <c r="AA9169"/>
    </row>
    <row r="9170" spans="27:27" ht="17.899999999999999" customHeight="1">
      <c r="AA9170"/>
    </row>
    <row r="9171" spans="27:27" ht="17.899999999999999" customHeight="1">
      <c r="AA9171"/>
    </row>
    <row r="9172" spans="27:27" ht="17.899999999999999" customHeight="1">
      <c r="AA9172"/>
    </row>
    <row r="9173" spans="27:27" ht="17.899999999999999" customHeight="1">
      <c r="AA9173"/>
    </row>
    <row r="9174" spans="27:27" ht="17.899999999999999" customHeight="1">
      <c r="AA9174"/>
    </row>
    <row r="9175" spans="27:27" ht="17.899999999999999" customHeight="1">
      <c r="AA9175"/>
    </row>
    <row r="9176" spans="27:27" ht="17.899999999999999" customHeight="1">
      <c r="AA9176"/>
    </row>
    <row r="9177" spans="27:27" ht="17.899999999999999" customHeight="1">
      <c r="AA9177"/>
    </row>
    <row r="9178" spans="27:27" ht="17.899999999999999" customHeight="1">
      <c r="AA9178"/>
    </row>
    <row r="9179" spans="27:27" ht="17.899999999999999" customHeight="1">
      <c r="AA9179"/>
    </row>
    <row r="9180" spans="27:27" ht="17.899999999999999" customHeight="1">
      <c r="AA9180"/>
    </row>
    <row r="9181" spans="27:27" ht="17.899999999999999" customHeight="1">
      <c r="AA9181"/>
    </row>
    <row r="9182" spans="27:27" ht="17.899999999999999" customHeight="1">
      <c r="AA9182"/>
    </row>
    <row r="9183" spans="27:27" ht="17.899999999999999" customHeight="1">
      <c r="AA9183"/>
    </row>
    <row r="9184" spans="27:27" ht="17.899999999999999" customHeight="1">
      <c r="AA9184"/>
    </row>
    <row r="9185" spans="27:27" ht="17.899999999999999" customHeight="1">
      <c r="AA9185"/>
    </row>
    <row r="9186" spans="27:27" ht="17.899999999999999" customHeight="1">
      <c r="AA9186"/>
    </row>
    <row r="9187" spans="27:27" ht="17.899999999999999" customHeight="1">
      <c r="AA9187"/>
    </row>
    <row r="9188" spans="27:27" ht="17.899999999999999" customHeight="1">
      <c r="AA9188"/>
    </row>
    <row r="9189" spans="27:27" ht="17.899999999999999" customHeight="1">
      <c r="AA9189"/>
    </row>
    <row r="9190" spans="27:27" ht="17.899999999999999" customHeight="1">
      <c r="AA9190"/>
    </row>
    <row r="9191" spans="27:27" ht="17.899999999999999" customHeight="1">
      <c r="AA9191"/>
    </row>
    <row r="9192" spans="27:27" ht="17.899999999999999" customHeight="1">
      <c r="AA9192"/>
    </row>
    <row r="9193" spans="27:27" ht="17.899999999999999" customHeight="1">
      <c r="AA9193"/>
    </row>
    <row r="9194" spans="27:27" ht="17.899999999999999" customHeight="1">
      <c r="AA9194"/>
    </row>
    <row r="9195" spans="27:27" ht="17.899999999999999" customHeight="1">
      <c r="AA9195"/>
    </row>
    <row r="9196" spans="27:27" ht="17.899999999999999" customHeight="1">
      <c r="AA9196"/>
    </row>
    <row r="9197" spans="27:27" ht="17.899999999999999" customHeight="1">
      <c r="AA9197"/>
    </row>
    <row r="9198" spans="27:27" ht="17.899999999999999" customHeight="1">
      <c r="AA9198"/>
    </row>
    <row r="9199" spans="27:27" ht="17.899999999999999" customHeight="1">
      <c r="AA9199"/>
    </row>
    <row r="9200" spans="27:27" ht="17.899999999999999" customHeight="1">
      <c r="AA9200"/>
    </row>
    <row r="9201" spans="27:27" ht="17.899999999999999" customHeight="1">
      <c r="AA9201"/>
    </row>
    <row r="9202" spans="27:27" ht="17.899999999999999" customHeight="1">
      <c r="AA9202"/>
    </row>
    <row r="9203" spans="27:27" ht="17.899999999999999" customHeight="1">
      <c r="AA9203"/>
    </row>
    <row r="9204" spans="27:27" ht="17.899999999999999" customHeight="1">
      <c r="AA9204"/>
    </row>
    <row r="9205" spans="27:27" ht="17.899999999999999" customHeight="1">
      <c r="AA9205"/>
    </row>
    <row r="9206" spans="27:27" ht="17.899999999999999" customHeight="1">
      <c r="AA9206"/>
    </row>
    <row r="9207" spans="27:27" ht="17.899999999999999" customHeight="1">
      <c r="AA9207"/>
    </row>
    <row r="9208" spans="27:27" ht="17.899999999999999" customHeight="1">
      <c r="AA9208"/>
    </row>
    <row r="9209" spans="27:27" ht="17.899999999999999" customHeight="1">
      <c r="AA9209"/>
    </row>
    <row r="9210" spans="27:27" ht="17.899999999999999" customHeight="1">
      <c r="AA9210"/>
    </row>
    <row r="9211" spans="27:27" ht="17.899999999999999" customHeight="1">
      <c r="AA9211"/>
    </row>
    <row r="9212" spans="27:27" ht="17.899999999999999" customHeight="1">
      <c r="AA9212"/>
    </row>
    <row r="9213" spans="27:27" ht="17.899999999999999" customHeight="1">
      <c r="AA9213"/>
    </row>
    <row r="9214" spans="27:27" ht="17.899999999999999" customHeight="1">
      <c r="AA9214"/>
    </row>
    <row r="9215" spans="27:27" ht="17.899999999999999" customHeight="1">
      <c r="AA9215"/>
    </row>
    <row r="9216" spans="27:27" ht="17.899999999999999" customHeight="1">
      <c r="AA9216"/>
    </row>
    <row r="9217" spans="27:27" ht="17.899999999999999" customHeight="1">
      <c r="AA9217"/>
    </row>
    <row r="9218" spans="27:27" ht="17.899999999999999" customHeight="1">
      <c r="AA9218"/>
    </row>
    <row r="9219" spans="27:27" ht="17.899999999999999" customHeight="1">
      <c r="AA9219"/>
    </row>
    <row r="9220" spans="27:27" ht="17.899999999999999" customHeight="1">
      <c r="AA9220"/>
    </row>
    <row r="9221" spans="27:27" ht="17.899999999999999" customHeight="1">
      <c r="AA9221"/>
    </row>
    <row r="9222" spans="27:27" ht="17.899999999999999" customHeight="1">
      <c r="AA9222"/>
    </row>
    <row r="9223" spans="27:27" ht="17.899999999999999" customHeight="1">
      <c r="AA9223"/>
    </row>
    <row r="9224" spans="27:27" ht="17.899999999999999" customHeight="1">
      <c r="AA9224"/>
    </row>
    <row r="9225" spans="27:27" ht="17.899999999999999" customHeight="1">
      <c r="AA9225"/>
    </row>
    <row r="9226" spans="27:27" ht="17.899999999999999" customHeight="1">
      <c r="AA9226"/>
    </row>
    <row r="9227" spans="27:27" ht="17.899999999999999" customHeight="1">
      <c r="AA9227"/>
    </row>
    <row r="9228" spans="27:27" ht="17.899999999999999" customHeight="1">
      <c r="AA9228"/>
    </row>
    <row r="9229" spans="27:27" ht="17.899999999999999" customHeight="1">
      <c r="AA9229"/>
    </row>
    <row r="9230" spans="27:27" ht="17.899999999999999" customHeight="1">
      <c r="AA9230"/>
    </row>
    <row r="9231" spans="27:27" ht="17.899999999999999" customHeight="1">
      <c r="AA9231"/>
    </row>
    <row r="9232" spans="27:27" ht="17.899999999999999" customHeight="1">
      <c r="AA9232"/>
    </row>
    <row r="9233" spans="27:27" ht="17.899999999999999" customHeight="1">
      <c r="AA9233"/>
    </row>
    <row r="9234" spans="27:27" ht="17.899999999999999" customHeight="1">
      <c r="AA9234"/>
    </row>
    <row r="9235" spans="27:27" ht="17.899999999999999" customHeight="1">
      <c r="AA9235"/>
    </row>
    <row r="9236" spans="27:27" ht="17.899999999999999" customHeight="1">
      <c r="AA9236"/>
    </row>
    <row r="9237" spans="27:27" ht="17.899999999999999" customHeight="1">
      <c r="AA9237"/>
    </row>
    <row r="9238" spans="27:27" ht="17.899999999999999" customHeight="1">
      <c r="AA9238"/>
    </row>
    <row r="9239" spans="27:27" ht="17.899999999999999" customHeight="1">
      <c r="AA9239"/>
    </row>
    <row r="9240" spans="27:27" ht="17.899999999999999" customHeight="1">
      <c r="AA9240"/>
    </row>
    <row r="9241" spans="27:27" ht="17.899999999999999" customHeight="1">
      <c r="AA9241"/>
    </row>
    <row r="9242" spans="27:27" ht="17.899999999999999" customHeight="1">
      <c r="AA9242"/>
    </row>
    <row r="9243" spans="27:27" ht="17.899999999999999" customHeight="1">
      <c r="AA9243"/>
    </row>
    <row r="9244" spans="27:27" ht="17.899999999999999" customHeight="1">
      <c r="AA9244"/>
    </row>
    <row r="9245" spans="27:27" ht="17.899999999999999" customHeight="1">
      <c r="AA9245"/>
    </row>
    <row r="9246" spans="27:27" ht="17.899999999999999" customHeight="1">
      <c r="AA9246"/>
    </row>
    <row r="9247" spans="27:27" ht="17.899999999999999" customHeight="1">
      <c r="AA9247"/>
    </row>
    <row r="9248" spans="27:27" ht="17.899999999999999" customHeight="1">
      <c r="AA9248"/>
    </row>
    <row r="9249" spans="27:27" ht="17.899999999999999" customHeight="1">
      <c r="AA9249"/>
    </row>
    <row r="9250" spans="27:27" ht="17.899999999999999" customHeight="1">
      <c r="AA9250"/>
    </row>
    <row r="9251" spans="27:27" ht="17.899999999999999" customHeight="1">
      <c r="AA9251"/>
    </row>
    <row r="9252" spans="27:27" ht="17.899999999999999" customHeight="1">
      <c r="AA9252"/>
    </row>
    <row r="9253" spans="27:27" ht="17.899999999999999" customHeight="1">
      <c r="AA9253"/>
    </row>
    <row r="9254" spans="27:27" ht="17.899999999999999" customHeight="1">
      <c r="AA9254"/>
    </row>
    <row r="9255" spans="27:27" ht="17.899999999999999" customHeight="1">
      <c r="AA9255"/>
    </row>
    <row r="9256" spans="27:27" ht="17.899999999999999" customHeight="1">
      <c r="AA9256"/>
    </row>
    <row r="9257" spans="27:27" ht="17.899999999999999" customHeight="1">
      <c r="AA9257"/>
    </row>
    <row r="9258" spans="27:27" ht="17.899999999999999" customHeight="1">
      <c r="AA9258"/>
    </row>
    <row r="9259" spans="27:27" ht="17.899999999999999" customHeight="1">
      <c r="AA9259"/>
    </row>
    <row r="9260" spans="27:27" ht="17.899999999999999" customHeight="1">
      <c r="AA9260"/>
    </row>
    <row r="9261" spans="27:27" ht="17.899999999999999" customHeight="1">
      <c r="AA9261"/>
    </row>
    <row r="9262" spans="27:27" ht="17.899999999999999" customHeight="1">
      <c r="AA9262"/>
    </row>
    <row r="9263" spans="27:27" ht="17.899999999999999" customHeight="1">
      <c r="AA9263"/>
    </row>
    <row r="9264" spans="27:27" ht="17.899999999999999" customHeight="1">
      <c r="AA9264"/>
    </row>
    <row r="9265" spans="27:27" ht="17.899999999999999" customHeight="1">
      <c r="AA9265"/>
    </row>
    <row r="9266" spans="27:27" ht="17.899999999999999" customHeight="1">
      <c r="AA9266"/>
    </row>
    <row r="9267" spans="27:27" ht="17.899999999999999" customHeight="1">
      <c r="AA9267"/>
    </row>
    <row r="9268" spans="27:27" ht="17.899999999999999" customHeight="1">
      <c r="AA9268"/>
    </row>
    <row r="9269" spans="27:27" ht="17.899999999999999" customHeight="1">
      <c r="AA9269"/>
    </row>
    <row r="9270" spans="27:27" ht="17.899999999999999" customHeight="1">
      <c r="AA9270"/>
    </row>
    <row r="9271" spans="27:27" ht="17.899999999999999" customHeight="1">
      <c r="AA9271"/>
    </row>
    <row r="9272" spans="27:27" ht="17.899999999999999" customHeight="1">
      <c r="AA9272"/>
    </row>
    <row r="9273" spans="27:27" ht="17.899999999999999" customHeight="1">
      <c r="AA9273"/>
    </row>
    <row r="9274" spans="27:27" ht="17.899999999999999" customHeight="1">
      <c r="AA9274"/>
    </row>
    <row r="9275" spans="27:27" ht="17.899999999999999" customHeight="1">
      <c r="AA9275"/>
    </row>
    <row r="9276" spans="27:27" ht="17.899999999999999" customHeight="1">
      <c r="AA9276"/>
    </row>
    <row r="9277" spans="27:27" ht="17.899999999999999" customHeight="1">
      <c r="AA9277"/>
    </row>
    <row r="9278" spans="27:27" ht="17.899999999999999" customHeight="1">
      <c r="AA9278"/>
    </row>
    <row r="9279" spans="27:27" ht="17.899999999999999" customHeight="1">
      <c r="AA9279"/>
    </row>
    <row r="9280" spans="27:27" ht="17.899999999999999" customHeight="1">
      <c r="AA9280"/>
    </row>
    <row r="9281" spans="27:27" ht="17.899999999999999" customHeight="1">
      <c r="AA9281"/>
    </row>
    <row r="9282" spans="27:27" ht="17.899999999999999" customHeight="1">
      <c r="AA9282"/>
    </row>
    <row r="9283" spans="27:27" ht="17.899999999999999" customHeight="1">
      <c r="AA9283"/>
    </row>
    <row r="9284" spans="27:27" ht="17.899999999999999" customHeight="1">
      <c r="AA9284"/>
    </row>
    <row r="9285" spans="27:27" ht="17.899999999999999" customHeight="1">
      <c r="AA9285"/>
    </row>
    <row r="9286" spans="27:27" ht="17.899999999999999" customHeight="1">
      <c r="AA9286"/>
    </row>
    <row r="9287" spans="27:27" ht="17.899999999999999" customHeight="1">
      <c r="AA9287"/>
    </row>
    <row r="9288" spans="27:27" ht="17.899999999999999" customHeight="1">
      <c r="AA9288"/>
    </row>
    <row r="9289" spans="27:27" ht="17.899999999999999" customHeight="1">
      <c r="AA9289"/>
    </row>
    <row r="9290" spans="27:27" ht="17.899999999999999" customHeight="1">
      <c r="AA9290"/>
    </row>
    <row r="9291" spans="27:27" ht="17.899999999999999" customHeight="1">
      <c r="AA9291"/>
    </row>
    <row r="9292" spans="27:27" ht="17.899999999999999" customHeight="1">
      <c r="AA9292"/>
    </row>
    <row r="9293" spans="27:27" ht="17.899999999999999" customHeight="1">
      <c r="AA9293"/>
    </row>
    <row r="9294" spans="27:27" ht="17.899999999999999" customHeight="1">
      <c r="AA9294"/>
    </row>
    <row r="9295" spans="27:27" ht="17.899999999999999" customHeight="1">
      <c r="AA9295"/>
    </row>
    <row r="9296" spans="27:27" ht="17.899999999999999" customHeight="1">
      <c r="AA9296"/>
    </row>
    <row r="9297" spans="27:27" ht="17.899999999999999" customHeight="1">
      <c r="AA9297"/>
    </row>
    <row r="9298" spans="27:27" ht="17.899999999999999" customHeight="1">
      <c r="AA9298"/>
    </row>
    <row r="9299" spans="27:27" ht="17.899999999999999" customHeight="1">
      <c r="AA9299"/>
    </row>
    <row r="9300" spans="27:27" ht="17.899999999999999" customHeight="1">
      <c r="AA9300"/>
    </row>
    <row r="9301" spans="27:27" ht="17.899999999999999" customHeight="1">
      <c r="AA9301"/>
    </row>
    <row r="9302" spans="27:27" ht="17.899999999999999" customHeight="1">
      <c r="AA9302"/>
    </row>
    <row r="9303" spans="27:27" ht="17.899999999999999" customHeight="1">
      <c r="AA9303"/>
    </row>
    <row r="9304" spans="27:27" ht="17.899999999999999" customHeight="1">
      <c r="AA9304"/>
    </row>
    <row r="9305" spans="27:27" ht="17.899999999999999" customHeight="1">
      <c r="AA9305"/>
    </row>
    <row r="9306" spans="27:27" ht="17.899999999999999" customHeight="1">
      <c r="AA9306"/>
    </row>
    <row r="9307" spans="27:27" ht="17.899999999999999" customHeight="1">
      <c r="AA9307"/>
    </row>
    <row r="9308" spans="27:27" ht="17.899999999999999" customHeight="1">
      <c r="AA9308"/>
    </row>
    <row r="9309" spans="27:27" ht="17.899999999999999" customHeight="1">
      <c r="AA9309"/>
    </row>
    <row r="9310" spans="27:27" ht="17.899999999999999" customHeight="1">
      <c r="AA9310"/>
    </row>
    <row r="9311" spans="27:27" ht="17.899999999999999" customHeight="1">
      <c r="AA9311"/>
    </row>
    <row r="9312" spans="27:27" ht="17.899999999999999" customHeight="1">
      <c r="AA9312"/>
    </row>
    <row r="9313" spans="27:27" ht="17.899999999999999" customHeight="1">
      <c r="AA9313"/>
    </row>
    <row r="9314" spans="27:27" ht="17.899999999999999" customHeight="1">
      <c r="AA9314"/>
    </row>
    <row r="9315" spans="27:27" ht="17.899999999999999" customHeight="1">
      <c r="AA9315"/>
    </row>
    <row r="9316" spans="27:27" ht="17.899999999999999" customHeight="1">
      <c r="AA9316"/>
    </row>
    <row r="9317" spans="27:27" ht="17.899999999999999" customHeight="1">
      <c r="AA9317"/>
    </row>
    <row r="9318" spans="27:27" ht="17.899999999999999" customHeight="1">
      <c r="AA9318"/>
    </row>
    <row r="9319" spans="27:27" ht="17.899999999999999" customHeight="1">
      <c r="AA9319"/>
    </row>
    <row r="9320" spans="27:27" ht="17.899999999999999" customHeight="1">
      <c r="AA9320"/>
    </row>
    <row r="9321" spans="27:27" ht="17.899999999999999" customHeight="1">
      <c r="AA9321"/>
    </row>
    <row r="9322" spans="27:27" ht="17.899999999999999" customHeight="1">
      <c r="AA9322"/>
    </row>
    <row r="9323" spans="27:27" ht="17.899999999999999" customHeight="1">
      <c r="AA9323"/>
    </row>
    <row r="9324" spans="27:27" ht="17.899999999999999" customHeight="1">
      <c r="AA9324"/>
    </row>
    <row r="9325" spans="27:27" ht="17.899999999999999" customHeight="1">
      <c r="AA9325"/>
    </row>
    <row r="9326" spans="27:27" ht="17.899999999999999" customHeight="1">
      <c r="AA9326"/>
    </row>
    <row r="9327" spans="27:27" ht="17.899999999999999" customHeight="1">
      <c r="AA9327"/>
    </row>
    <row r="9328" spans="27:27" ht="17.899999999999999" customHeight="1">
      <c r="AA9328"/>
    </row>
    <row r="9329" spans="27:27" ht="17.899999999999999" customHeight="1">
      <c r="AA9329"/>
    </row>
    <row r="9330" spans="27:27" ht="17.899999999999999" customHeight="1">
      <c r="AA9330"/>
    </row>
    <row r="9331" spans="27:27" ht="17.899999999999999" customHeight="1">
      <c r="AA9331"/>
    </row>
    <row r="9332" spans="27:27" ht="17.899999999999999" customHeight="1">
      <c r="AA9332"/>
    </row>
    <row r="9333" spans="27:27" ht="17.899999999999999" customHeight="1">
      <c r="AA9333"/>
    </row>
    <row r="9334" spans="27:27" ht="17.899999999999999" customHeight="1">
      <c r="AA9334"/>
    </row>
    <row r="9335" spans="27:27" ht="17.899999999999999" customHeight="1">
      <c r="AA9335"/>
    </row>
    <row r="9336" spans="27:27" ht="17.899999999999999" customHeight="1">
      <c r="AA9336"/>
    </row>
    <row r="9337" spans="27:27" ht="17.899999999999999" customHeight="1">
      <c r="AA9337"/>
    </row>
    <row r="9338" spans="27:27" ht="17.899999999999999" customHeight="1">
      <c r="AA9338"/>
    </row>
    <row r="9339" spans="27:27" ht="17.899999999999999" customHeight="1">
      <c r="AA9339"/>
    </row>
    <row r="9340" spans="27:27" ht="17.899999999999999" customHeight="1">
      <c r="AA9340"/>
    </row>
    <row r="9341" spans="27:27" ht="17.899999999999999" customHeight="1">
      <c r="AA9341"/>
    </row>
    <row r="9342" spans="27:27" ht="17.899999999999999" customHeight="1">
      <c r="AA9342"/>
    </row>
    <row r="9343" spans="27:27" ht="17.899999999999999" customHeight="1">
      <c r="AA9343"/>
    </row>
    <row r="9344" spans="27:27" ht="17.899999999999999" customHeight="1">
      <c r="AA9344"/>
    </row>
    <row r="9345" spans="27:27" ht="17.899999999999999" customHeight="1">
      <c r="AA9345"/>
    </row>
    <row r="9346" spans="27:27" ht="17.899999999999999" customHeight="1">
      <c r="AA9346"/>
    </row>
    <row r="9347" spans="27:27" ht="17.899999999999999" customHeight="1">
      <c r="AA9347"/>
    </row>
    <row r="9348" spans="27:27" ht="17.899999999999999" customHeight="1">
      <c r="AA9348"/>
    </row>
    <row r="9349" spans="27:27" ht="17.899999999999999" customHeight="1">
      <c r="AA9349"/>
    </row>
    <row r="9350" spans="27:27" ht="17.899999999999999" customHeight="1">
      <c r="AA9350"/>
    </row>
    <row r="9351" spans="27:27" ht="17.899999999999999" customHeight="1">
      <c r="AA9351"/>
    </row>
    <row r="9352" spans="27:27" ht="17.899999999999999" customHeight="1">
      <c r="AA9352"/>
    </row>
    <row r="9353" spans="27:27" ht="17.899999999999999" customHeight="1">
      <c r="AA9353"/>
    </row>
    <row r="9354" spans="27:27" ht="17.899999999999999" customHeight="1">
      <c r="AA9354"/>
    </row>
    <row r="9355" spans="27:27" ht="17.899999999999999" customHeight="1">
      <c r="AA9355"/>
    </row>
    <row r="9356" spans="27:27" ht="17.899999999999999" customHeight="1">
      <c r="AA9356"/>
    </row>
    <row r="9357" spans="27:27" ht="17.899999999999999" customHeight="1">
      <c r="AA9357"/>
    </row>
    <row r="9358" spans="27:27" ht="17.899999999999999" customHeight="1">
      <c r="AA9358"/>
    </row>
    <row r="9359" spans="27:27" ht="17.899999999999999" customHeight="1">
      <c r="AA9359"/>
    </row>
    <row r="9360" spans="27:27" ht="17.899999999999999" customHeight="1">
      <c r="AA9360"/>
    </row>
    <row r="9361" spans="27:27" ht="17.899999999999999" customHeight="1">
      <c r="AA9361"/>
    </row>
    <row r="9362" spans="27:27" ht="17.899999999999999" customHeight="1">
      <c r="AA9362"/>
    </row>
    <row r="9363" spans="27:27" ht="17.899999999999999" customHeight="1">
      <c r="AA9363"/>
    </row>
    <row r="9364" spans="27:27" ht="17.899999999999999" customHeight="1">
      <c r="AA9364"/>
    </row>
    <row r="9365" spans="27:27" ht="17.899999999999999" customHeight="1">
      <c r="AA9365"/>
    </row>
    <row r="9366" spans="27:27" ht="17.899999999999999" customHeight="1">
      <c r="AA9366"/>
    </row>
    <row r="9367" spans="27:27" ht="17.899999999999999" customHeight="1">
      <c r="AA9367"/>
    </row>
    <row r="9368" spans="27:27" ht="17.899999999999999" customHeight="1">
      <c r="AA9368"/>
    </row>
    <row r="9369" spans="27:27" ht="17.899999999999999" customHeight="1">
      <c r="AA9369"/>
    </row>
    <row r="9370" spans="27:27" ht="17.899999999999999" customHeight="1">
      <c r="AA9370"/>
    </row>
    <row r="9371" spans="27:27" ht="17.899999999999999" customHeight="1">
      <c r="AA9371"/>
    </row>
    <row r="9372" spans="27:27" ht="17.899999999999999" customHeight="1">
      <c r="AA9372"/>
    </row>
    <row r="9373" spans="27:27" ht="17.899999999999999" customHeight="1">
      <c r="AA9373"/>
    </row>
    <row r="9374" spans="27:27" ht="17.899999999999999" customHeight="1">
      <c r="AA9374"/>
    </row>
    <row r="9375" spans="27:27" ht="17.899999999999999" customHeight="1">
      <c r="AA9375"/>
    </row>
    <row r="9376" spans="27:27" ht="17.899999999999999" customHeight="1">
      <c r="AA9376"/>
    </row>
    <row r="9377" spans="27:27" ht="17.899999999999999" customHeight="1">
      <c r="AA9377"/>
    </row>
    <row r="9378" spans="27:27" ht="17.899999999999999" customHeight="1">
      <c r="AA9378"/>
    </row>
    <row r="9379" spans="27:27" ht="17.899999999999999" customHeight="1">
      <c r="AA9379"/>
    </row>
    <row r="9380" spans="27:27" ht="17.899999999999999" customHeight="1">
      <c r="AA9380"/>
    </row>
    <row r="9381" spans="27:27" ht="17.899999999999999" customHeight="1">
      <c r="AA9381"/>
    </row>
    <row r="9382" spans="27:27" ht="17.899999999999999" customHeight="1">
      <c r="AA9382"/>
    </row>
    <row r="9383" spans="27:27" ht="17.899999999999999" customHeight="1">
      <c r="AA9383"/>
    </row>
    <row r="9384" spans="27:27" ht="17.899999999999999" customHeight="1">
      <c r="AA9384"/>
    </row>
    <row r="9385" spans="27:27" ht="17.899999999999999" customHeight="1">
      <c r="AA9385"/>
    </row>
    <row r="9386" spans="27:27" ht="17.899999999999999" customHeight="1">
      <c r="AA9386"/>
    </row>
    <row r="9387" spans="27:27" ht="17.899999999999999" customHeight="1">
      <c r="AA9387"/>
    </row>
    <row r="9388" spans="27:27" ht="17.899999999999999" customHeight="1">
      <c r="AA9388"/>
    </row>
    <row r="9389" spans="27:27" ht="17.899999999999999" customHeight="1">
      <c r="AA9389"/>
    </row>
    <row r="9390" spans="27:27" ht="17.899999999999999" customHeight="1">
      <c r="AA9390"/>
    </row>
    <row r="9391" spans="27:27" ht="17.899999999999999" customHeight="1">
      <c r="AA9391"/>
    </row>
    <row r="9392" spans="27:27" ht="17.899999999999999" customHeight="1">
      <c r="AA9392"/>
    </row>
    <row r="9393" spans="27:27" ht="17.899999999999999" customHeight="1">
      <c r="AA9393"/>
    </row>
    <row r="9394" spans="27:27" ht="17.899999999999999" customHeight="1">
      <c r="AA9394"/>
    </row>
    <row r="9395" spans="27:27" ht="17.899999999999999" customHeight="1">
      <c r="AA9395"/>
    </row>
    <row r="9396" spans="27:27" ht="17.899999999999999" customHeight="1">
      <c r="AA9396"/>
    </row>
    <row r="9397" spans="27:27" ht="17.899999999999999" customHeight="1">
      <c r="AA9397"/>
    </row>
    <row r="9398" spans="27:27" ht="17.899999999999999" customHeight="1">
      <c r="AA9398"/>
    </row>
    <row r="9399" spans="27:27" ht="17.899999999999999" customHeight="1">
      <c r="AA9399"/>
    </row>
    <row r="9400" spans="27:27" ht="17.899999999999999" customHeight="1">
      <c r="AA9400"/>
    </row>
    <row r="9401" spans="27:27" ht="17.899999999999999" customHeight="1">
      <c r="AA9401"/>
    </row>
    <row r="9402" spans="27:27" ht="17.899999999999999" customHeight="1">
      <c r="AA9402"/>
    </row>
    <row r="9403" spans="27:27" ht="17.899999999999999" customHeight="1">
      <c r="AA9403"/>
    </row>
    <row r="9404" spans="27:27" ht="17.899999999999999" customHeight="1">
      <c r="AA9404"/>
    </row>
    <row r="9405" spans="27:27" ht="17.899999999999999" customHeight="1">
      <c r="AA9405"/>
    </row>
    <row r="9406" spans="27:27" ht="17.899999999999999" customHeight="1">
      <c r="AA9406"/>
    </row>
    <row r="9407" spans="27:27" ht="17.899999999999999" customHeight="1">
      <c r="AA9407"/>
    </row>
    <row r="9408" spans="27:27" ht="17.899999999999999" customHeight="1">
      <c r="AA9408"/>
    </row>
    <row r="9409" spans="27:27" ht="17.899999999999999" customHeight="1">
      <c r="AA9409"/>
    </row>
    <row r="9410" spans="27:27" ht="17.899999999999999" customHeight="1">
      <c r="AA9410"/>
    </row>
    <row r="9411" spans="27:27" ht="17.899999999999999" customHeight="1">
      <c r="AA9411"/>
    </row>
    <row r="9412" spans="27:27" ht="17.899999999999999" customHeight="1">
      <c r="AA9412"/>
    </row>
    <row r="9413" spans="27:27" ht="17.899999999999999" customHeight="1">
      <c r="AA9413"/>
    </row>
    <row r="9414" spans="27:27" ht="17.899999999999999" customHeight="1">
      <c r="AA9414"/>
    </row>
    <row r="9415" spans="27:27" ht="17.899999999999999" customHeight="1">
      <c r="AA9415"/>
    </row>
    <row r="9416" spans="27:27" ht="17.899999999999999" customHeight="1">
      <c r="AA9416"/>
    </row>
    <row r="9417" spans="27:27" ht="17.899999999999999" customHeight="1">
      <c r="AA9417"/>
    </row>
    <row r="9418" spans="27:27" ht="17.899999999999999" customHeight="1">
      <c r="AA9418"/>
    </row>
    <row r="9419" spans="27:27" ht="17.899999999999999" customHeight="1">
      <c r="AA9419"/>
    </row>
    <row r="9420" spans="27:27" ht="17.899999999999999" customHeight="1">
      <c r="AA9420"/>
    </row>
    <row r="9421" spans="27:27" ht="17.899999999999999" customHeight="1">
      <c r="AA9421"/>
    </row>
    <row r="9422" spans="27:27" ht="17.899999999999999" customHeight="1">
      <c r="AA9422"/>
    </row>
    <row r="9423" spans="27:27" ht="17.899999999999999" customHeight="1">
      <c r="AA9423"/>
    </row>
    <row r="9424" spans="27:27" ht="17.899999999999999" customHeight="1">
      <c r="AA9424"/>
    </row>
    <row r="9425" spans="27:27" ht="17.899999999999999" customHeight="1">
      <c r="AA9425"/>
    </row>
    <row r="9426" spans="27:27" ht="17.899999999999999" customHeight="1">
      <c r="AA9426"/>
    </row>
    <row r="9427" spans="27:27" ht="17.899999999999999" customHeight="1">
      <c r="AA9427"/>
    </row>
    <row r="9428" spans="27:27" ht="17.899999999999999" customHeight="1">
      <c r="AA9428"/>
    </row>
    <row r="9429" spans="27:27" ht="17.899999999999999" customHeight="1">
      <c r="AA9429"/>
    </row>
    <row r="9430" spans="27:27" ht="17.899999999999999" customHeight="1">
      <c r="AA9430"/>
    </row>
    <row r="9431" spans="27:27" ht="17.899999999999999" customHeight="1">
      <c r="AA9431"/>
    </row>
    <row r="9432" spans="27:27" ht="17.899999999999999" customHeight="1">
      <c r="AA9432"/>
    </row>
    <row r="9433" spans="27:27" ht="17.899999999999999" customHeight="1">
      <c r="AA9433"/>
    </row>
    <row r="9434" spans="27:27" ht="17.899999999999999" customHeight="1">
      <c r="AA9434"/>
    </row>
    <row r="9435" spans="27:27" ht="17.899999999999999" customHeight="1">
      <c r="AA9435"/>
    </row>
    <row r="9436" spans="27:27" ht="17.899999999999999" customHeight="1">
      <c r="AA9436"/>
    </row>
    <row r="9437" spans="27:27" ht="17.899999999999999" customHeight="1">
      <c r="AA9437"/>
    </row>
    <row r="9438" spans="27:27" ht="17.899999999999999" customHeight="1">
      <c r="AA9438"/>
    </row>
    <row r="9439" spans="27:27" ht="17.899999999999999" customHeight="1">
      <c r="AA9439"/>
    </row>
    <row r="9440" spans="27:27" ht="17.899999999999999" customHeight="1">
      <c r="AA9440"/>
    </row>
    <row r="9441" spans="27:27" ht="17.899999999999999" customHeight="1">
      <c r="AA9441"/>
    </row>
    <row r="9442" spans="27:27" ht="17.899999999999999" customHeight="1">
      <c r="AA9442"/>
    </row>
    <row r="9443" spans="27:27" ht="17.899999999999999" customHeight="1">
      <c r="AA9443"/>
    </row>
    <row r="9444" spans="27:27" ht="17.899999999999999" customHeight="1">
      <c r="AA9444"/>
    </row>
    <row r="9445" spans="27:27" ht="17.899999999999999" customHeight="1">
      <c r="AA9445"/>
    </row>
    <row r="9446" spans="27:27" ht="17.899999999999999" customHeight="1">
      <c r="AA9446"/>
    </row>
    <row r="9447" spans="27:27" ht="17.899999999999999" customHeight="1">
      <c r="AA9447"/>
    </row>
    <row r="9448" spans="27:27" ht="17.899999999999999" customHeight="1">
      <c r="AA9448"/>
    </row>
    <row r="9449" spans="27:27" ht="17.899999999999999" customHeight="1">
      <c r="AA9449"/>
    </row>
    <row r="9450" spans="27:27" ht="17.899999999999999" customHeight="1">
      <c r="AA9450"/>
    </row>
    <row r="9451" spans="27:27" ht="17.899999999999999" customHeight="1">
      <c r="AA9451"/>
    </row>
    <row r="9452" spans="27:27" ht="17.899999999999999" customHeight="1">
      <c r="AA9452"/>
    </row>
    <row r="9453" spans="27:27" ht="17.899999999999999" customHeight="1">
      <c r="AA9453"/>
    </row>
    <row r="9454" spans="27:27" ht="17.899999999999999" customHeight="1">
      <c r="AA9454"/>
    </row>
    <row r="9455" spans="27:27" ht="17.899999999999999" customHeight="1">
      <c r="AA9455"/>
    </row>
    <row r="9456" spans="27:27" ht="17.899999999999999" customHeight="1">
      <c r="AA9456"/>
    </row>
    <row r="9457" spans="27:27" ht="17.899999999999999" customHeight="1">
      <c r="AA9457"/>
    </row>
    <row r="9458" spans="27:27" ht="17.899999999999999" customHeight="1">
      <c r="AA9458"/>
    </row>
    <row r="9459" spans="27:27" ht="17.899999999999999" customHeight="1">
      <c r="AA9459"/>
    </row>
    <row r="9460" spans="27:27" ht="17.899999999999999" customHeight="1">
      <c r="AA9460"/>
    </row>
    <row r="9461" spans="27:27" ht="17.899999999999999" customHeight="1">
      <c r="AA9461"/>
    </row>
    <row r="9462" spans="27:27" ht="17.899999999999999" customHeight="1">
      <c r="AA9462"/>
    </row>
    <row r="9463" spans="27:27" ht="17.899999999999999" customHeight="1">
      <c r="AA9463"/>
    </row>
    <row r="9464" spans="27:27" ht="17.899999999999999" customHeight="1">
      <c r="AA9464"/>
    </row>
    <row r="9465" spans="27:27" ht="17.899999999999999" customHeight="1">
      <c r="AA9465"/>
    </row>
    <row r="9466" spans="27:27" ht="17.899999999999999" customHeight="1">
      <c r="AA9466"/>
    </row>
    <row r="9467" spans="27:27" ht="17.899999999999999" customHeight="1">
      <c r="AA9467"/>
    </row>
    <row r="9468" spans="27:27" ht="17.899999999999999" customHeight="1">
      <c r="AA9468"/>
    </row>
    <row r="9469" spans="27:27" ht="17.899999999999999" customHeight="1">
      <c r="AA9469"/>
    </row>
    <row r="9470" spans="27:27" ht="17.899999999999999" customHeight="1">
      <c r="AA9470"/>
    </row>
    <row r="9471" spans="27:27" ht="17.899999999999999" customHeight="1">
      <c r="AA9471"/>
    </row>
    <row r="9472" spans="27:27" ht="17.899999999999999" customHeight="1">
      <c r="AA9472"/>
    </row>
    <row r="9473" spans="27:27" ht="17.899999999999999" customHeight="1">
      <c r="AA9473"/>
    </row>
    <row r="9474" spans="27:27" ht="17.899999999999999" customHeight="1">
      <c r="AA9474"/>
    </row>
    <row r="9475" spans="27:27" ht="17.899999999999999" customHeight="1">
      <c r="AA9475"/>
    </row>
    <row r="9476" spans="27:27" ht="17.899999999999999" customHeight="1">
      <c r="AA9476"/>
    </row>
    <row r="9477" spans="27:27" ht="17.899999999999999" customHeight="1">
      <c r="AA9477"/>
    </row>
    <row r="9478" spans="27:27" ht="17.899999999999999" customHeight="1">
      <c r="AA9478"/>
    </row>
    <row r="9479" spans="27:27" ht="17.899999999999999" customHeight="1">
      <c r="AA9479"/>
    </row>
    <row r="9480" spans="27:27" ht="17.899999999999999" customHeight="1">
      <c r="AA9480"/>
    </row>
    <row r="9481" spans="27:27" ht="17.899999999999999" customHeight="1">
      <c r="AA9481"/>
    </row>
    <row r="9482" spans="27:27" ht="17.899999999999999" customHeight="1">
      <c r="AA9482"/>
    </row>
    <row r="9483" spans="27:27" ht="17.899999999999999" customHeight="1">
      <c r="AA9483"/>
    </row>
    <row r="9484" spans="27:27" ht="17.899999999999999" customHeight="1">
      <c r="AA9484"/>
    </row>
    <row r="9485" spans="27:27" ht="17.899999999999999" customHeight="1">
      <c r="AA9485"/>
    </row>
    <row r="9486" spans="27:27" ht="17.899999999999999" customHeight="1">
      <c r="AA9486"/>
    </row>
    <row r="9487" spans="27:27" ht="17.899999999999999" customHeight="1">
      <c r="AA9487"/>
    </row>
    <row r="9488" spans="27:27" ht="17.899999999999999" customHeight="1">
      <c r="AA9488"/>
    </row>
    <row r="9489" spans="27:27" ht="17.899999999999999" customHeight="1">
      <c r="AA9489"/>
    </row>
    <row r="9490" spans="27:27" ht="17.899999999999999" customHeight="1">
      <c r="AA9490"/>
    </row>
    <row r="9491" spans="27:27" ht="17.899999999999999" customHeight="1">
      <c r="AA9491"/>
    </row>
    <row r="9492" spans="27:27" ht="17.899999999999999" customHeight="1">
      <c r="AA9492"/>
    </row>
    <row r="9493" spans="27:27" ht="17.899999999999999" customHeight="1">
      <c r="AA9493"/>
    </row>
    <row r="9494" spans="27:27" ht="17.899999999999999" customHeight="1">
      <c r="AA9494"/>
    </row>
    <row r="9495" spans="27:27" ht="17.899999999999999" customHeight="1">
      <c r="AA9495"/>
    </row>
    <row r="9496" spans="27:27" ht="17.899999999999999" customHeight="1">
      <c r="AA9496"/>
    </row>
    <row r="9497" spans="27:27" ht="17.899999999999999" customHeight="1">
      <c r="AA9497"/>
    </row>
    <row r="9498" spans="27:27" ht="17.899999999999999" customHeight="1">
      <c r="AA9498"/>
    </row>
    <row r="9499" spans="27:27" ht="17.899999999999999" customHeight="1">
      <c r="AA9499"/>
    </row>
    <row r="9500" spans="27:27" ht="17.899999999999999" customHeight="1">
      <c r="AA9500"/>
    </row>
    <row r="9501" spans="27:27" ht="17.899999999999999" customHeight="1">
      <c r="AA9501"/>
    </row>
    <row r="9502" spans="27:27" ht="17.899999999999999" customHeight="1">
      <c r="AA9502"/>
    </row>
    <row r="9503" spans="27:27" ht="17.899999999999999" customHeight="1">
      <c r="AA9503"/>
    </row>
    <row r="9504" spans="27:27" ht="17.899999999999999" customHeight="1">
      <c r="AA9504"/>
    </row>
    <row r="9505" spans="27:27" ht="17.899999999999999" customHeight="1">
      <c r="AA9505"/>
    </row>
    <row r="9506" spans="27:27" ht="17.899999999999999" customHeight="1">
      <c r="AA9506"/>
    </row>
    <row r="9507" spans="27:27" ht="17.899999999999999" customHeight="1">
      <c r="AA9507"/>
    </row>
    <row r="9508" spans="27:27" ht="17.899999999999999" customHeight="1">
      <c r="AA9508"/>
    </row>
    <row r="9509" spans="27:27" ht="17.899999999999999" customHeight="1">
      <c r="AA9509"/>
    </row>
    <row r="9510" spans="27:27" ht="17.899999999999999" customHeight="1">
      <c r="AA9510"/>
    </row>
    <row r="9511" spans="27:27" ht="17.899999999999999" customHeight="1">
      <c r="AA9511"/>
    </row>
    <row r="9512" spans="27:27" ht="17.899999999999999" customHeight="1">
      <c r="AA9512"/>
    </row>
    <row r="9513" spans="27:27" ht="17.899999999999999" customHeight="1">
      <c r="AA9513"/>
    </row>
    <row r="9514" spans="27:27" ht="17.899999999999999" customHeight="1">
      <c r="AA9514"/>
    </row>
    <row r="9515" spans="27:27" ht="17.899999999999999" customHeight="1">
      <c r="AA9515"/>
    </row>
    <row r="9516" spans="27:27" ht="17.899999999999999" customHeight="1">
      <c r="AA9516"/>
    </row>
    <row r="9517" spans="27:27" ht="17.899999999999999" customHeight="1">
      <c r="AA9517"/>
    </row>
    <row r="9518" spans="27:27" ht="17.899999999999999" customHeight="1">
      <c r="AA9518"/>
    </row>
    <row r="9519" spans="27:27" ht="17.899999999999999" customHeight="1">
      <c r="AA9519"/>
    </row>
    <row r="9520" spans="27:27" ht="17.899999999999999" customHeight="1">
      <c r="AA9520"/>
    </row>
    <row r="9521" spans="27:27" ht="17.899999999999999" customHeight="1">
      <c r="AA9521"/>
    </row>
    <row r="9522" spans="27:27" ht="17.899999999999999" customHeight="1">
      <c r="AA9522"/>
    </row>
    <row r="9523" spans="27:27" ht="17.899999999999999" customHeight="1">
      <c r="AA9523"/>
    </row>
    <row r="9524" spans="27:27" ht="17.899999999999999" customHeight="1">
      <c r="AA9524"/>
    </row>
    <row r="9525" spans="27:27" ht="17.899999999999999" customHeight="1">
      <c r="AA9525"/>
    </row>
    <row r="9526" spans="27:27" ht="17.899999999999999" customHeight="1">
      <c r="AA9526"/>
    </row>
    <row r="9527" spans="27:27" ht="17.899999999999999" customHeight="1">
      <c r="AA9527"/>
    </row>
    <row r="9528" spans="27:27" ht="17.899999999999999" customHeight="1">
      <c r="AA9528"/>
    </row>
    <row r="9529" spans="27:27" ht="17.899999999999999" customHeight="1">
      <c r="AA9529"/>
    </row>
    <row r="9530" spans="27:27" ht="17.899999999999999" customHeight="1">
      <c r="AA9530"/>
    </row>
    <row r="9531" spans="27:27" ht="17.899999999999999" customHeight="1">
      <c r="AA9531"/>
    </row>
    <row r="9532" spans="27:27" ht="17.899999999999999" customHeight="1">
      <c r="AA9532"/>
    </row>
    <row r="9533" spans="27:27" ht="17.899999999999999" customHeight="1">
      <c r="AA9533"/>
    </row>
    <row r="9534" spans="27:27" ht="17.899999999999999" customHeight="1">
      <c r="AA9534"/>
    </row>
    <row r="9535" spans="27:27" ht="17.899999999999999" customHeight="1">
      <c r="AA9535"/>
    </row>
    <row r="9536" spans="27:27" ht="17.899999999999999" customHeight="1">
      <c r="AA9536"/>
    </row>
    <row r="9537" spans="27:27" ht="17.899999999999999" customHeight="1">
      <c r="AA9537"/>
    </row>
    <row r="9538" spans="27:27" ht="17.899999999999999" customHeight="1">
      <c r="AA9538"/>
    </row>
    <row r="9539" spans="27:27" ht="17.899999999999999" customHeight="1">
      <c r="AA9539"/>
    </row>
    <row r="9540" spans="27:27" ht="17.899999999999999" customHeight="1">
      <c r="AA9540"/>
    </row>
    <row r="9541" spans="27:27" ht="17.899999999999999" customHeight="1">
      <c r="AA9541"/>
    </row>
    <row r="9542" spans="27:27" ht="17.899999999999999" customHeight="1">
      <c r="AA9542"/>
    </row>
    <row r="9543" spans="27:27" ht="17.899999999999999" customHeight="1">
      <c r="AA9543"/>
    </row>
    <row r="9544" spans="27:27" ht="17.899999999999999" customHeight="1">
      <c r="AA9544"/>
    </row>
    <row r="9545" spans="27:27" ht="17.899999999999999" customHeight="1">
      <c r="AA9545"/>
    </row>
    <row r="9546" spans="27:27" ht="17.899999999999999" customHeight="1">
      <c r="AA9546"/>
    </row>
    <row r="9547" spans="27:27" ht="17.899999999999999" customHeight="1">
      <c r="AA9547"/>
    </row>
    <row r="9548" spans="27:27" ht="17.899999999999999" customHeight="1">
      <c r="AA9548"/>
    </row>
    <row r="9549" spans="27:27" ht="17.899999999999999" customHeight="1">
      <c r="AA9549"/>
    </row>
    <row r="9550" spans="27:27" ht="17.899999999999999" customHeight="1">
      <c r="AA9550"/>
    </row>
    <row r="9551" spans="27:27" ht="17.899999999999999" customHeight="1">
      <c r="AA9551"/>
    </row>
    <row r="9552" spans="27:27" ht="17.899999999999999" customHeight="1">
      <c r="AA9552"/>
    </row>
    <row r="9553" spans="27:27" ht="17.899999999999999" customHeight="1">
      <c r="AA9553"/>
    </row>
    <row r="9554" spans="27:27" ht="17.899999999999999" customHeight="1">
      <c r="AA9554"/>
    </row>
    <row r="9555" spans="27:27" ht="17.899999999999999" customHeight="1">
      <c r="AA9555"/>
    </row>
    <row r="9556" spans="27:27" ht="17.899999999999999" customHeight="1">
      <c r="AA9556"/>
    </row>
    <row r="9557" spans="27:27" ht="17.899999999999999" customHeight="1">
      <c r="AA9557"/>
    </row>
    <row r="9558" spans="27:27" ht="17.899999999999999" customHeight="1">
      <c r="AA9558"/>
    </row>
    <row r="9559" spans="27:27" ht="17.899999999999999" customHeight="1">
      <c r="AA9559"/>
    </row>
    <row r="9560" spans="27:27" ht="17.899999999999999" customHeight="1">
      <c r="AA9560"/>
    </row>
    <row r="9561" spans="27:27" ht="17.899999999999999" customHeight="1">
      <c r="AA9561"/>
    </row>
    <row r="9562" spans="27:27" ht="17.899999999999999" customHeight="1">
      <c r="AA9562"/>
    </row>
    <row r="9563" spans="27:27" ht="17.899999999999999" customHeight="1">
      <c r="AA9563"/>
    </row>
    <row r="9564" spans="27:27" ht="17.899999999999999" customHeight="1">
      <c r="AA9564"/>
    </row>
    <row r="9565" spans="27:27" ht="17.899999999999999" customHeight="1">
      <c r="AA9565"/>
    </row>
    <row r="9566" spans="27:27" ht="17.899999999999999" customHeight="1">
      <c r="AA9566"/>
    </row>
    <row r="9567" spans="27:27" ht="17.899999999999999" customHeight="1">
      <c r="AA9567"/>
    </row>
    <row r="9568" spans="27:27" ht="17.899999999999999" customHeight="1">
      <c r="AA9568"/>
    </row>
    <row r="9569" spans="27:27" ht="17.899999999999999" customHeight="1">
      <c r="AA9569"/>
    </row>
    <row r="9570" spans="27:27" ht="17.899999999999999" customHeight="1">
      <c r="AA9570"/>
    </row>
    <row r="9571" spans="27:27" ht="17.899999999999999" customHeight="1">
      <c r="AA9571"/>
    </row>
    <row r="9572" spans="27:27" ht="17.899999999999999" customHeight="1">
      <c r="AA9572"/>
    </row>
    <row r="9573" spans="27:27" ht="17.899999999999999" customHeight="1">
      <c r="AA9573"/>
    </row>
    <row r="9574" spans="27:27" ht="17.899999999999999" customHeight="1">
      <c r="AA9574"/>
    </row>
    <row r="9575" spans="27:27" ht="17.899999999999999" customHeight="1">
      <c r="AA9575"/>
    </row>
    <row r="9576" spans="27:27" ht="17.899999999999999" customHeight="1">
      <c r="AA9576"/>
    </row>
    <row r="9577" spans="27:27" ht="17.899999999999999" customHeight="1">
      <c r="AA9577"/>
    </row>
    <row r="9578" spans="27:27" ht="17.899999999999999" customHeight="1">
      <c r="AA9578"/>
    </row>
    <row r="9579" spans="27:27" ht="17.899999999999999" customHeight="1">
      <c r="AA9579"/>
    </row>
    <row r="9580" spans="27:27" ht="17.899999999999999" customHeight="1">
      <c r="AA9580"/>
    </row>
    <row r="9581" spans="27:27" ht="17.899999999999999" customHeight="1">
      <c r="AA9581"/>
    </row>
    <row r="9582" spans="27:27" ht="17.899999999999999" customHeight="1">
      <c r="AA9582"/>
    </row>
    <row r="9583" spans="27:27" ht="17.899999999999999" customHeight="1">
      <c r="AA9583"/>
    </row>
    <row r="9584" spans="27:27" ht="17.899999999999999" customHeight="1">
      <c r="AA9584"/>
    </row>
    <row r="9585" spans="27:27" ht="17.899999999999999" customHeight="1">
      <c r="AA9585"/>
    </row>
    <row r="9586" spans="27:27" ht="17.899999999999999" customHeight="1">
      <c r="AA9586"/>
    </row>
    <row r="9587" spans="27:27" ht="17.899999999999999" customHeight="1">
      <c r="AA9587"/>
    </row>
    <row r="9588" spans="27:27" ht="17.899999999999999" customHeight="1">
      <c r="AA9588"/>
    </row>
    <row r="9589" spans="27:27" ht="17.899999999999999" customHeight="1">
      <c r="AA9589"/>
    </row>
    <row r="9590" spans="27:27" ht="17.899999999999999" customHeight="1">
      <c r="AA9590"/>
    </row>
    <row r="9591" spans="27:27" ht="17.899999999999999" customHeight="1">
      <c r="AA9591"/>
    </row>
    <row r="9592" spans="27:27" ht="17.899999999999999" customHeight="1">
      <c r="AA9592"/>
    </row>
    <row r="9593" spans="27:27" ht="17.899999999999999" customHeight="1">
      <c r="AA9593"/>
    </row>
    <row r="9594" spans="27:27" ht="17.899999999999999" customHeight="1">
      <c r="AA9594"/>
    </row>
    <row r="9595" spans="27:27" ht="17.899999999999999" customHeight="1">
      <c r="AA9595"/>
    </row>
    <row r="9596" spans="27:27" ht="17.899999999999999" customHeight="1">
      <c r="AA9596"/>
    </row>
    <row r="9597" spans="27:27" ht="17.899999999999999" customHeight="1">
      <c r="AA9597"/>
    </row>
    <row r="9598" spans="27:27" ht="17.899999999999999" customHeight="1">
      <c r="AA9598"/>
    </row>
    <row r="9599" spans="27:27" ht="17.899999999999999" customHeight="1">
      <c r="AA9599"/>
    </row>
    <row r="9600" spans="27:27" ht="17.899999999999999" customHeight="1">
      <c r="AA9600"/>
    </row>
    <row r="9601" spans="27:27" ht="17.899999999999999" customHeight="1">
      <c r="AA9601"/>
    </row>
    <row r="9602" spans="27:27" ht="17.899999999999999" customHeight="1">
      <c r="AA9602"/>
    </row>
    <row r="9603" spans="27:27" ht="17.899999999999999" customHeight="1">
      <c r="AA9603"/>
    </row>
    <row r="9604" spans="27:27" ht="17.899999999999999" customHeight="1">
      <c r="AA9604"/>
    </row>
    <row r="9605" spans="27:27" ht="17.899999999999999" customHeight="1">
      <c r="AA9605"/>
    </row>
    <row r="9606" spans="27:27" ht="17.899999999999999" customHeight="1">
      <c r="AA9606"/>
    </row>
    <row r="9607" spans="27:27" ht="17.899999999999999" customHeight="1">
      <c r="AA9607"/>
    </row>
    <row r="9608" spans="27:27" ht="17.899999999999999" customHeight="1">
      <c r="AA9608"/>
    </row>
    <row r="9609" spans="27:27" ht="17.899999999999999" customHeight="1">
      <c r="AA9609"/>
    </row>
    <row r="9610" spans="27:27" ht="17.899999999999999" customHeight="1">
      <c r="AA9610"/>
    </row>
    <row r="9611" spans="27:27" ht="17.899999999999999" customHeight="1">
      <c r="AA9611"/>
    </row>
    <row r="9612" spans="27:27" ht="17.899999999999999" customHeight="1">
      <c r="AA9612"/>
    </row>
    <row r="9613" spans="27:27" ht="17.899999999999999" customHeight="1">
      <c r="AA9613"/>
    </row>
    <row r="9614" spans="27:27" ht="17.899999999999999" customHeight="1">
      <c r="AA9614"/>
    </row>
    <row r="9615" spans="27:27" ht="17.899999999999999" customHeight="1">
      <c r="AA9615"/>
    </row>
    <row r="9616" spans="27:27" ht="17.899999999999999" customHeight="1">
      <c r="AA9616"/>
    </row>
    <row r="9617" spans="27:27" ht="17.899999999999999" customHeight="1">
      <c r="AA9617"/>
    </row>
    <row r="9618" spans="27:27" ht="17.899999999999999" customHeight="1">
      <c r="AA9618"/>
    </row>
    <row r="9619" spans="27:27" ht="17.899999999999999" customHeight="1">
      <c r="AA9619"/>
    </row>
    <row r="9620" spans="27:27" ht="17.899999999999999" customHeight="1">
      <c r="AA9620"/>
    </row>
    <row r="9621" spans="27:27" ht="17.899999999999999" customHeight="1">
      <c r="AA9621"/>
    </row>
    <row r="9622" spans="27:27" ht="17.899999999999999" customHeight="1">
      <c r="AA9622"/>
    </row>
    <row r="9623" spans="27:27" ht="17.899999999999999" customHeight="1">
      <c r="AA9623"/>
    </row>
    <row r="9624" spans="27:27" ht="17.899999999999999" customHeight="1">
      <c r="AA9624"/>
    </row>
    <row r="9625" spans="27:27" ht="17.899999999999999" customHeight="1">
      <c r="AA9625"/>
    </row>
    <row r="9626" spans="27:27" ht="17.899999999999999" customHeight="1">
      <c r="AA9626"/>
    </row>
    <row r="9627" spans="27:27" ht="17.899999999999999" customHeight="1">
      <c r="AA9627"/>
    </row>
    <row r="9628" spans="27:27" ht="17.899999999999999" customHeight="1">
      <c r="AA9628"/>
    </row>
    <row r="9629" spans="27:27" ht="17.899999999999999" customHeight="1">
      <c r="AA9629"/>
    </row>
    <row r="9630" spans="27:27" ht="17.899999999999999" customHeight="1">
      <c r="AA9630"/>
    </row>
    <row r="9631" spans="27:27" ht="17.899999999999999" customHeight="1">
      <c r="AA9631"/>
    </row>
    <row r="9632" spans="27:27" ht="17.899999999999999" customHeight="1">
      <c r="AA9632"/>
    </row>
    <row r="9633" spans="27:27" ht="17.899999999999999" customHeight="1">
      <c r="AA9633"/>
    </row>
    <row r="9634" spans="27:27" ht="17.899999999999999" customHeight="1">
      <c r="AA9634"/>
    </row>
    <row r="9635" spans="27:27" ht="17.899999999999999" customHeight="1">
      <c r="AA9635"/>
    </row>
    <row r="9636" spans="27:27" ht="17.899999999999999" customHeight="1">
      <c r="AA9636"/>
    </row>
    <row r="9637" spans="27:27" ht="17.899999999999999" customHeight="1">
      <c r="AA9637"/>
    </row>
    <row r="9638" spans="27:27" ht="17.899999999999999" customHeight="1">
      <c r="AA9638"/>
    </row>
    <row r="9639" spans="27:27" ht="17.899999999999999" customHeight="1">
      <c r="AA9639"/>
    </row>
    <row r="9640" spans="27:27" ht="17.899999999999999" customHeight="1">
      <c r="AA9640"/>
    </row>
    <row r="9641" spans="27:27" ht="17.899999999999999" customHeight="1">
      <c r="AA9641"/>
    </row>
    <row r="9642" spans="27:27" ht="17.899999999999999" customHeight="1">
      <c r="AA9642"/>
    </row>
    <row r="9643" spans="27:27" ht="17.899999999999999" customHeight="1">
      <c r="AA9643"/>
    </row>
    <row r="9644" spans="27:27" ht="17.899999999999999" customHeight="1">
      <c r="AA9644"/>
    </row>
    <row r="9645" spans="27:27" ht="17.899999999999999" customHeight="1">
      <c r="AA9645"/>
    </row>
    <row r="9646" spans="27:27" ht="17.899999999999999" customHeight="1">
      <c r="AA9646"/>
    </row>
    <row r="9647" spans="27:27" ht="17.899999999999999" customHeight="1">
      <c r="AA9647"/>
    </row>
    <row r="9648" spans="27:27" ht="17.899999999999999" customHeight="1">
      <c r="AA9648"/>
    </row>
    <row r="9649" spans="27:27" ht="17.899999999999999" customHeight="1">
      <c r="AA9649"/>
    </row>
    <row r="9650" spans="27:27" ht="17.899999999999999" customHeight="1">
      <c r="AA9650"/>
    </row>
    <row r="9651" spans="27:27" ht="17.899999999999999" customHeight="1">
      <c r="AA9651"/>
    </row>
    <row r="9652" spans="27:27" ht="17.899999999999999" customHeight="1">
      <c r="AA9652"/>
    </row>
    <row r="9653" spans="27:27" ht="17.899999999999999" customHeight="1">
      <c r="AA9653"/>
    </row>
    <row r="9654" spans="27:27" ht="17.899999999999999" customHeight="1">
      <c r="AA9654"/>
    </row>
    <row r="9655" spans="27:27" ht="17.899999999999999" customHeight="1">
      <c r="AA9655"/>
    </row>
    <row r="9656" spans="27:27" ht="17.899999999999999" customHeight="1">
      <c r="AA9656"/>
    </row>
    <row r="9657" spans="27:27" ht="17.899999999999999" customHeight="1">
      <c r="AA9657"/>
    </row>
    <row r="9658" spans="27:27" ht="17.899999999999999" customHeight="1">
      <c r="AA9658"/>
    </row>
    <row r="9659" spans="27:27" ht="17.899999999999999" customHeight="1">
      <c r="AA9659"/>
    </row>
    <row r="9660" spans="27:27" ht="17.899999999999999" customHeight="1">
      <c r="AA9660"/>
    </row>
    <row r="9661" spans="27:27" ht="17.899999999999999" customHeight="1">
      <c r="AA9661"/>
    </row>
    <row r="9662" spans="27:27" ht="17.899999999999999" customHeight="1">
      <c r="AA9662"/>
    </row>
    <row r="9663" spans="27:27" ht="17.899999999999999" customHeight="1">
      <c r="AA9663"/>
    </row>
    <row r="9664" spans="27:27" ht="17.899999999999999" customHeight="1">
      <c r="AA9664"/>
    </row>
    <row r="9665" spans="27:27" ht="17.899999999999999" customHeight="1">
      <c r="AA9665"/>
    </row>
    <row r="9666" spans="27:27" ht="17.899999999999999" customHeight="1">
      <c r="AA9666"/>
    </row>
    <row r="9667" spans="27:27" ht="17.899999999999999" customHeight="1">
      <c r="AA9667"/>
    </row>
    <row r="9668" spans="27:27" ht="17.899999999999999" customHeight="1">
      <c r="AA9668"/>
    </row>
    <row r="9669" spans="27:27" ht="17.899999999999999" customHeight="1">
      <c r="AA9669"/>
    </row>
    <row r="9670" spans="27:27" ht="17.899999999999999" customHeight="1">
      <c r="AA9670"/>
    </row>
    <row r="9671" spans="27:27" ht="17.899999999999999" customHeight="1">
      <c r="AA9671"/>
    </row>
    <row r="9672" spans="27:27" ht="17.899999999999999" customHeight="1">
      <c r="AA9672"/>
    </row>
    <row r="9673" spans="27:27" ht="17.899999999999999" customHeight="1">
      <c r="AA9673"/>
    </row>
    <row r="9674" spans="27:27" ht="17.899999999999999" customHeight="1">
      <c r="AA9674"/>
    </row>
    <row r="9675" spans="27:27" ht="17.899999999999999" customHeight="1">
      <c r="AA9675"/>
    </row>
    <row r="9676" spans="27:27" ht="17.899999999999999" customHeight="1">
      <c r="AA9676"/>
    </row>
    <row r="9677" spans="27:27" ht="17.899999999999999" customHeight="1">
      <c r="AA9677"/>
    </row>
    <row r="9678" spans="27:27" ht="17.899999999999999" customHeight="1">
      <c r="AA9678"/>
    </row>
    <row r="9679" spans="27:27" ht="17.899999999999999" customHeight="1">
      <c r="AA9679"/>
    </row>
    <row r="9680" spans="27:27" ht="17.899999999999999" customHeight="1">
      <c r="AA9680"/>
    </row>
    <row r="9681" spans="27:27" ht="17.899999999999999" customHeight="1">
      <c r="AA9681"/>
    </row>
    <row r="9682" spans="27:27" ht="17.899999999999999" customHeight="1">
      <c r="AA9682"/>
    </row>
    <row r="9683" spans="27:27" ht="17.899999999999999" customHeight="1">
      <c r="AA9683"/>
    </row>
    <row r="9684" spans="27:27" ht="17.899999999999999" customHeight="1">
      <c r="AA9684"/>
    </row>
    <row r="9685" spans="27:27" ht="17.899999999999999" customHeight="1">
      <c r="AA9685"/>
    </row>
    <row r="9686" spans="27:27" ht="17.899999999999999" customHeight="1">
      <c r="AA9686"/>
    </row>
    <row r="9687" spans="27:27" ht="17.899999999999999" customHeight="1">
      <c r="AA9687"/>
    </row>
    <row r="9688" spans="27:27" ht="17.899999999999999" customHeight="1">
      <c r="AA9688"/>
    </row>
    <row r="9689" spans="27:27" ht="17.899999999999999" customHeight="1">
      <c r="AA9689"/>
    </row>
    <row r="9690" spans="27:27" ht="17.899999999999999" customHeight="1">
      <c r="AA9690"/>
    </row>
    <row r="9691" spans="27:27" ht="17.899999999999999" customHeight="1">
      <c r="AA9691"/>
    </row>
    <row r="9692" spans="27:27" ht="17.899999999999999" customHeight="1">
      <c r="AA9692"/>
    </row>
    <row r="9693" spans="27:27" ht="17.899999999999999" customHeight="1">
      <c r="AA9693"/>
    </row>
    <row r="9694" spans="27:27" ht="17.899999999999999" customHeight="1">
      <c r="AA9694"/>
    </row>
    <row r="9695" spans="27:27" ht="17.899999999999999" customHeight="1">
      <c r="AA9695"/>
    </row>
    <row r="9696" spans="27:27" ht="17.899999999999999" customHeight="1">
      <c r="AA9696"/>
    </row>
    <row r="9697" spans="27:27" ht="17.899999999999999" customHeight="1">
      <c r="AA9697"/>
    </row>
    <row r="9698" spans="27:27" ht="17.899999999999999" customHeight="1">
      <c r="AA9698"/>
    </row>
    <row r="9699" spans="27:27" ht="17.899999999999999" customHeight="1">
      <c r="AA9699"/>
    </row>
    <row r="9700" spans="27:27" ht="17.899999999999999" customHeight="1">
      <c r="AA9700"/>
    </row>
    <row r="9701" spans="27:27" ht="17.899999999999999" customHeight="1">
      <c r="AA9701"/>
    </row>
    <row r="9702" spans="27:27" ht="17.899999999999999" customHeight="1">
      <c r="AA9702"/>
    </row>
    <row r="9703" spans="27:27" ht="17.899999999999999" customHeight="1">
      <c r="AA9703"/>
    </row>
    <row r="9704" spans="27:27" ht="17.899999999999999" customHeight="1">
      <c r="AA9704"/>
    </row>
    <row r="9705" spans="27:27" ht="17.899999999999999" customHeight="1">
      <c r="AA9705"/>
    </row>
    <row r="9706" spans="27:27" ht="17.899999999999999" customHeight="1">
      <c r="AA9706"/>
    </row>
    <row r="9707" spans="27:27" ht="17.899999999999999" customHeight="1">
      <c r="AA9707"/>
    </row>
    <row r="9708" spans="27:27" ht="17.899999999999999" customHeight="1">
      <c r="AA9708"/>
    </row>
    <row r="9709" spans="27:27" ht="17.899999999999999" customHeight="1">
      <c r="AA9709"/>
    </row>
    <row r="9710" spans="27:27" ht="17.899999999999999" customHeight="1">
      <c r="AA9710"/>
    </row>
    <row r="9711" spans="27:27" ht="17.899999999999999" customHeight="1">
      <c r="AA9711"/>
    </row>
    <row r="9712" spans="27:27" ht="17.899999999999999" customHeight="1">
      <c r="AA9712"/>
    </row>
    <row r="9713" spans="27:27" ht="17.899999999999999" customHeight="1">
      <c r="AA9713"/>
    </row>
    <row r="9714" spans="27:27" ht="17.899999999999999" customHeight="1">
      <c r="AA9714"/>
    </row>
    <row r="9715" spans="27:27" ht="17.899999999999999" customHeight="1">
      <c r="AA9715"/>
    </row>
    <row r="9716" spans="27:27" ht="17.899999999999999" customHeight="1">
      <c r="AA9716"/>
    </row>
    <row r="9717" spans="27:27" ht="17.899999999999999" customHeight="1">
      <c r="AA9717"/>
    </row>
    <row r="9718" spans="27:27" ht="17.899999999999999" customHeight="1">
      <c r="AA9718"/>
    </row>
    <row r="9719" spans="27:27" ht="17.899999999999999" customHeight="1">
      <c r="AA9719"/>
    </row>
    <row r="9720" spans="27:27" ht="17.899999999999999" customHeight="1">
      <c r="AA9720"/>
    </row>
    <row r="9721" spans="27:27" ht="17.899999999999999" customHeight="1">
      <c r="AA9721"/>
    </row>
    <row r="9722" spans="27:27" ht="17.899999999999999" customHeight="1">
      <c r="AA9722"/>
    </row>
    <row r="9723" spans="27:27" ht="17.899999999999999" customHeight="1">
      <c r="AA9723"/>
    </row>
    <row r="9724" spans="27:27" ht="17.899999999999999" customHeight="1">
      <c r="AA9724"/>
    </row>
    <row r="9725" spans="27:27" ht="17.899999999999999" customHeight="1">
      <c r="AA9725"/>
    </row>
    <row r="9726" spans="27:27" ht="17.899999999999999" customHeight="1">
      <c r="AA9726"/>
    </row>
    <row r="9727" spans="27:27" ht="17.899999999999999" customHeight="1">
      <c r="AA9727"/>
    </row>
    <row r="9728" spans="27:27" ht="17.899999999999999" customHeight="1">
      <c r="AA9728"/>
    </row>
    <row r="9729" spans="27:27" ht="17.899999999999999" customHeight="1">
      <c r="AA9729"/>
    </row>
    <row r="9730" spans="27:27" ht="17.899999999999999" customHeight="1">
      <c r="AA9730"/>
    </row>
    <row r="9731" spans="27:27" ht="17.899999999999999" customHeight="1">
      <c r="AA9731"/>
    </row>
    <row r="9732" spans="27:27" ht="17.899999999999999" customHeight="1">
      <c r="AA9732"/>
    </row>
    <row r="9733" spans="27:27" ht="17.899999999999999" customHeight="1">
      <c r="AA9733"/>
    </row>
    <row r="9734" spans="27:27" ht="17.899999999999999" customHeight="1">
      <c r="AA9734"/>
    </row>
    <row r="9735" spans="27:27" ht="17.899999999999999" customHeight="1">
      <c r="AA9735"/>
    </row>
    <row r="9736" spans="27:27" ht="17.899999999999999" customHeight="1">
      <c r="AA9736"/>
    </row>
    <row r="9737" spans="27:27" ht="17.899999999999999" customHeight="1">
      <c r="AA9737"/>
    </row>
    <row r="9738" spans="27:27" ht="17.899999999999999" customHeight="1">
      <c r="AA9738"/>
    </row>
    <row r="9739" spans="27:27" ht="17.899999999999999" customHeight="1">
      <c r="AA9739"/>
    </row>
    <row r="9740" spans="27:27" ht="17.899999999999999" customHeight="1">
      <c r="AA9740"/>
    </row>
    <row r="9741" spans="27:27" ht="17.899999999999999" customHeight="1">
      <c r="AA9741"/>
    </row>
    <row r="9742" spans="27:27" ht="17.899999999999999" customHeight="1">
      <c r="AA9742"/>
    </row>
    <row r="9743" spans="27:27" ht="17.899999999999999" customHeight="1">
      <c r="AA9743"/>
    </row>
    <row r="9744" spans="27:27" ht="17.899999999999999" customHeight="1">
      <c r="AA9744"/>
    </row>
    <row r="9745" spans="27:27" ht="17.899999999999999" customHeight="1">
      <c r="AA9745"/>
    </row>
    <row r="9746" spans="27:27" ht="17.899999999999999" customHeight="1">
      <c r="AA9746"/>
    </row>
    <row r="9747" spans="27:27" ht="17.899999999999999" customHeight="1">
      <c r="AA9747"/>
    </row>
    <row r="9748" spans="27:27" ht="17.899999999999999" customHeight="1">
      <c r="AA9748"/>
    </row>
    <row r="9749" spans="27:27" ht="17.899999999999999" customHeight="1">
      <c r="AA9749"/>
    </row>
    <row r="9750" spans="27:27" ht="17.899999999999999" customHeight="1">
      <c r="AA9750"/>
    </row>
    <row r="9751" spans="27:27" ht="17.899999999999999" customHeight="1">
      <c r="AA9751"/>
    </row>
    <row r="9752" spans="27:27" ht="17.899999999999999" customHeight="1">
      <c r="AA9752"/>
    </row>
    <row r="9753" spans="27:27" ht="17.899999999999999" customHeight="1">
      <c r="AA9753"/>
    </row>
    <row r="9754" spans="27:27" ht="17.899999999999999" customHeight="1">
      <c r="AA9754"/>
    </row>
    <row r="9755" spans="27:27" ht="17.899999999999999" customHeight="1">
      <c r="AA9755"/>
    </row>
    <row r="9756" spans="27:27" ht="17.899999999999999" customHeight="1">
      <c r="AA9756"/>
    </row>
    <row r="9757" spans="27:27" ht="17.899999999999999" customHeight="1">
      <c r="AA9757"/>
    </row>
    <row r="9758" spans="27:27" ht="17.899999999999999" customHeight="1">
      <c r="AA9758"/>
    </row>
    <row r="9759" spans="27:27" ht="17.899999999999999" customHeight="1">
      <c r="AA9759"/>
    </row>
    <row r="9760" spans="27:27" ht="17.899999999999999" customHeight="1">
      <c r="AA9760"/>
    </row>
    <row r="9761" spans="27:27" ht="17.899999999999999" customHeight="1">
      <c r="AA9761"/>
    </row>
    <row r="9762" spans="27:27" ht="17.899999999999999" customHeight="1">
      <c r="AA9762"/>
    </row>
    <row r="9763" spans="27:27" ht="17.899999999999999" customHeight="1">
      <c r="AA9763"/>
    </row>
    <row r="9764" spans="27:27" ht="17.899999999999999" customHeight="1">
      <c r="AA9764"/>
    </row>
    <row r="9765" spans="27:27" ht="17.899999999999999" customHeight="1">
      <c r="AA9765"/>
    </row>
    <row r="9766" spans="27:27" ht="17.899999999999999" customHeight="1">
      <c r="AA9766"/>
    </row>
    <row r="9767" spans="27:27" ht="17.899999999999999" customHeight="1">
      <c r="AA9767"/>
    </row>
    <row r="9768" spans="27:27" ht="17.899999999999999" customHeight="1">
      <c r="AA9768"/>
    </row>
    <row r="9769" spans="27:27" ht="17.899999999999999" customHeight="1">
      <c r="AA9769"/>
    </row>
    <row r="9770" spans="27:27" ht="17.899999999999999" customHeight="1">
      <c r="AA9770"/>
    </row>
    <row r="9771" spans="27:27" ht="17.899999999999999" customHeight="1">
      <c r="AA9771"/>
    </row>
    <row r="9772" spans="27:27" ht="17.899999999999999" customHeight="1">
      <c r="AA9772"/>
    </row>
    <row r="9773" spans="27:27" ht="17.899999999999999" customHeight="1">
      <c r="AA9773"/>
    </row>
    <row r="9774" spans="27:27" ht="17.899999999999999" customHeight="1">
      <c r="AA9774"/>
    </row>
    <row r="9775" spans="27:27" ht="17.899999999999999" customHeight="1">
      <c r="AA9775"/>
    </row>
    <row r="9776" spans="27:27" ht="17.899999999999999" customHeight="1">
      <c r="AA9776"/>
    </row>
    <row r="9777" spans="27:27" ht="17.899999999999999" customHeight="1">
      <c r="AA9777"/>
    </row>
    <row r="9778" spans="27:27" ht="17.899999999999999" customHeight="1">
      <c r="AA9778"/>
    </row>
    <row r="9779" spans="27:27" ht="17.899999999999999" customHeight="1">
      <c r="AA9779"/>
    </row>
    <row r="9780" spans="27:27" ht="17.899999999999999" customHeight="1">
      <c r="AA9780"/>
    </row>
    <row r="9781" spans="27:27" ht="17.899999999999999" customHeight="1">
      <c r="AA9781"/>
    </row>
    <row r="9782" spans="27:27" ht="17.899999999999999" customHeight="1">
      <c r="AA9782"/>
    </row>
    <row r="9783" spans="27:27" ht="17.899999999999999" customHeight="1">
      <c r="AA9783"/>
    </row>
    <row r="9784" spans="27:27" ht="17.899999999999999" customHeight="1">
      <c r="AA9784"/>
    </row>
    <row r="9785" spans="27:27" ht="17.899999999999999" customHeight="1">
      <c r="AA9785"/>
    </row>
    <row r="9786" spans="27:27" ht="17.899999999999999" customHeight="1">
      <c r="AA9786"/>
    </row>
    <row r="9787" spans="27:27" ht="17.899999999999999" customHeight="1">
      <c r="AA9787"/>
    </row>
    <row r="9788" spans="27:27" ht="17.899999999999999" customHeight="1">
      <c r="AA9788"/>
    </row>
    <row r="9789" spans="27:27" ht="17.899999999999999" customHeight="1">
      <c r="AA9789"/>
    </row>
    <row r="9790" spans="27:27" ht="17.899999999999999" customHeight="1">
      <c r="AA9790"/>
    </row>
    <row r="9791" spans="27:27" ht="17.899999999999999" customHeight="1">
      <c r="AA9791"/>
    </row>
    <row r="9792" spans="27:27" ht="17.899999999999999" customHeight="1">
      <c r="AA9792"/>
    </row>
    <row r="9793" spans="27:27" ht="17.899999999999999" customHeight="1">
      <c r="AA9793"/>
    </row>
    <row r="9794" spans="27:27" ht="17.899999999999999" customHeight="1">
      <c r="AA9794"/>
    </row>
    <row r="9795" spans="27:27" ht="17.899999999999999" customHeight="1">
      <c r="AA9795"/>
    </row>
    <row r="9796" spans="27:27" ht="17.899999999999999" customHeight="1">
      <c r="AA9796"/>
    </row>
    <row r="9797" spans="27:27" ht="17.899999999999999" customHeight="1">
      <c r="AA9797"/>
    </row>
    <row r="9798" spans="27:27" ht="17.899999999999999" customHeight="1">
      <c r="AA9798"/>
    </row>
    <row r="9799" spans="27:27" ht="17.899999999999999" customHeight="1">
      <c r="AA9799"/>
    </row>
    <row r="9800" spans="27:27" ht="17.899999999999999" customHeight="1">
      <c r="AA9800"/>
    </row>
    <row r="9801" spans="27:27" ht="17.899999999999999" customHeight="1">
      <c r="AA9801"/>
    </row>
    <row r="9802" spans="27:27" ht="17.899999999999999" customHeight="1">
      <c r="AA9802"/>
    </row>
    <row r="9803" spans="27:27" ht="17.899999999999999" customHeight="1">
      <c r="AA9803"/>
    </row>
    <row r="9804" spans="27:27" ht="17.899999999999999" customHeight="1">
      <c r="AA9804"/>
    </row>
    <row r="9805" spans="27:27" ht="17.899999999999999" customHeight="1">
      <c r="AA9805"/>
    </row>
    <row r="9806" spans="27:27" ht="17.899999999999999" customHeight="1">
      <c r="AA9806"/>
    </row>
    <row r="9807" spans="27:27" ht="17.899999999999999" customHeight="1">
      <c r="AA9807"/>
    </row>
    <row r="9808" spans="27:27" ht="17.899999999999999" customHeight="1">
      <c r="AA9808"/>
    </row>
    <row r="9809" spans="27:27" ht="17.899999999999999" customHeight="1">
      <c r="AA9809"/>
    </row>
    <row r="9810" spans="27:27" ht="17.899999999999999" customHeight="1">
      <c r="AA9810"/>
    </row>
    <row r="9811" spans="27:27" ht="17.899999999999999" customHeight="1">
      <c r="AA9811"/>
    </row>
    <row r="9812" spans="27:27" ht="17.899999999999999" customHeight="1">
      <c r="AA9812"/>
    </row>
    <row r="9813" spans="27:27" ht="17.899999999999999" customHeight="1">
      <c r="AA9813"/>
    </row>
    <row r="9814" spans="27:27" ht="17.899999999999999" customHeight="1">
      <c r="AA9814"/>
    </row>
    <row r="9815" spans="27:27" ht="17.899999999999999" customHeight="1">
      <c r="AA9815"/>
    </row>
    <row r="9816" spans="27:27" ht="17.899999999999999" customHeight="1">
      <c r="AA9816"/>
    </row>
    <row r="9817" spans="27:27" ht="17.899999999999999" customHeight="1">
      <c r="AA9817"/>
    </row>
    <row r="9818" spans="27:27" ht="17.899999999999999" customHeight="1">
      <c r="AA9818"/>
    </row>
    <row r="9819" spans="27:27" ht="17.899999999999999" customHeight="1">
      <c r="AA9819"/>
    </row>
    <row r="9820" spans="27:27" ht="17.899999999999999" customHeight="1">
      <c r="AA9820"/>
    </row>
    <row r="9821" spans="27:27" ht="17.899999999999999" customHeight="1">
      <c r="AA9821"/>
    </row>
    <row r="9822" spans="27:27" ht="17.899999999999999" customHeight="1">
      <c r="AA9822"/>
    </row>
    <row r="9823" spans="27:27" ht="17.899999999999999" customHeight="1">
      <c r="AA9823"/>
    </row>
    <row r="9824" spans="27:27" ht="17.899999999999999" customHeight="1">
      <c r="AA9824"/>
    </row>
    <row r="9825" spans="27:27" ht="17.899999999999999" customHeight="1">
      <c r="AA9825"/>
    </row>
    <row r="9826" spans="27:27" ht="17.899999999999999" customHeight="1">
      <c r="AA9826"/>
    </row>
    <row r="9827" spans="27:27" ht="17.899999999999999" customHeight="1">
      <c r="AA9827"/>
    </row>
    <row r="9828" spans="27:27" ht="17.899999999999999" customHeight="1">
      <c r="AA9828"/>
    </row>
    <row r="9829" spans="27:27" ht="17.899999999999999" customHeight="1">
      <c r="AA9829"/>
    </row>
    <row r="9830" spans="27:27" ht="17.899999999999999" customHeight="1">
      <c r="AA9830"/>
    </row>
    <row r="9831" spans="27:27" ht="17.899999999999999" customHeight="1">
      <c r="AA9831"/>
    </row>
    <row r="9832" spans="27:27" ht="17.899999999999999" customHeight="1">
      <c r="AA9832"/>
    </row>
    <row r="9833" spans="27:27" ht="17.899999999999999" customHeight="1">
      <c r="AA9833"/>
    </row>
    <row r="9834" spans="27:27" ht="17.899999999999999" customHeight="1">
      <c r="AA9834"/>
    </row>
    <row r="9835" spans="27:27" ht="17.899999999999999" customHeight="1">
      <c r="AA9835"/>
    </row>
    <row r="9836" spans="27:27" ht="17.899999999999999" customHeight="1">
      <c r="AA9836"/>
    </row>
    <row r="9837" spans="27:27" ht="17.899999999999999" customHeight="1">
      <c r="AA9837"/>
    </row>
    <row r="9838" spans="27:27" ht="17.899999999999999" customHeight="1">
      <c r="AA9838"/>
    </row>
    <row r="9839" spans="27:27" ht="17.899999999999999" customHeight="1">
      <c r="AA9839"/>
    </row>
    <row r="9840" spans="27:27" ht="17.899999999999999" customHeight="1">
      <c r="AA9840"/>
    </row>
    <row r="9841" spans="27:27" ht="17.899999999999999" customHeight="1">
      <c r="AA9841"/>
    </row>
    <row r="9842" spans="27:27" ht="17.899999999999999" customHeight="1">
      <c r="AA9842"/>
    </row>
    <row r="9843" spans="27:27" ht="17.899999999999999" customHeight="1">
      <c r="AA9843"/>
    </row>
    <row r="9844" spans="27:27" ht="17.899999999999999" customHeight="1">
      <c r="AA9844"/>
    </row>
    <row r="9845" spans="27:27" ht="17.899999999999999" customHeight="1">
      <c r="AA9845"/>
    </row>
    <row r="9846" spans="27:27" ht="17.899999999999999" customHeight="1">
      <c r="AA9846"/>
    </row>
    <row r="9847" spans="27:27" ht="17.899999999999999" customHeight="1">
      <c r="AA9847"/>
    </row>
    <row r="9848" spans="27:27" ht="17.899999999999999" customHeight="1">
      <c r="AA9848"/>
    </row>
    <row r="9849" spans="27:27" ht="17.899999999999999" customHeight="1">
      <c r="AA9849"/>
    </row>
    <row r="9850" spans="27:27" ht="17.899999999999999" customHeight="1">
      <c r="AA9850"/>
    </row>
    <row r="9851" spans="27:27" ht="17.899999999999999" customHeight="1">
      <c r="AA9851"/>
    </row>
    <row r="9852" spans="27:27" ht="17.899999999999999" customHeight="1">
      <c r="AA9852"/>
    </row>
    <row r="9853" spans="27:27" ht="17.899999999999999" customHeight="1">
      <c r="AA9853"/>
    </row>
    <row r="9854" spans="27:27" ht="17.899999999999999" customHeight="1">
      <c r="AA9854"/>
    </row>
    <row r="9855" spans="27:27" ht="17.899999999999999" customHeight="1">
      <c r="AA9855"/>
    </row>
    <row r="9856" spans="27:27" ht="17.899999999999999" customHeight="1">
      <c r="AA9856"/>
    </row>
    <row r="9857" spans="27:27" ht="17.899999999999999" customHeight="1">
      <c r="AA9857"/>
    </row>
    <row r="9858" spans="27:27" ht="17.899999999999999" customHeight="1">
      <c r="AA9858"/>
    </row>
    <row r="9859" spans="27:27" ht="17.899999999999999" customHeight="1">
      <c r="AA9859"/>
    </row>
    <row r="9860" spans="27:27" ht="17.899999999999999" customHeight="1">
      <c r="AA9860"/>
    </row>
    <row r="9861" spans="27:27" ht="17.899999999999999" customHeight="1">
      <c r="AA9861"/>
    </row>
    <row r="9862" spans="27:27" ht="17.899999999999999" customHeight="1">
      <c r="AA9862"/>
    </row>
    <row r="9863" spans="27:27" ht="17.899999999999999" customHeight="1">
      <c r="AA9863"/>
    </row>
    <row r="9864" spans="27:27" ht="17.899999999999999" customHeight="1">
      <c r="AA9864"/>
    </row>
    <row r="9865" spans="27:27" ht="17.899999999999999" customHeight="1">
      <c r="AA9865"/>
    </row>
    <row r="9866" spans="27:27" ht="17.899999999999999" customHeight="1">
      <c r="AA9866"/>
    </row>
    <row r="9867" spans="27:27" ht="17.899999999999999" customHeight="1">
      <c r="AA9867"/>
    </row>
    <row r="9868" spans="27:27" ht="17.899999999999999" customHeight="1">
      <c r="AA9868"/>
    </row>
    <row r="9869" spans="27:27" ht="17.899999999999999" customHeight="1">
      <c r="AA9869"/>
    </row>
    <row r="9870" spans="27:27" ht="17.899999999999999" customHeight="1">
      <c r="AA9870"/>
    </row>
    <row r="9871" spans="27:27" ht="17.899999999999999" customHeight="1">
      <c r="AA9871"/>
    </row>
    <row r="9872" spans="27:27" ht="17.899999999999999" customHeight="1">
      <c r="AA9872"/>
    </row>
    <row r="9873" spans="27:27" ht="17.899999999999999" customHeight="1">
      <c r="AA9873"/>
    </row>
    <row r="9874" spans="27:27" ht="17.899999999999999" customHeight="1">
      <c r="AA9874"/>
    </row>
    <row r="9875" spans="27:27" ht="17.899999999999999" customHeight="1">
      <c r="AA9875"/>
    </row>
    <row r="9876" spans="27:27" ht="17.899999999999999" customHeight="1">
      <c r="AA9876"/>
    </row>
    <row r="9877" spans="27:27" ht="17.899999999999999" customHeight="1">
      <c r="AA9877"/>
    </row>
    <row r="9878" spans="27:27" ht="17.899999999999999" customHeight="1">
      <c r="AA9878"/>
    </row>
    <row r="9879" spans="27:27" ht="17.899999999999999" customHeight="1">
      <c r="AA9879"/>
    </row>
    <row r="9880" spans="27:27" ht="17.899999999999999" customHeight="1">
      <c r="AA9880"/>
    </row>
    <row r="9881" spans="27:27" ht="17.899999999999999" customHeight="1">
      <c r="AA9881"/>
    </row>
    <row r="9882" spans="27:27" ht="17.899999999999999" customHeight="1">
      <c r="AA9882"/>
    </row>
    <row r="9883" spans="27:27" ht="17.899999999999999" customHeight="1">
      <c r="AA9883"/>
    </row>
    <row r="9884" spans="27:27" ht="17.899999999999999" customHeight="1">
      <c r="AA9884"/>
    </row>
    <row r="9885" spans="27:27" ht="17.899999999999999" customHeight="1">
      <c r="AA9885"/>
    </row>
    <row r="9886" spans="27:27" ht="17.899999999999999" customHeight="1">
      <c r="AA9886"/>
    </row>
    <row r="9887" spans="27:27" ht="17.899999999999999" customHeight="1">
      <c r="AA9887"/>
    </row>
    <row r="9888" spans="27:27" ht="17.899999999999999" customHeight="1">
      <c r="AA9888"/>
    </row>
    <row r="9889" spans="27:27" ht="17.899999999999999" customHeight="1">
      <c r="AA9889"/>
    </row>
    <row r="9890" spans="27:27" ht="17.899999999999999" customHeight="1">
      <c r="AA9890"/>
    </row>
    <row r="9891" spans="27:27" ht="17.899999999999999" customHeight="1">
      <c r="AA9891"/>
    </row>
    <row r="9892" spans="27:27" ht="17.899999999999999" customHeight="1">
      <c r="AA9892"/>
    </row>
    <row r="9893" spans="27:27" ht="17.899999999999999" customHeight="1">
      <c r="AA9893"/>
    </row>
    <row r="9894" spans="27:27" ht="17.899999999999999" customHeight="1">
      <c r="AA9894"/>
    </row>
    <row r="9895" spans="27:27" ht="17.899999999999999" customHeight="1">
      <c r="AA9895"/>
    </row>
    <row r="9896" spans="27:27" ht="17.899999999999999" customHeight="1">
      <c r="AA9896"/>
    </row>
    <row r="9897" spans="27:27" ht="17.899999999999999" customHeight="1">
      <c r="AA9897"/>
    </row>
    <row r="9898" spans="27:27" ht="17.899999999999999" customHeight="1">
      <c r="AA9898"/>
    </row>
    <row r="9899" spans="27:27" ht="17.899999999999999" customHeight="1">
      <c r="AA9899"/>
    </row>
    <row r="9900" spans="27:27" ht="17.899999999999999" customHeight="1">
      <c r="AA9900"/>
    </row>
    <row r="9901" spans="27:27" ht="17.899999999999999" customHeight="1">
      <c r="AA9901"/>
    </row>
    <row r="9902" spans="27:27" ht="17.899999999999999" customHeight="1">
      <c r="AA9902"/>
    </row>
    <row r="9903" spans="27:27" ht="17.899999999999999" customHeight="1">
      <c r="AA9903"/>
    </row>
    <row r="9904" spans="27:27" ht="17.899999999999999" customHeight="1">
      <c r="AA9904"/>
    </row>
    <row r="9905" spans="27:27" ht="17.899999999999999" customHeight="1">
      <c r="AA9905"/>
    </row>
    <row r="9906" spans="27:27" ht="17.899999999999999" customHeight="1">
      <c r="AA9906"/>
    </row>
    <row r="9907" spans="27:27" ht="17.899999999999999" customHeight="1">
      <c r="AA9907"/>
    </row>
    <row r="9908" spans="27:27" ht="17.899999999999999" customHeight="1">
      <c r="AA9908"/>
    </row>
    <row r="9909" spans="27:27" ht="17.899999999999999" customHeight="1">
      <c r="AA9909"/>
    </row>
    <row r="9910" spans="27:27" ht="17.899999999999999" customHeight="1">
      <c r="AA9910"/>
    </row>
    <row r="9911" spans="27:27" ht="17.899999999999999" customHeight="1">
      <c r="AA9911"/>
    </row>
    <row r="9912" spans="27:27" ht="17.899999999999999" customHeight="1">
      <c r="AA9912"/>
    </row>
    <row r="9913" spans="27:27" ht="17.899999999999999" customHeight="1">
      <c r="AA9913"/>
    </row>
    <row r="9914" spans="27:27" ht="17.899999999999999" customHeight="1">
      <c r="AA9914"/>
    </row>
    <row r="9915" spans="27:27" ht="17.899999999999999" customHeight="1">
      <c r="AA9915"/>
    </row>
    <row r="9916" spans="27:27" ht="17.899999999999999" customHeight="1">
      <c r="AA9916"/>
    </row>
    <row r="9917" spans="27:27" ht="17.899999999999999" customHeight="1">
      <c r="AA9917"/>
    </row>
    <row r="9918" spans="27:27" ht="17.899999999999999" customHeight="1">
      <c r="AA9918"/>
    </row>
    <row r="9919" spans="27:27" ht="17.899999999999999" customHeight="1">
      <c r="AA9919"/>
    </row>
    <row r="9920" spans="27:27" ht="17.899999999999999" customHeight="1">
      <c r="AA9920"/>
    </row>
    <row r="9921" spans="27:27" ht="17.899999999999999" customHeight="1">
      <c r="AA9921"/>
    </row>
    <row r="9922" spans="27:27" ht="17.899999999999999" customHeight="1">
      <c r="AA9922"/>
    </row>
    <row r="9923" spans="27:27" ht="17.899999999999999" customHeight="1">
      <c r="AA9923"/>
    </row>
    <row r="9924" spans="27:27" ht="17.899999999999999" customHeight="1">
      <c r="AA9924"/>
    </row>
    <row r="9925" spans="27:27" ht="17.899999999999999" customHeight="1">
      <c r="AA9925"/>
    </row>
    <row r="9926" spans="27:27" ht="17.899999999999999" customHeight="1">
      <c r="AA9926"/>
    </row>
    <row r="9927" spans="27:27" ht="17.899999999999999" customHeight="1">
      <c r="AA9927"/>
    </row>
    <row r="9928" spans="27:27" ht="17.899999999999999" customHeight="1">
      <c r="AA9928"/>
    </row>
    <row r="9929" spans="27:27" ht="17.899999999999999" customHeight="1">
      <c r="AA9929"/>
    </row>
    <row r="9930" spans="27:27" ht="17.899999999999999" customHeight="1">
      <c r="AA9930"/>
    </row>
    <row r="9931" spans="27:27" ht="17.899999999999999" customHeight="1">
      <c r="AA9931"/>
    </row>
    <row r="9932" spans="27:27" ht="17.899999999999999" customHeight="1">
      <c r="AA9932"/>
    </row>
    <row r="9933" spans="27:27" ht="17.899999999999999" customHeight="1">
      <c r="AA9933"/>
    </row>
    <row r="9934" spans="27:27" ht="17.899999999999999" customHeight="1">
      <c r="AA9934"/>
    </row>
    <row r="9935" spans="27:27" ht="17.899999999999999" customHeight="1">
      <c r="AA9935"/>
    </row>
    <row r="9936" spans="27:27" ht="17.899999999999999" customHeight="1">
      <c r="AA9936"/>
    </row>
    <row r="9937" spans="27:27" ht="17.899999999999999" customHeight="1">
      <c r="AA9937"/>
    </row>
    <row r="9938" spans="27:27" ht="17.899999999999999" customHeight="1">
      <c r="AA9938"/>
    </row>
    <row r="9939" spans="27:27" ht="17.899999999999999" customHeight="1">
      <c r="AA9939"/>
    </row>
    <row r="9940" spans="27:27" ht="17.899999999999999" customHeight="1">
      <c r="AA9940"/>
    </row>
    <row r="9941" spans="27:27" ht="17.899999999999999" customHeight="1">
      <c r="AA9941"/>
    </row>
    <row r="9942" spans="27:27" ht="17.899999999999999" customHeight="1">
      <c r="AA9942"/>
    </row>
    <row r="9943" spans="27:27" ht="17.899999999999999" customHeight="1">
      <c r="AA9943"/>
    </row>
    <row r="9944" spans="27:27" ht="17.899999999999999" customHeight="1">
      <c r="AA9944"/>
    </row>
    <row r="9945" spans="27:27" ht="17.899999999999999" customHeight="1">
      <c r="AA9945"/>
    </row>
    <row r="9946" spans="27:27" ht="17.899999999999999" customHeight="1">
      <c r="AA9946"/>
    </row>
    <row r="9947" spans="27:27" ht="17.899999999999999" customHeight="1">
      <c r="AA9947"/>
    </row>
    <row r="9948" spans="27:27" ht="17.899999999999999" customHeight="1">
      <c r="AA9948"/>
    </row>
    <row r="9949" spans="27:27" ht="17.899999999999999" customHeight="1">
      <c r="AA9949"/>
    </row>
    <row r="9950" spans="27:27" ht="17.899999999999999" customHeight="1">
      <c r="AA9950"/>
    </row>
    <row r="9951" spans="27:27" ht="17.899999999999999" customHeight="1">
      <c r="AA9951"/>
    </row>
    <row r="9952" spans="27:27" ht="17.899999999999999" customHeight="1">
      <c r="AA9952"/>
    </row>
    <row r="9953" spans="27:27" ht="17.899999999999999" customHeight="1">
      <c r="AA9953"/>
    </row>
    <row r="9954" spans="27:27" ht="17.899999999999999" customHeight="1">
      <c r="AA9954"/>
    </row>
    <row r="9955" spans="27:27" ht="17.899999999999999" customHeight="1">
      <c r="AA9955"/>
    </row>
    <row r="9956" spans="27:27" ht="17.899999999999999" customHeight="1">
      <c r="AA9956"/>
    </row>
    <row r="9957" spans="27:27" ht="17.899999999999999" customHeight="1">
      <c r="AA9957"/>
    </row>
    <row r="9958" spans="27:27" ht="17.899999999999999" customHeight="1">
      <c r="AA9958"/>
    </row>
    <row r="9959" spans="27:27" ht="17.899999999999999" customHeight="1">
      <c r="AA9959"/>
    </row>
    <row r="9960" spans="27:27" ht="17.899999999999999" customHeight="1">
      <c r="AA9960"/>
    </row>
    <row r="9961" spans="27:27" ht="17.899999999999999" customHeight="1">
      <c r="AA9961"/>
    </row>
    <row r="9962" spans="27:27" ht="17.899999999999999" customHeight="1">
      <c r="AA9962"/>
    </row>
    <row r="9963" spans="27:27" ht="17.899999999999999" customHeight="1">
      <c r="AA9963"/>
    </row>
    <row r="9964" spans="27:27" ht="17.899999999999999" customHeight="1">
      <c r="AA9964"/>
    </row>
    <row r="9965" spans="27:27" ht="17.899999999999999" customHeight="1">
      <c r="AA9965"/>
    </row>
    <row r="9966" spans="27:27" ht="17.899999999999999" customHeight="1">
      <c r="AA9966"/>
    </row>
    <row r="9967" spans="27:27" ht="17.899999999999999" customHeight="1">
      <c r="AA9967"/>
    </row>
    <row r="9968" spans="27:27" ht="17.899999999999999" customHeight="1">
      <c r="AA9968"/>
    </row>
    <row r="9969" spans="27:27" ht="17.899999999999999" customHeight="1">
      <c r="AA9969"/>
    </row>
    <row r="9970" spans="27:27" ht="17.899999999999999" customHeight="1">
      <c r="AA9970"/>
    </row>
    <row r="9971" spans="27:27" ht="17.899999999999999" customHeight="1">
      <c r="AA9971"/>
    </row>
    <row r="9972" spans="27:27" ht="17.899999999999999" customHeight="1">
      <c r="AA9972"/>
    </row>
    <row r="9973" spans="27:27" ht="17.899999999999999" customHeight="1">
      <c r="AA9973"/>
    </row>
    <row r="9974" spans="27:27" ht="17.899999999999999" customHeight="1">
      <c r="AA9974"/>
    </row>
    <row r="9975" spans="27:27" ht="17.899999999999999" customHeight="1">
      <c r="AA9975"/>
    </row>
    <row r="9976" spans="27:27" ht="17.899999999999999" customHeight="1">
      <c r="AA9976"/>
    </row>
    <row r="9977" spans="27:27" ht="17.899999999999999" customHeight="1">
      <c r="AA9977"/>
    </row>
    <row r="9978" spans="27:27" ht="17.899999999999999" customHeight="1">
      <c r="AA9978"/>
    </row>
    <row r="9979" spans="27:27" ht="17.899999999999999" customHeight="1">
      <c r="AA9979"/>
    </row>
    <row r="9980" spans="27:27" ht="17.899999999999999" customHeight="1">
      <c r="AA9980"/>
    </row>
    <row r="9981" spans="27:27" ht="17.899999999999999" customHeight="1">
      <c r="AA9981"/>
    </row>
    <row r="9982" spans="27:27" ht="17.899999999999999" customHeight="1">
      <c r="AA9982"/>
    </row>
    <row r="9983" spans="27:27" ht="17.899999999999999" customHeight="1">
      <c r="AA9983"/>
    </row>
    <row r="9984" spans="27:27" ht="17.899999999999999" customHeight="1">
      <c r="AA9984"/>
    </row>
    <row r="9985" spans="27:27" ht="17.899999999999999" customHeight="1">
      <c r="AA9985"/>
    </row>
    <row r="9986" spans="27:27" ht="17.899999999999999" customHeight="1">
      <c r="AA9986"/>
    </row>
    <row r="9987" spans="27:27" ht="17.899999999999999" customHeight="1">
      <c r="AA9987"/>
    </row>
    <row r="9988" spans="27:27" ht="17.899999999999999" customHeight="1">
      <c r="AA9988"/>
    </row>
    <row r="9989" spans="27:27" ht="17.899999999999999" customHeight="1">
      <c r="AA9989"/>
    </row>
    <row r="9990" spans="27:27" ht="17.899999999999999" customHeight="1">
      <c r="AA9990"/>
    </row>
    <row r="9991" spans="27:27" ht="17.899999999999999" customHeight="1">
      <c r="AA9991"/>
    </row>
    <row r="9992" spans="27:27" ht="17.899999999999999" customHeight="1">
      <c r="AA9992"/>
    </row>
    <row r="9993" spans="27:27" ht="17.899999999999999" customHeight="1">
      <c r="AA9993"/>
    </row>
    <row r="9994" spans="27:27" ht="17.899999999999999" customHeight="1">
      <c r="AA9994"/>
    </row>
    <row r="9995" spans="27:27" ht="17.899999999999999" customHeight="1">
      <c r="AA9995"/>
    </row>
    <row r="9996" spans="27:27" ht="17.899999999999999" customHeight="1">
      <c r="AA9996"/>
    </row>
    <row r="9997" spans="27:27" ht="17.899999999999999" customHeight="1">
      <c r="AA9997"/>
    </row>
    <row r="9998" spans="27:27" ht="17.899999999999999" customHeight="1">
      <c r="AA9998"/>
    </row>
    <row r="9999" spans="27:27" ht="17.899999999999999" customHeight="1">
      <c r="AA9999"/>
    </row>
    <row r="10000" spans="27:27" ht="17.899999999999999" customHeight="1">
      <c r="AA10000"/>
    </row>
    <row r="10001" spans="27:27" ht="17.899999999999999" customHeight="1">
      <c r="AA10001"/>
    </row>
    <row r="10002" spans="27:27" ht="17.899999999999999" customHeight="1">
      <c r="AA10002"/>
    </row>
    <row r="10003" spans="27:27" ht="17.899999999999999" customHeight="1">
      <c r="AA10003"/>
    </row>
    <row r="10004" spans="27:27" ht="17.899999999999999" customHeight="1">
      <c r="AA10004"/>
    </row>
    <row r="10005" spans="27:27" ht="17.899999999999999" customHeight="1">
      <c r="AA10005"/>
    </row>
    <row r="10006" spans="27:27" ht="17.899999999999999" customHeight="1">
      <c r="AA10006"/>
    </row>
    <row r="10007" spans="27:27" ht="17.899999999999999" customHeight="1">
      <c r="AA10007"/>
    </row>
    <row r="10008" spans="27:27" ht="17.899999999999999" customHeight="1">
      <c r="AA10008"/>
    </row>
    <row r="10009" spans="27:27" ht="17.899999999999999" customHeight="1">
      <c r="AA10009"/>
    </row>
    <row r="10010" spans="27:27" ht="17.899999999999999" customHeight="1">
      <c r="AA10010"/>
    </row>
    <row r="10011" spans="27:27" ht="17.899999999999999" customHeight="1">
      <c r="AA10011"/>
    </row>
    <row r="10012" spans="27:27" ht="17.899999999999999" customHeight="1">
      <c r="AA10012"/>
    </row>
    <row r="10013" spans="27:27" ht="17.899999999999999" customHeight="1">
      <c r="AA10013"/>
    </row>
    <row r="10014" spans="27:27" ht="17.899999999999999" customHeight="1">
      <c r="AA10014"/>
    </row>
    <row r="10015" spans="27:27" ht="17.899999999999999" customHeight="1">
      <c r="AA10015"/>
    </row>
    <row r="10016" spans="27:27" ht="17.899999999999999" customHeight="1">
      <c r="AA10016"/>
    </row>
    <row r="10017" spans="27:27" ht="17.899999999999999" customHeight="1">
      <c r="AA10017"/>
    </row>
    <row r="10018" spans="27:27" ht="17.899999999999999" customHeight="1">
      <c r="AA10018"/>
    </row>
    <row r="10019" spans="27:27" ht="17.899999999999999" customHeight="1">
      <c r="AA10019"/>
    </row>
    <row r="10020" spans="27:27" ht="17.899999999999999" customHeight="1">
      <c r="AA10020"/>
    </row>
    <row r="10021" spans="27:27" ht="17.899999999999999" customHeight="1">
      <c r="AA10021"/>
    </row>
    <row r="10022" spans="27:27" ht="17.899999999999999" customHeight="1">
      <c r="AA10022"/>
    </row>
    <row r="10023" spans="27:27" ht="17.899999999999999" customHeight="1">
      <c r="AA10023"/>
    </row>
    <row r="10024" spans="27:27" ht="17.899999999999999" customHeight="1">
      <c r="AA10024"/>
    </row>
    <row r="10025" spans="27:27" ht="17.899999999999999" customHeight="1">
      <c r="AA10025"/>
    </row>
    <row r="10026" spans="27:27" ht="17.899999999999999" customHeight="1">
      <c r="AA10026"/>
    </row>
    <row r="10027" spans="27:27" ht="17.899999999999999" customHeight="1">
      <c r="AA10027"/>
    </row>
    <row r="10028" spans="27:27" ht="17.899999999999999" customHeight="1">
      <c r="AA10028"/>
    </row>
    <row r="10029" spans="27:27" ht="17.899999999999999" customHeight="1">
      <c r="AA10029"/>
    </row>
    <row r="10030" spans="27:27" ht="17.899999999999999" customHeight="1">
      <c r="AA10030"/>
    </row>
    <row r="10031" spans="27:27" ht="17.899999999999999" customHeight="1">
      <c r="AA10031"/>
    </row>
    <row r="10032" spans="27:27" ht="17.899999999999999" customHeight="1">
      <c r="AA10032"/>
    </row>
    <row r="10033" spans="27:27" ht="17.899999999999999" customHeight="1">
      <c r="AA10033"/>
    </row>
    <row r="10034" spans="27:27" ht="17.899999999999999" customHeight="1">
      <c r="AA10034"/>
    </row>
    <row r="10035" spans="27:27" ht="17.899999999999999" customHeight="1">
      <c r="AA10035"/>
    </row>
    <row r="10036" spans="27:27" ht="17.899999999999999" customHeight="1">
      <c r="AA10036"/>
    </row>
    <row r="10037" spans="27:27" ht="17.899999999999999" customHeight="1">
      <c r="AA10037"/>
    </row>
    <row r="10038" spans="27:27" ht="17.899999999999999" customHeight="1">
      <c r="AA10038"/>
    </row>
    <row r="10039" spans="27:27" ht="17.899999999999999" customHeight="1">
      <c r="AA10039"/>
    </row>
    <row r="10040" spans="27:27" ht="17.899999999999999" customHeight="1">
      <c r="AA10040"/>
    </row>
    <row r="10041" spans="27:27" ht="17.899999999999999" customHeight="1">
      <c r="AA10041"/>
    </row>
    <row r="10042" spans="27:27" ht="17.899999999999999" customHeight="1">
      <c r="AA10042"/>
    </row>
    <row r="10043" spans="27:27" ht="17.899999999999999" customHeight="1">
      <c r="AA10043"/>
    </row>
    <row r="10044" spans="27:27" ht="17.899999999999999" customHeight="1">
      <c r="AA10044"/>
    </row>
    <row r="10045" spans="27:27" ht="17.899999999999999" customHeight="1">
      <c r="AA10045"/>
    </row>
    <row r="10046" spans="27:27" ht="17.899999999999999" customHeight="1">
      <c r="AA10046"/>
    </row>
    <row r="10047" spans="27:27" ht="17.899999999999999" customHeight="1">
      <c r="AA10047"/>
    </row>
    <row r="10048" spans="27:27" ht="17.899999999999999" customHeight="1">
      <c r="AA10048"/>
    </row>
    <row r="10049" spans="27:27" ht="17.899999999999999" customHeight="1">
      <c r="AA10049"/>
    </row>
    <row r="10050" spans="27:27" ht="17.899999999999999" customHeight="1">
      <c r="AA10050"/>
    </row>
    <row r="10051" spans="27:27" ht="17.899999999999999" customHeight="1">
      <c r="AA10051"/>
    </row>
    <row r="10052" spans="27:27" ht="17.899999999999999" customHeight="1">
      <c r="AA10052"/>
    </row>
    <row r="10053" spans="27:27" ht="17.899999999999999" customHeight="1">
      <c r="AA10053"/>
    </row>
    <row r="10054" spans="27:27" ht="17.899999999999999" customHeight="1">
      <c r="AA10054"/>
    </row>
    <row r="10055" spans="27:27" ht="17.899999999999999" customHeight="1">
      <c r="AA10055"/>
    </row>
    <row r="10056" spans="27:27" ht="17.899999999999999" customHeight="1">
      <c r="AA10056"/>
    </row>
    <row r="10057" spans="27:27" ht="17.899999999999999" customHeight="1">
      <c r="AA10057"/>
    </row>
    <row r="10058" spans="27:27" ht="17.899999999999999" customHeight="1">
      <c r="AA10058"/>
    </row>
    <row r="10059" spans="27:27" ht="17.899999999999999" customHeight="1">
      <c r="AA10059"/>
    </row>
    <row r="10060" spans="27:27" ht="17.899999999999999" customHeight="1">
      <c r="AA10060"/>
    </row>
    <row r="10061" spans="27:27" ht="17.899999999999999" customHeight="1">
      <c r="AA10061"/>
    </row>
    <row r="10062" spans="27:27" ht="17.899999999999999" customHeight="1">
      <c r="AA10062"/>
    </row>
    <row r="10063" spans="27:27" ht="17.899999999999999" customHeight="1">
      <c r="AA10063"/>
    </row>
    <row r="10064" spans="27:27" ht="17.899999999999999" customHeight="1">
      <c r="AA10064"/>
    </row>
    <row r="10065" spans="27:27" ht="17.899999999999999" customHeight="1">
      <c r="AA10065"/>
    </row>
    <row r="10066" spans="27:27" ht="17.899999999999999" customHeight="1">
      <c r="AA10066"/>
    </row>
    <row r="10067" spans="27:27" ht="17.899999999999999" customHeight="1">
      <c r="AA10067"/>
    </row>
    <row r="10068" spans="27:27" ht="17.899999999999999" customHeight="1">
      <c r="AA10068"/>
    </row>
    <row r="10069" spans="27:27" ht="17.899999999999999" customHeight="1">
      <c r="AA10069"/>
    </row>
    <row r="10070" spans="27:27" ht="17.899999999999999" customHeight="1">
      <c r="AA10070"/>
    </row>
    <row r="10071" spans="27:27" ht="17.899999999999999" customHeight="1">
      <c r="AA10071"/>
    </row>
    <row r="10072" spans="27:27" ht="17.899999999999999" customHeight="1">
      <c r="AA10072"/>
    </row>
    <row r="10073" spans="27:27" ht="17.899999999999999" customHeight="1">
      <c r="AA10073"/>
    </row>
    <row r="10074" spans="27:27" ht="17.899999999999999" customHeight="1">
      <c r="AA10074"/>
    </row>
    <row r="10075" spans="27:27" ht="17.899999999999999" customHeight="1">
      <c r="AA10075"/>
    </row>
    <row r="10076" spans="27:27" ht="17.899999999999999" customHeight="1">
      <c r="AA10076"/>
    </row>
    <row r="10077" spans="27:27" ht="17.899999999999999" customHeight="1">
      <c r="AA10077"/>
    </row>
    <row r="10078" spans="27:27" ht="17.899999999999999" customHeight="1">
      <c r="AA10078"/>
    </row>
    <row r="10079" spans="27:27" ht="17.899999999999999" customHeight="1">
      <c r="AA10079"/>
    </row>
    <row r="10080" spans="27:27" ht="17.899999999999999" customHeight="1">
      <c r="AA10080"/>
    </row>
    <row r="10081" spans="27:27" ht="17.899999999999999" customHeight="1">
      <c r="AA10081"/>
    </row>
    <row r="10082" spans="27:27" ht="17.899999999999999" customHeight="1">
      <c r="AA10082"/>
    </row>
    <row r="10083" spans="27:27" ht="17.899999999999999" customHeight="1">
      <c r="AA10083"/>
    </row>
    <row r="10084" spans="27:27" ht="17.899999999999999" customHeight="1">
      <c r="AA10084"/>
    </row>
    <row r="10085" spans="27:27" ht="17.899999999999999" customHeight="1">
      <c r="AA10085"/>
    </row>
    <row r="10086" spans="27:27" ht="17.899999999999999" customHeight="1">
      <c r="AA10086"/>
    </row>
    <row r="10087" spans="27:27" ht="17.899999999999999" customHeight="1">
      <c r="AA10087"/>
    </row>
    <row r="10088" spans="27:27" ht="17.899999999999999" customHeight="1">
      <c r="AA10088"/>
    </row>
    <row r="10089" spans="27:27" ht="17.899999999999999" customHeight="1">
      <c r="AA10089"/>
    </row>
    <row r="10090" spans="27:27" ht="17.899999999999999" customHeight="1">
      <c r="AA10090"/>
    </row>
    <row r="10091" spans="27:27" ht="17.899999999999999" customHeight="1">
      <c r="AA10091"/>
    </row>
    <row r="10092" spans="27:27" ht="17.899999999999999" customHeight="1">
      <c r="AA10092"/>
    </row>
    <row r="10093" spans="27:27" ht="17.899999999999999" customHeight="1">
      <c r="AA10093"/>
    </row>
    <row r="10094" spans="27:27" ht="17.899999999999999" customHeight="1">
      <c r="AA10094"/>
    </row>
    <row r="10095" spans="27:27" ht="17.899999999999999" customHeight="1">
      <c r="AA10095"/>
    </row>
    <row r="10096" spans="27:27" ht="17.899999999999999" customHeight="1">
      <c r="AA10096"/>
    </row>
    <row r="10097" spans="27:27" ht="17.899999999999999" customHeight="1">
      <c r="AA10097"/>
    </row>
    <row r="10098" spans="27:27" ht="17.899999999999999" customHeight="1">
      <c r="AA10098"/>
    </row>
    <row r="10099" spans="27:27" ht="17.899999999999999" customHeight="1">
      <c r="AA10099"/>
    </row>
    <row r="10100" spans="27:27" ht="17.899999999999999" customHeight="1">
      <c r="AA10100"/>
    </row>
    <row r="10101" spans="27:27" ht="17.899999999999999" customHeight="1">
      <c r="AA10101"/>
    </row>
    <row r="10102" spans="27:27" ht="17.899999999999999" customHeight="1">
      <c r="AA10102"/>
    </row>
    <row r="10103" spans="27:27" ht="17.899999999999999" customHeight="1">
      <c r="AA10103"/>
    </row>
    <row r="10104" spans="27:27" ht="17.899999999999999" customHeight="1">
      <c r="AA10104"/>
    </row>
    <row r="10105" spans="27:27" ht="17.899999999999999" customHeight="1">
      <c r="AA10105"/>
    </row>
    <row r="10106" spans="27:27" ht="17.899999999999999" customHeight="1">
      <c r="AA10106"/>
    </row>
    <row r="10107" spans="27:27" ht="17.899999999999999" customHeight="1">
      <c r="AA10107"/>
    </row>
    <row r="10108" spans="27:27" ht="17.899999999999999" customHeight="1">
      <c r="AA10108"/>
    </row>
    <row r="10109" spans="27:27" ht="17.899999999999999" customHeight="1">
      <c r="AA10109"/>
    </row>
    <row r="10110" spans="27:27" ht="17.899999999999999" customHeight="1">
      <c r="AA10110"/>
    </row>
    <row r="10111" spans="27:27" ht="17.899999999999999" customHeight="1">
      <c r="AA10111"/>
    </row>
    <row r="10112" spans="27:27" ht="17.899999999999999" customHeight="1">
      <c r="AA10112"/>
    </row>
    <row r="10113" spans="27:27" ht="17.899999999999999" customHeight="1">
      <c r="AA10113"/>
    </row>
    <row r="10114" spans="27:27" ht="17.899999999999999" customHeight="1">
      <c r="AA10114"/>
    </row>
    <row r="10115" spans="27:27" ht="17.899999999999999" customHeight="1">
      <c r="AA10115"/>
    </row>
    <row r="10116" spans="27:27" ht="17.899999999999999" customHeight="1">
      <c r="AA10116"/>
    </row>
    <row r="10117" spans="27:27" ht="17.899999999999999" customHeight="1">
      <c r="AA10117"/>
    </row>
    <row r="10118" spans="27:27" ht="17.899999999999999" customHeight="1">
      <c r="AA10118"/>
    </row>
    <row r="10119" spans="27:27" ht="17.899999999999999" customHeight="1">
      <c r="AA10119"/>
    </row>
    <row r="10120" spans="27:27" ht="17.899999999999999" customHeight="1">
      <c r="AA10120"/>
    </row>
    <row r="10121" spans="27:27" ht="17.899999999999999" customHeight="1">
      <c r="AA10121"/>
    </row>
    <row r="10122" spans="27:27" ht="17.899999999999999" customHeight="1">
      <c r="AA10122"/>
    </row>
    <row r="10123" spans="27:27" ht="17.899999999999999" customHeight="1">
      <c r="AA10123"/>
    </row>
    <row r="10124" spans="27:27" ht="17.899999999999999" customHeight="1">
      <c r="AA10124"/>
    </row>
    <row r="10125" spans="27:27" ht="17.899999999999999" customHeight="1">
      <c r="AA10125"/>
    </row>
    <row r="10126" spans="27:27" ht="17.899999999999999" customHeight="1">
      <c r="AA10126"/>
    </row>
    <row r="10127" spans="27:27" ht="17.899999999999999" customHeight="1">
      <c r="AA10127"/>
    </row>
    <row r="10128" spans="27:27" ht="17.899999999999999" customHeight="1">
      <c r="AA10128"/>
    </row>
    <row r="10129" spans="27:27" ht="17.899999999999999" customHeight="1">
      <c r="AA10129"/>
    </row>
    <row r="10130" spans="27:27" ht="17.899999999999999" customHeight="1">
      <c r="AA10130"/>
    </row>
    <row r="10131" spans="27:27" ht="17.899999999999999" customHeight="1">
      <c r="AA10131"/>
    </row>
    <row r="10132" spans="27:27" ht="17.899999999999999" customHeight="1">
      <c r="AA10132"/>
    </row>
    <row r="10133" spans="27:27" ht="17.899999999999999" customHeight="1">
      <c r="AA10133"/>
    </row>
    <row r="10134" spans="27:27" ht="17.899999999999999" customHeight="1">
      <c r="AA10134"/>
    </row>
    <row r="10135" spans="27:27" ht="17.899999999999999" customHeight="1">
      <c r="AA10135"/>
    </row>
    <row r="10136" spans="27:27" ht="17.899999999999999" customHeight="1">
      <c r="AA10136"/>
    </row>
    <row r="10137" spans="27:27" ht="17.899999999999999" customHeight="1">
      <c r="AA10137"/>
    </row>
    <row r="10138" spans="27:27" ht="17.899999999999999" customHeight="1">
      <c r="AA10138"/>
    </row>
    <row r="10139" spans="27:27" ht="17.899999999999999" customHeight="1">
      <c r="AA10139"/>
    </row>
    <row r="10140" spans="27:27" ht="17.899999999999999" customHeight="1">
      <c r="AA10140"/>
    </row>
    <row r="10141" spans="27:27" ht="17.899999999999999" customHeight="1">
      <c r="AA10141"/>
    </row>
    <row r="10142" spans="27:27" ht="17.899999999999999" customHeight="1">
      <c r="AA10142"/>
    </row>
    <row r="10143" spans="27:27" ht="17.899999999999999" customHeight="1">
      <c r="AA10143"/>
    </row>
    <row r="10144" spans="27:27" ht="17.899999999999999" customHeight="1">
      <c r="AA10144"/>
    </row>
    <row r="10145" spans="27:27" ht="17.899999999999999" customHeight="1">
      <c r="AA10145"/>
    </row>
    <row r="10146" spans="27:27" ht="17.899999999999999" customHeight="1">
      <c r="AA10146"/>
    </row>
    <row r="10147" spans="27:27" ht="17.899999999999999" customHeight="1">
      <c r="AA10147"/>
    </row>
    <row r="10148" spans="27:27" ht="17.899999999999999" customHeight="1">
      <c r="AA10148"/>
    </row>
    <row r="10149" spans="27:27" ht="17.899999999999999" customHeight="1">
      <c r="AA10149"/>
    </row>
    <row r="10150" spans="27:27" ht="17.899999999999999" customHeight="1">
      <c r="AA10150"/>
    </row>
    <row r="10151" spans="27:27" ht="17.899999999999999" customHeight="1">
      <c r="AA10151"/>
    </row>
    <row r="10152" spans="27:27" ht="17.899999999999999" customHeight="1">
      <c r="AA10152"/>
    </row>
    <row r="10153" spans="27:27" ht="17.899999999999999" customHeight="1">
      <c r="AA10153"/>
    </row>
    <row r="10154" spans="27:27" ht="17.899999999999999" customHeight="1">
      <c r="AA10154"/>
    </row>
    <row r="10155" spans="27:27" ht="17.899999999999999" customHeight="1">
      <c r="AA10155"/>
    </row>
    <row r="10156" spans="27:27" ht="17.899999999999999" customHeight="1">
      <c r="AA10156"/>
    </row>
    <row r="10157" spans="27:27" ht="17.899999999999999" customHeight="1">
      <c r="AA10157"/>
    </row>
    <row r="10158" spans="27:27" ht="17.899999999999999" customHeight="1">
      <c r="AA10158"/>
    </row>
    <row r="10159" spans="27:27" ht="17.899999999999999" customHeight="1">
      <c r="AA10159"/>
    </row>
    <row r="10160" spans="27:27" ht="17.899999999999999" customHeight="1">
      <c r="AA10160"/>
    </row>
    <row r="10161" spans="27:27" ht="17.899999999999999" customHeight="1">
      <c r="AA10161"/>
    </row>
    <row r="10162" spans="27:27" ht="17.899999999999999" customHeight="1">
      <c r="AA10162"/>
    </row>
    <row r="10163" spans="27:27" ht="17.899999999999999" customHeight="1">
      <c r="AA10163"/>
    </row>
    <row r="10164" spans="27:27" ht="17.899999999999999" customHeight="1">
      <c r="AA10164"/>
    </row>
    <row r="10165" spans="27:27" ht="17.899999999999999" customHeight="1">
      <c r="AA10165"/>
    </row>
    <row r="10166" spans="27:27" ht="17.899999999999999" customHeight="1">
      <c r="AA10166"/>
    </row>
    <row r="10167" spans="27:27" ht="17.899999999999999" customHeight="1">
      <c r="AA10167"/>
    </row>
    <row r="10168" spans="27:27" ht="17.899999999999999" customHeight="1">
      <c r="AA10168"/>
    </row>
    <row r="10169" spans="27:27" ht="17.899999999999999" customHeight="1">
      <c r="AA10169"/>
    </row>
    <row r="10170" spans="27:27" ht="17.899999999999999" customHeight="1">
      <c r="AA10170"/>
    </row>
    <row r="10171" spans="27:27" ht="17.899999999999999" customHeight="1">
      <c r="AA10171"/>
    </row>
    <row r="10172" spans="27:27" ht="17.899999999999999" customHeight="1">
      <c r="AA10172"/>
    </row>
    <row r="10173" spans="27:27" ht="17.899999999999999" customHeight="1">
      <c r="AA10173"/>
    </row>
    <row r="10174" spans="27:27" ht="17.899999999999999" customHeight="1">
      <c r="AA10174"/>
    </row>
    <row r="10175" spans="27:27" ht="17.899999999999999" customHeight="1">
      <c r="AA10175"/>
    </row>
    <row r="10176" spans="27:27" ht="17.899999999999999" customHeight="1">
      <c r="AA10176"/>
    </row>
    <row r="10177" spans="27:27" ht="17.899999999999999" customHeight="1">
      <c r="AA10177"/>
    </row>
    <row r="10178" spans="27:27" ht="17.899999999999999" customHeight="1">
      <c r="AA10178"/>
    </row>
    <row r="10179" spans="27:27" ht="17.899999999999999" customHeight="1">
      <c r="AA10179"/>
    </row>
    <row r="10180" spans="27:27" ht="17.899999999999999" customHeight="1">
      <c r="AA10180"/>
    </row>
    <row r="10181" spans="27:27" ht="17.899999999999999" customHeight="1">
      <c r="AA10181"/>
    </row>
    <row r="10182" spans="27:27" ht="17.899999999999999" customHeight="1">
      <c r="AA10182"/>
    </row>
    <row r="10183" spans="27:27" ht="17.899999999999999" customHeight="1">
      <c r="AA10183"/>
    </row>
    <row r="10184" spans="27:27" ht="17.899999999999999" customHeight="1">
      <c r="AA10184"/>
    </row>
    <row r="10185" spans="27:27" ht="17.899999999999999" customHeight="1">
      <c r="AA10185"/>
    </row>
    <row r="10186" spans="27:27" ht="17.899999999999999" customHeight="1">
      <c r="AA10186"/>
    </row>
    <row r="10187" spans="27:27" ht="17.899999999999999" customHeight="1">
      <c r="AA10187"/>
    </row>
    <row r="10188" spans="27:27" ht="17.899999999999999" customHeight="1">
      <c r="AA10188"/>
    </row>
    <row r="10189" spans="27:27" ht="17.899999999999999" customHeight="1">
      <c r="AA10189"/>
    </row>
    <row r="10190" spans="27:27" ht="17.899999999999999" customHeight="1">
      <c r="AA10190"/>
    </row>
    <row r="10191" spans="27:27" ht="17.899999999999999" customHeight="1">
      <c r="AA10191"/>
    </row>
    <row r="10192" spans="27:27" ht="17.899999999999999" customHeight="1">
      <c r="AA10192"/>
    </row>
    <row r="10193" spans="27:27" ht="17.899999999999999" customHeight="1">
      <c r="AA10193"/>
    </row>
    <row r="10194" spans="27:27" ht="17.899999999999999" customHeight="1">
      <c r="AA10194"/>
    </row>
    <row r="10195" spans="27:27" ht="17.899999999999999" customHeight="1">
      <c r="AA10195"/>
    </row>
    <row r="10196" spans="27:27" ht="17.899999999999999" customHeight="1">
      <c r="AA10196"/>
    </row>
    <row r="10197" spans="27:27" ht="17.899999999999999" customHeight="1">
      <c r="AA10197"/>
    </row>
    <row r="10198" spans="27:27" ht="17.899999999999999" customHeight="1">
      <c r="AA10198"/>
    </row>
    <row r="10199" spans="27:27" ht="17.899999999999999" customHeight="1">
      <c r="AA10199"/>
    </row>
    <row r="10200" spans="27:27" ht="17.899999999999999" customHeight="1">
      <c r="AA10200"/>
    </row>
    <row r="10201" spans="27:27" ht="17.899999999999999" customHeight="1">
      <c r="AA10201"/>
    </row>
    <row r="10202" spans="27:27" ht="17.899999999999999" customHeight="1">
      <c r="AA10202"/>
    </row>
    <row r="10203" spans="27:27" ht="17.899999999999999" customHeight="1">
      <c r="AA10203"/>
    </row>
    <row r="10204" spans="27:27" ht="17.899999999999999" customHeight="1">
      <c r="AA10204"/>
    </row>
    <row r="10205" spans="27:27" ht="17.899999999999999" customHeight="1">
      <c r="AA10205"/>
    </row>
    <row r="10206" spans="27:27" ht="17.899999999999999" customHeight="1">
      <c r="AA10206"/>
    </row>
    <row r="10207" spans="27:27" ht="17.899999999999999" customHeight="1">
      <c r="AA10207"/>
    </row>
    <row r="10208" spans="27:27" ht="17.899999999999999" customHeight="1">
      <c r="AA10208"/>
    </row>
    <row r="10209" spans="27:27" ht="17.899999999999999" customHeight="1">
      <c r="AA10209"/>
    </row>
    <row r="10210" spans="27:27" ht="17.899999999999999" customHeight="1">
      <c r="AA10210"/>
    </row>
    <row r="10211" spans="27:27" ht="17.899999999999999" customHeight="1">
      <c r="AA10211"/>
    </row>
    <row r="10212" spans="27:27" ht="17.899999999999999" customHeight="1">
      <c r="AA10212"/>
    </row>
    <row r="10213" spans="27:27" ht="17.899999999999999" customHeight="1">
      <c r="AA10213"/>
    </row>
    <row r="10214" spans="27:27" ht="17.899999999999999" customHeight="1">
      <c r="AA10214"/>
    </row>
    <row r="10215" spans="27:27" ht="17.899999999999999" customHeight="1">
      <c r="AA10215"/>
    </row>
    <row r="10216" spans="27:27" ht="17.899999999999999" customHeight="1">
      <c r="AA10216"/>
    </row>
    <row r="10217" spans="27:27" ht="17.899999999999999" customHeight="1">
      <c r="AA10217"/>
    </row>
    <row r="10218" spans="27:27" ht="17.899999999999999" customHeight="1">
      <c r="AA10218"/>
    </row>
    <row r="10219" spans="27:27" ht="17.899999999999999" customHeight="1">
      <c r="AA10219"/>
    </row>
    <row r="10220" spans="27:27" ht="17.899999999999999" customHeight="1">
      <c r="AA10220"/>
    </row>
    <row r="10221" spans="27:27" ht="17.899999999999999" customHeight="1">
      <c r="AA10221"/>
    </row>
    <row r="10222" spans="27:27" ht="17.899999999999999" customHeight="1">
      <c r="AA10222"/>
    </row>
    <row r="10223" spans="27:27" ht="17.899999999999999" customHeight="1">
      <c r="AA10223"/>
    </row>
    <row r="10224" spans="27:27" ht="17.899999999999999" customHeight="1">
      <c r="AA10224"/>
    </row>
    <row r="10225" spans="27:27" ht="17.899999999999999" customHeight="1">
      <c r="AA10225"/>
    </row>
    <row r="10226" spans="27:27" ht="17.899999999999999" customHeight="1">
      <c r="AA10226"/>
    </row>
    <row r="10227" spans="27:27" ht="17.899999999999999" customHeight="1">
      <c r="AA10227"/>
    </row>
    <row r="10228" spans="27:27" ht="17.899999999999999" customHeight="1">
      <c r="AA10228"/>
    </row>
    <row r="10229" spans="27:27" ht="17.899999999999999" customHeight="1">
      <c r="AA10229"/>
    </row>
    <row r="10230" spans="27:27" ht="17.899999999999999" customHeight="1">
      <c r="AA10230"/>
    </row>
    <row r="10231" spans="27:27" ht="17.899999999999999" customHeight="1">
      <c r="AA10231"/>
    </row>
    <row r="10232" spans="27:27" ht="17.899999999999999" customHeight="1">
      <c r="AA10232"/>
    </row>
    <row r="10233" spans="27:27" ht="17.899999999999999" customHeight="1">
      <c r="AA10233"/>
    </row>
    <row r="10234" spans="27:27" ht="17.899999999999999" customHeight="1">
      <c r="AA10234"/>
    </row>
    <row r="10235" spans="27:27" ht="17.899999999999999" customHeight="1">
      <c r="AA10235"/>
    </row>
    <row r="10236" spans="27:27" ht="17.899999999999999" customHeight="1">
      <c r="AA10236"/>
    </row>
    <row r="10237" spans="27:27" ht="17.899999999999999" customHeight="1">
      <c r="AA10237"/>
    </row>
    <row r="10238" spans="27:27" ht="17.899999999999999" customHeight="1">
      <c r="AA10238"/>
    </row>
    <row r="10239" spans="27:27" ht="17.899999999999999" customHeight="1">
      <c r="AA10239"/>
    </row>
    <row r="10240" spans="27:27" ht="17.899999999999999" customHeight="1">
      <c r="AA10240"/>
    </row>
    <row r="10241" spans="27:27" ht="17.899999999999999" customHeight="1">
      <c r="AA10241"/>
    </row>
    <row r="10242" spans="27:27" ht="17.899999999999999" customHeight="1">
      <c r="AA10242"/>
    </row>
    <row r="10243" spans="27:27" ht="17.899999999999999" customHeight="1">
      <c r="AA10243"/>
    </row>
    <row r="10244" spans="27:27" ht="17.899999999999999" customHeight="1">
      <c r="AA10244"/>
    </row>
    <row r="10245" spans="27:27" ht="17.899999999999999" customHeight="1">
      <c r="AA10245"/>
    </row>
    <row r="10246" spans="27:27" ht="17.899999999999999" customHeight="1">
      <c r="AA10246"/>
    </row>
    <row r="10247" spans="27:27" ht="17.899999999999999" customHeight="1">
      <c r="AA10247"/>
    </row>
    <row r="10248" spans="27:27" ht="17.899999999999999" customHeight="1">
      <c r="AA10248"/>
    </row>
    <row r="10249" spans="27:27" ht="17.899999999999999" customHeight="1">
      <c r="AA10249"/>
    </row>
    <row r="10250" spans="27:27" ht="17.899999999999999" customHeight="1">
      <c r="AA10250"/>
    </row>
    <row r="10251" spans="27:27" ht="17.899999999999999" customHeight="1">
      <c r="AA10251"/>
    </row>
    <row r="10252" spans="27:27" ht="17.899999999999999" customHeight="1">
      <c r="AA10252"/>
    </row>
    <row r="10253" spans="27:27" ht="17.899999999999999" customHeight="1">
      <c r="AA10253"/>
    </row>
    <row r="10254" spans="27:27" ht="17.899999999999999" customHeight="1">
      <c r="AA10254"/>
    </row>
    <row r="10255" spans="27:27" ht="17.899999999999999" customHeight="1">
      <c r="AA10255"/>
    </row>
    <row r="10256" spans="27:27" ht="17.899999999999999" customHeight="1">
      <c r="AA10256"/>
    </row>
    <row r="10257" spans="27:27" ht="17.899999999999999" customHeight="1">
      <c r="AA10257"/>
    </row>
    <row r="10258" spans="27:27" ht="17.899999999999999" customHeight="1">
      <c r="AA10258"/>
    </row>
    <row r="10259" spans="27:27" ht="17.899999999999999" customHeight="1">
      <c r="AA10259"/>
    </row>
    <row r="10260" spans="27:27" ht="17.899999999999999" customHeight="1">
      <c r="AA10260"/>
    </row>
    <row r="10261" spans="27:27" ht="17.899999999999999" customHeight="1">
      <c r="AA10261"/>
    </row>
    <row r="10262" spans="27:27" ht="17.899999999999999" customHeight="1">
      <c r="AA10262"/>
    </row>
    <row r="10263" spans="27:27" ht="17.899999999999999" customHeight="1">
      <c r="AA10263"/>
    </row>
    <row r="10264" spans="27:27" ht="17.899999999999999" customHeight="1">
      <c r="AA10264"/>
    </row>
    <row r="10265" spans="27:27" ht="17.899999999999999" customHeight="1">
      <c r="AA10265"/>
    </row>
    <row r="10266" spans="27:27" ht="17.899999999999999" customHeight="1">
      <c r="AA10266"/>
    </row>
    <row r="10267" spans="27:27" ht="17.899999999999999" customHeight="1">
      <c r="AA10267"/>
    </row>
    <row r="10268" spans="27:27" ht="17.899999999999999" customHeight="1">
      <c r="AA10268"/>
    </row>
    <row r="10269" spans="27:27" ht="17.899999999999999" customHeight="1">
      <c r="AA10269"/>
    </row>
    <row r="10270" spans="27:27" ht="17.899999999999999" customHeight="1">
      <c r="AA10270"/>
    </row>
    <row r="10271" spans="27:27" ht="17.899999999999999" customHeight="1">
      <c r="AA10271"/>
    </row>
    <row r="10272" spans="27:27" ht="17.899999999999999" customHeight="1">
      <c r="AA10272"/>
    </row>
    <row r="10273" spans="27:27" ht="17.899999999999999" customHeight="1">
      <c r="AA10273"/>
    </row>
    <row r="10274" spans="27:27" ht="17.899999999999999" customHeight="1">
      <c r="AA10274"/>
    </row>
    <row r="10275" spans="27:27" ht="17.899999999999999" customHeight="1">
      <c r="AA10275"/>
    </row>
    <row r="10276" spans="27:27" ht="17.899999999999999" customHeight="1">
      <c r="AA10276"/>
    </row>
    <row r="10277" spans="27:27" ht="17.899999999999999" customHeight="1">
      <c r="AA10277"/>
    </row>
    <row r="10278" spans="27:27" ht="17.899999999999999" customHeight="1">
      <c r="AA10278"/>
    </row>
    <row r="10279" spans="27:27" ht="17.899999999999999" customHeight="1">
      <c r="AA10279"/>
    </row>
    <row r="10280" spans="27:27" ht="17.899999999999999" customHeight="1">
      <c r="AA10280"/>
    </row>
    <row r="10281" spans="27:27" ht="17.899999999999999" customHeight="1">
      <c r="AA10281"/>
    </row>
    <row r="10282" spans="27:27" ht="17.899999999999999" customHeight="1">
      <c r="AA10282"/>
    </row>
    <row r="10283" spans="27:27" ht="17.899999999999999" customHeight="1">
      <c r="AA10283"/>
    </row>
    <row r="10284" spans="27:27" ht="17.899999999999999" customHeight="1">
      <c r="AA10284"/>
    </row>
    <row r="10285" spans="27:27" ht="17.899999999999999" customHeight="1">
      <c r="AA10285"/>
    </row>
    <row r="10286" spans="27:27" ht="17.899999999999999" customHeight="1">
      <c r="AA10286"/>
    </row>
    <row r="10287" spans="27:27" ht="17.899999999999999" customHeight="1">
      <c r="AA10287"/>
    </row>
    <row r="10288" spans="27:27" ht="17.899999999999999" customHeight="1">
      <c r="AA10288"/>
    </row>
    <row r="10289" spans="27:27" ht="17.899999999999999" customHeight="1">
      <c r="AA10289"/>
    </row>
    <row r="10290" spans="27:27" ht="17.899999999999999" customHeight="1">
      <c r="AA10290"/>
    </row>
    <row r="10291" spans="27:27" ht="17.899999999999999" customHeight="1">
      <c r="AA10291"/>
    </row>
    <row r="10292" spans="27:27" ht="17.899999999999999" customHeight="1">
      <c r="AA10292"/>
    </row>
    <row r="10293" spans="27:27" ht="17.899999999999999" customHeight="1">
      <c r="AA10293"/>
    </row>
    <row r="10294" spans="27:27" ht="17.899999999999999" customHeight="1">
      <c r="AA10294"/>
    </row>
    <row r="10295" spans="27:27" ht="17.899999999999999" customHeight="1">
      <c r="AA10295"/>
    </row>
    <row r="10296" spans="27:27" ht="17.899999999999999" customHeight="1">
      <c r="AA10296"/>
    </row>
    <row r="10297" spans="27:27" ht="17.899999999999999" customHeight="1">
      <c r="AA10297"/>
    </row>
    <row r="10298" spans="27:27" ht="17.899999999999999" customHeight="1">
      <c r="AA10298"/>
    </row>
    <row r="10299" spans="27:27" ht="17.899999999999999" customHeight="1">
      <c r="AA10299"/>
    </row>
    <row r="10300" spans="27:27" ht="17.899999999999999" customHeight="1">
      <c r="AA10300"/>
    </row>
    <row r="10301" spans="27:27" ht="17.899999999999999" customHeight="1">
      <c r="AA10301"/>
    </row>
    <row r="10302" spans="27:27" ht="17.899999999999999" customHeight="1">
      <c r="AA10302"/>
    </row>
    <row r="10303" spans="27:27" ht="17.899999999999999" customHeight="1">
      <c r="AA10303"/>
    </row>
    <row r="10304" spans="27:27" ht="17.899999999999999" customHeight="1">
      <c r="AA10304"/>
    </row>
    <row r="10305" spans="27:27" ht="17.899999999999999" customHeight="1">
      <c r="AA10305"/>
    </row>
    <row r="10306" spans="27:27" ht="17.899999999999999" customHeight="1">
      <c r="AA10306"/>
    </row>
    <row r="10307" spans="27:27" ht="17.899999999999999" customHeight="1">
      <c r="AA10307"/>
    </row>
    <row r="10308" spans="27:27" ht="17.899999999999999" customHeight="1">
      <c r="AA10308"/>
    </row>
    <row r="10309" spans="27:27" ht="17.899999999999999" customHeight="1">
      <c r="AA10309"/>
    </row>
    <row r="10310" spans="27:27" ht="17.899999999999999" customHeight="1">
      <c r="AA10310"/>
    </row>
    <row r="10311" spans="27:27" ht="17.899999999999999" customHeight="1">
      <c r="AA10311"/>
    </row>
    <row r="10312" spans="27:27" ht="17.899999999999999" customHeight="1">
      <c r="AA10312"/>
    </row>
    <row r="10313" spans="27:27" ht="17.899999999999999" customHeight="1">
      <c r="AA10313"/>
    </row>
    <row r="10314" spans="27:27" ht="17.899999999999999" customHeight="1">
      <c r="AA10314"/>
    </row>
    <row r="10315" spans="27:27" ht="17.899999999999999" customHeight="1">
      <c r="AA10315"/>
    </row>
    <row r="10316" spans="27:27" ht="17.899999999999999" customHeight="1">
      <c r="AA10316"/>
    </row>
    <row r="10317" spans="27:27" ht="17.899999999999999" customHeight="1">
      <c r="AA10317"/>
    </row>
    <row r="10318" spans="27:27" ht="17.899999999999999" customHeight="1">
      <c r="AA10318"/>
    </row>
    <row r="10319" spans="27:27" ht="17.899999999999999" customHeight="1">
      <c r="AA10319"/>
    </row>
    <row r="10320" spans="27:27" ht="17.899999999999999" customHeight="1">
      <c r="AA10320"/>
    </row>
    <row r="10321" spans="27:27" ht="17.899999999999999" customHeight="1">
      <c r="AA10321"/>
    </row>
    <row r="10322" spans="27:27" ht="17.899999999999999" customHeight="1">
      <c r="AA10322"/>
    </row>
    <row r="10323" spans="27:27" ht="17.899999999999999" customHeight="1">
      <c r="AA10323"/>
    </row>
    <row r="10324" spans="27:27" ht="17.899999999999999" customHeight="1">
      <c r="AA10324"/>
    </row>
    <row r="10325" spans="27:27" ht="17.899999999999999" customHeight="1">
      <c r="AA10325"/>
    </row>
    <row r="10326" spans="27:27" ht="17.899999999999999" customHeight="1">
      <c r="AA10326"/>
    </row>
    <row r="10327" spans="27:27" ht="17.899999999999999" customHeight="1">
      <c r="AA10327"/>
    </row>
    <row r="10328" spans="27:27" ht="17.899999999999999" customHeight="1">
      <c r="AA10328"/>
    </row>
    <row r="10329" spans="27:27" ht="17.899999999999999" customHeight="1">
      <c r="AA10329"/>
    </row>
    <row r="10330" spans="27:27" ht="17.899999999999999" customHeight="1">
      <c r="AA10330"/>
    </row>
    <row r="10331" spans="27:27" ht="17.899999999999999" customHeight="1">
      <c r="AA10331"/>
    </row>
    <row r="10332" spans="27:27" ht="17.899999999999999" customHeight="1">
      <c r="AA10332"/>
    </row>
    <row r="10333" spans="27:27" ht="17.899999999999999" customHeight="1">
      <c r="AA10333"/>
    </row>
    <row r="10334" spans="27:27" ht="17.899999999999999" customHeight="1">
      <c r="AA10334"/>
    </row>
    <row r="10335" spans="27:27" ht="17.899999999999999" customHeight="1">
      <c r="AA10335"/>
    </row>
    <row r="10336" spans="27:27" ht="17.899999999999999" customHeight="1">
      <c r="AA10336"/>
    </row>
    <row r="10337" spans="27:27" ht="17.899999999999999" customHeight="1">
      <c r="AA10337"/>
    </row>
    <row r="10338" spans="27:27" ht="17.899999999999999" customHeight="1">
      <c r="AA10338"/>
    </row>
    <row r="10339" spans="27:27" ht="17.899999999999999" customHeight="1">
      <c r="AA10339"/>
    </row>
    <row r="10340" spans="27:27" ht="17.899999999999999" customHeight="1">
      <c r="AA10340"/>
    </row>
    <row r="10341" spans="27:27" ht="17.899999999999999" customHeight="1">
      <c r="AA10341"/>
    </row>
    <row r="10342" spans="27:27" ht="17.899999999999999" customHeight="1">
      <c r="AA10342"/>
    </row>
    <row r="10343" spans="27:27" ht="17.899999999999999" customHeight="1">
      <c r="AA10343"/>
    </row>
    <row r="10344" spans="27:27" ht="17.899999999999999" customHeight="1">
      <c r="AA10344"/>
    </row>
    <row r="10345" spans="27:27" ht="17.899999999999999" customHeight="1">
      <c r="AA10345"/>
    </row>
    <row r="10346" spans="27:27" ht="17.899999999999999" customHeight="1">
      <c r="AA10346"/>
    </row>
    <row r="10347" spans="27:27" ht="17.899999999999999" customHeight="1">
      <c r="AA10347"/>
    </row>
    <row r="10348" spans="27:27" ht="17.899999999999999" customHeight="1">
      <c r="AA10348"/>
    </row>
    <row r="10349" spans="27:27" ht="17.899999999999999" customHeight="1">
      <c r="AA10349"/>
    </row>
    <row r="10350" spans="27:27" ht="17.899999999999999" customHeight="1">
      <c r="AA10350"/>
    </row>
    <row r="10351" spans="27:27" ht="17.899999999999999" customHeight="1">
      <c r="AA10351"/>
    </row>
    <row r="10352" spans="27:27" ht="17.899999999999999" customHeight="1">
      <c r="AA10352"/>
    </row>
    <row r="10353" spans="27:27" ht="17.899999999999999" customHeight="1">
      <c r="AA10353"/>
    </row>
    <row r="10354" spans="27:27" ht="17.899999999999999" customHeight="1">
      <c r="AA10354"/>
    </row>
    <row r="10355" spans="27:27" ht="17.899999999999999" customHeight="1">
      <c r="AA10355"/>
    </row>
    <row r="10356" spans="27:27" ht="17.899999999999999" customHeight="1">
      <c r="AA10356"/>
    </row>
    <row r="10357" spans="27:27" ht="17.899999999999999" customHeight="1">
      <c r="AA10357"/>
    </row>
    <row r="10358" spans="27:27" ht="17.899999999999999" customHeight="1">
      <c r="AA10358"/>
    </row>
    <row r="10359" spans="27:27" ht="17.899999999999999" customHeight="1">
      <c r="AA10359"/>
    </row>
    <row r="10360" spans="27:27" ht="17.899999999999999" customHeight="1">
      <c r="AA10360"/>
    </row>
    <row r="10361" spans="27:27" ht="17.899999999999999" customHeight="1">
      <c r="AA10361"/>
    </row>
    <row r="10362" spans="27:27" ht="17.899999999999999" customHeight="1">
      <c r="AA10362"/>
    </row>
    <row r="10363" spans="27:27" ht="17.899999999999999" customHeight="1">
      <c r="AA10363"/>
    </row>
    <row r="10364" spans="27:27" ht="17.899999999999999" customHeight="1">
      <c r="AA10364"/>
    </row>
    <row r="10365" spans="27:27" ht="17.899999999999999" customHeight="1">
      <c r="AA10365"/>
    </row>
    <row r="10366" spans="27:27" ht="17.899999999999999" customHeight="1">
      <c r="AA10366"/>
    </row>
    <row r="10367" spans="27:27" ht="17.899999999999999" customHeight="1">
      <c r="AA10367"/>
    </row>
    <row r="10368" spans="27:27" ht="17.899999999999999" customHeight="1">
      <c r="AA10368"/>
    </row>
    <row r="10369" spans="27:27" ht="17.899999999999999" customHeight="1">
      <c r="AA10369"/>
    </row>
    <row r="10370" spans="27:27" ht="17.899999999999999" customHeight="1">
      <c r="AA10370"/>
    </row>
    <row r="10371" spans="27:27" ht="17.899999999999999" customHeight="1">
      <c r="AA10371"/>
    </row>
    <row r="10372" spans="27:27" ht="17.899999999999999" customHeight="1">
      <c r="AA10372"/>
    </row>
    <row r="10373" spans="27:27" ht="17.899999999999999" customHeight="1">
      <c r="AA10373"/>
    </row>
    <row r="10374" spans="27:27" ht="17.899999999999999" customHeight="1">
      <c r="AA10374"/>
    </row>
    <row r="10375" spans="27:27" ht="17.899999999999999" customHeight="1">
      <c r="AA10375"/>
    </row>
    <row r="10376" spans="27:27" ht="17.899999999999999" customHeight="1">
      <c r="AA10376"/>
    </row>
    <row r="10377" spans="27:27" ht="17.899999999999999" customHeight="1">
      <c r="AA10377"/>
    </row>
    <row r="10378" spans="27:27" ht="17.899999999999999" customHeight="1">
      <c r="AA10378"/>
    </row>
    <row r="10379" spans="27:27" ht="17.899999999999999" customHeight="1">
      <c r="AA10379"/>
    </row>
    <row r="10380" spans="27:27" ht="17.899999999999999" customHeight="1">
      <c r="AA10380"/>
    </row>
    <row r="10381" spans="27:27" ht="17.899999999999999" customHeight="1">
      <c r="AA10381"/>
    </row>
    <row r="10382" spans="27:27" ht="17.899999999999999" customHeight="1">
      <c r="AA10382"/>
    </row>
    <row r="10383" spans="27:27" ht="17.899999999999999" customHeight="1">
      <c r="AA10383"/>
    </row>
    <row r="10384" spans="27:27" ht="17.899999999999999" customHeight="1">
      <c r="AA10384"/>
    </row>
    <row r="10385" spans="27:27" ht="17.899999999999999" customHeight="1">
      <c r="AA10385"/>
    </row>
    <row r="10386" spans="27:27" ht="17.899999999999999" customHeight="1">
      <c r="AA10386"/>
    </row>
    <row r="10387" spans="27:27" ht="17.899999999999999" customHeight="1">
      <c r="AA10387"/>
    </row>
    <row r="10388" spans="27:27" ht="17.899999999999999" customHeight="1">
      <c r="AA10388"/>
    </row>
    <row r="10389" spans="27:27" ht="17.899999999999999" customHeight="1">
      <c r="AA10389"/>
    </row>
    <row r="10390" spans="27:27" ht="17.899999999999999" customHeight="1">
      <c r="AA10390"/>
    </row>
    <row r="10391" spans="27:27" ht="17.899999999999999" customHeight="1">
      <c r="AA10391"/>
    </row>
    <row r="10392" spans="27:27" ht="17.899999999999999" customHeight="1">
      <c r="AA10392"/>
    </row>
    <row r="10393" spans="27:27" ht="17.899999999999999" customHeight="1">
      <c r="AA10393"/>
    </row>
    <row r="10394" spans="27:27" ht="17.899999999999999" customHeight="1">
      <c r="AA10394"/>
    </row>
    <row r="10395" spans="27:27" ht="17.899999999999999" customHeight="1">
      <c r="AA10395"/>
    </row>
    <row r="10396" spans="27:27" ht="17.899999999999999" customHeight="1">
      <c r="AA10396"/>
    </row>
    <row r="10397" spans="27:27" ht="17.899999999999999" customHeight="1">
      <c r="AA10397"/>
    </row>
    <row r="10398" spans="27:27" ht="17.899999999999999" customHeight="1">
      <c r="AA10398"/>
    </row>
    <row r="10399" spans="27:27" ht="17.899999999999999" customHeight="1">
      <c r="AA10399"/>
    </row>
    <row r="10400" spans="27:27" ht="17.899999999999999" customHeight="1">
      <c r="AA10400"/>
    </row>
    <row r="10401" spans="27:27" ht="17.899999999999999" customHeight="1">
      <c r="AA10401"/>
    </row>
    <row r="10402" spans="27:27" ht="17.899999999999999" customHeight="1">
      <c r="AA10402"/>
    </row>
    <row r="10403" spans="27:27" ht="17.899999999999999" customHeight="1">
      <c r="AA10403"/>
    </row>
    <row r="10404" spans="27:27" ht="17.899999999999999" customHeight="1">
      <c r="AA10404"/>
    </row>
    <row r="10405" spans="27:27" ht="17.899999999999999" customHeight="1">
      <c r="AA10405"/>
    </row>
    <row r="10406" spans="27:27" ht="17.899999999999999" customHeight="1">
      <c r="AA10406"/>
    </row>
    <row r="10407" spans="27:27" ht="17.899999999999999" customHeight="1">
      <c r="AA10407"/>
    </row>
    <row r="10408" spans="27:27" ht="17.899999999999999" customHeight="1">
      <c r="AA10408"/>
    </row>
    <row r="10409" spans="27:27" ht="17.899999999999999" customHeight="1">
      <c r="AA10409"/>
    </row>
    <row r="10410" spans="27:27" ht="17.899999999999999" customHeight="1">
      <c r="AA10410"/>
    </row>
    <row r="10411" spans="27:27" ht="17.899999999999999" customHeight="1">
      <c r="AA10411"/>
    </row>
    <row r="10412" spans="27:27" ht="17.899999999999999" customHeight="1">
      <c r="AA10412"/>
    </row>
    <row r="10413" spans="27:27" ht="17.899999999999999" customHeight="1">
      <c r="AA10413"/>
    </row>
    <row r="10414" spans="27:27" ht="17.899999999999999" customHeight="1">
      <c r="AA10414"/>
    </row>
    <row r="10415" spans="27:27" ht="17.899999999999999" customHeight="1">
      <c r="AA10415"/>
    </row>
    <row r="10416" spans="27:27" ht="17.899999999999999" customHeight="1">
      <c r="AA10416"/>
    </row>
    <row r="10417" spans="27:27" ht="17.899999999999999" customHeight="1">
      <c r="AA10417"/>
    </row>
    <row r="10418" spans="27:27" ht="17.899999999999999" customHeight="1">
      <c r="AA10418"/>
    </row>
    <row r="10419" spans="27:27" ht="17.899999999999999" customHeight="1">
      <c r="AA10419"/>
    </row>
    <row r="10420" spans="27:27" ht="17.899999999999999" customHeight="1">
      <c r="AA10420"/>
    </row>
    <row r="10421" spans="27:27" ht="17.899999999999999" customHeight="1">
      <c r="AA10421"/>
    </row>
    <row r="10422" spans="27:27" ht="17.899999999999999" customHeight="1">
      <c r="AA10422"/>
    </row>
    <row r="10423" spans="27:27" ht="17.899999999999999" customHeight="1">
      <c r="AA10423"/>
    </row>
    <row r="10424" spans="27:27" ht="17.899999999999999" customHeight="1">
      <c r="AA10424"/>
    </row>
    <row r="10425" spans="27:27" ht="17.899999999999999" customHeight="1">
      <c r="AA10425"/>
    </row>
    <row r="10426" spans="27:27" ht="17.899999999999999" customHeight="1">
      <c r="AA10426"/>
    </row>
    <row r="10427" spans="27:27" ht="17.899999999999999" customHeight="1">
      <c r="AA10427"/>
    </row>
    <row r="10428" spans="27:27" ht="17.899999999999999" customHeight="1">
      <c r="AA10428"/>
    </row>
    <row r="10429" spans="27:27" ht="17.899999999999999" customHeight="1">
      <c r="AA10429"/>
    </row>
    <row r="10430" spans="27:27" ht="17.899999999999999" customHeight="1">
      <c r="AA10430"/>
    </row>
    <row r="10431" spans="27:27" ht="17.899999999999999" customHeight="1">
      <c r="AA10431"/>
    </row>
    <row r="10432" spans="27:27" ht="17.899999999999999" customHeight="1">
      <c r="AA10432"/>
    </row>
    <row r="10433" spans="27:27" ht="17.899999999999999" customHeight="1">
      <c r="AA10433"/>
    </row>
    <row r="10434" spans="27:27" ht="17.899999999999999" customHeight="1">
      <c r="AA10434"/>
    </row>
    <row r="10435" spans="27:27" ht="17.899999999999999" customHeight="1">
      <c r="AA10435"/>
    </row>
    <row r="10436" spans="27:27" ht="17.899999999999999" customHeight="1">
      <c r="AA10436"/>
    </row>
    <row r="10437" spans="27:27" ht="17.899999999999999" customHeight="1">
      <c r="AA10437"/>
    </row>
    <row r="10438" spans="27:27" ht="17.899999999999999" customHeight="1">
      <c r="AA10438"/>
    </row>
    <row r="10439" spans="27:27" ht="17.899999999999999" customHeight="1">
      <c r="AA10439"/>
    </row>
    <row r="10440" spans="27:27" ht="17.899999999999999" customHeight="1">
      <c r="AA10440"/>
    </row>
    <row r="10441" spans="27:27" ht="17.899999999999999" customHeight="1">
      <c r="AA10441"/>
    </row>
    <row r="10442" spans="27:27" ht="17.899999999999999" customHeight="1">
      <c r="AA10442"/>
    </row>
    <row r="10443" spans="27:27" ht="17.899999999999999" customHeight="1">
      <c r="AA10443"/>
    </row>
    <row r="10444" spans="27:27" ht="17.899999999999999" customHeight="1">
      <c r="AA10444"/>
    </row>
    <row r="10445" spans="27:27" ht="17.899999999999999" customHeight="1">
      <c r="AA10445"/>
    </row>
    <row r="10446" spans="27:27" ht="17.899999999999999" customHeight="1">
      <c r="AA10446"/>
    </row>
    <row r="10447" spans="27:27" ht="17.899999999999999" customHeight="1">
      <c r="AA10447"/>
    </row>
    <row r="10448" spans="27:27" ht="17.899999999999999" customHeight="1">
      <c r="AA10448"/>
    </row>
    <row r="10449" spans="27:27" ht="17.899999999999999" customHeight="1">
      <c r="AA10449"/>
    </row>
    <row r="10450" spans="27:27" ht="17.899999999999999" customHeight="1">
      <c r="AA10450"/>
    </row>
    <row r="10451" spans="27:27" ht="17.899999999999999" customHeight="1">
      <c r="AA10451"/>
    </row>
    <row r="10452" spans="27:27" ht="17.899999999999999" customHeight="1">
      <c r="AA10452"/>
    </row>
    <row r="10453" spans="27:27" ht="17.899999999999999" customHeight="1">
      <c r="AA10453"/>
    </row>
    <row r="10454" spans="27:27" ht="17.899999999999999" customHeight="1">
      <c r="AA10454"/>
    </row>
    <row r="10455" spans="27:27" ht="17.899999999999999" customHeight="1">
      <c r="AA10455"/>
    </row>
    <row r="10456" spans="27:27" ht="17.899999999999999" customHeight="1">
      <c r="AA10456"/>
    </row>
    <row r="10457" spans="27:27" ht="17.899999999999999" customHeight="1">
      <c r="AA10457"/>
    </row>
    <row r="10458" spans="27:27" ht="17.899999999999999" customHeight="1">
      <c r="AA10458"/>
    </row>
    <row r="10459" spans="27:27" ht="17.899999999999999" customHeight="1">
      <c r="AA10459"/>
    </row>
    <row r="10460" spans="27:27" ht="17.899999999999999" customHeight="1">
      <c r="AA10460"/>
    </row>
    <row r="10461" spans="27:27" ht="17.899999999999999" customHeight="1">
      <c r="AA10461"/>
    </row>
    <row r="10462" spans="27:27" ht="17.899999999999999" customHeight="1">
      <c r="AA10462"/>
    </row>
    <row r="10463" spans="27:27" ht="17.899999999999999" customHeight="1">
      <c r="AA10463"/>
    </row>
    <row r="10464" spans="27:27" ht="17.899999999999999" customHeight="1">
      <c r="AA10464"/>
    </row>
    <row r="10465" spans="27:27" ht="17.899999999999999" customHeight="1">
      <c r="AA10465"/>
    </row>
    <row r="10466" spans="27:27" ht="17.899999999999999" customHeight="1">
      <c r="AA10466"/>
    </row>
    <row r="10467" spans="27:27" ht="17.899999999999999" customHeight="1">
      <c r="AA10467"/>
    </row>
    <row r="10468" spans="27:27" ht="17.899999999999999" customHeight="1">
      <c r="AA10468"/>
    </row>
    <row r="10469" spans="27:27" ht="17.899999999999999" customHeight="1">
      <c r="AA10469"/>
    </row>
    <row r="10470" spans="27:27" ht="17.899999999999999" customHeight="1">
      <c r="AA10470"/>
    </row>
    <row r="10471" spans="27:27" ht="17.899999999999999" customHeight="1">
      <c r="AA10471"/>
    </row>
    <row r="10472" spans="27:27" ht="17.899999999999999" customHeight="1">
      <c r="AA10472"/>
    </row>
    <row r="10473" spans="27:27" ht="17.899999999999999" customHeight="1">
      <c r="AA10473"/>
    </row>
    <row r="10474" spans="27:27" ht="17.899999999999999" customHeight="1">
      <c r="AA10474"/>
    </row>
    <row r="10475" spans="27:27" ht="17.899999999999999" customHeight="1">
      <c r="AA10475"/>
    </row>
    <row r="10476" spans="27:27" ht="17.899999999999999" customHeight="1">
      <c r="AA10476"/>
    </row>
    <row r="10477" spans="27:27" ht="17.899999999999999" customHeight="1">
      <c r="AA10477"/>
    </row>
    <row r="10478" spans="27:27" ht="17.899999999999999" customHeight="1">
      <c r="AA10478"/>
    </row>
    <row r="10479" spans="27:27" ht="17.899999999999999" customHeight="1">
      <c r="AA10479"/>
    </row>
    <row r="10480" spans="27:27" ht="17.899999999999999" customHeight="1">
      <c r="AA10480"/>
    </row>
    <row r="10481" spans="27:27" ht="17.899999999999999" customHeight="1">
      <c r="AA10481"/>
    </row>
    <row r="10482" spans="27:27" ht="17.899999999999999" customHeight="1">
      <c r="AA10482"/>
    </row>
    <row r="10483" spans="27:27" ht="17.899999999999999" customHeight="1">
      <c r="AA10483"/>
    </row>
    <row r="10484" spans="27:27" ht="17.899999999999999" customHeight="1">
      <c r="AA10484"/>
    </row>
    <row r="10485" spans="27:27" ht="17.899999999999999" customHeight="1">
      <c r="AA10485"/>
    </row>
    <row r="10486" spans="27:27" ht="17.899999999999999" customHeight="1">
      <c r="AA10486"/>
    </row>
    <row r="10487" spans="27:27" ht="17.899999999999999" customHeight="1">
      <c r="AA10487"/>
    </row>
    <row r="10488" spans="27:27" ht="17.899999999999999" customHeight="1">
      <c r="AA10488"/>
    </row>
    <row r="10489" spans="27:27" ht="17.899999999999999" customHeight="1">
      <c r="AA10489"/>
    </row>
    <row r="10490" spans="27:27" ht="17.899999999999999" customHeight="1">
      <c r="AA10490"/>
    </row>
    <row r="10491" spans="27:27" ht="17.899999999999999" customHeight="1">
      <c r="AA10491"/>
    </row>
    <row r="10492" spans="27:27" ht="17.899999999999999" customHeight="1">
      <c r="AA10492"/>
    </row>
    <row r="10493" spans="27:27" ht="17.899999999999999" customHeight="1">
      <c r="AA10493"/>
    </row>
    <row r="10494" spans="27:27" ht="17.899999999999999" customHeight="1">
      <c r="AA10494"/>
    </row>
    <row r="10495" spans="27:27" ht="17.899999999999999" customHeight="1">
      <c r="AA10495"/>
    </row>
    <row r="10496" spans="27:27" ht="17.899999999999999" customHeight="1">
      <c r="AA10496"/>
    </row>
    <row r="10497" spans="27:27" ht="17.899999999999999" customHeight="1">
      <c r="AA10497"/>
    </row>
    <row r="10498" spans="27:27" ht="17.899999999999999" customHeight="1">
      <c r="AA10498"/>
    </row>
    <row r="10499" spans="27:27" ht="17.899999999999999" customHeight="1">
      <c r="AA10499"/>
    </row>
    <row r="10500" spans="27:27" ht="17.899999999999999" customHeight="1">
      <c r="AA10500"/>
    </row>
    <row r="10501" spans="27:27" ht="17.899999999999999" customHeight="1">
      <c r="AA10501"/>
    </row>
    <row r="10502" spans="27:27" ht="17.899999999999999" customHeight="1">
      <c r="AA10502"/>
    </row>
    <row r="10503" spans="27:27" ht="17.899999999999999" customHeight="1">
      <c r="AA10503"/>
    </row>
    <row r="10504" spans="27:27" ht="17.899999999999999" customHeight="1">
      <c r="AA10504"/>
    </row>
    <row r="10505" spans="27:27" ht="17.899999999999999" customHeight="1">
      <c r="AA10505"/>
    </row>
    <row r="10506" spans="27:27" ht="17.899999999999999" customHeight="1">
      <c r="AA10506"/>
    </row>
    <row r="10507" spans="27:27" ht="17.899999999999999" customHeight="1">
      <c r="AA10507"/>
    </row>
    <row r="10508" spans="27:27" ht="17.899999999999999" customHeight="1">
      <c r="AA10508"/>
    </row>
    <row r="10509" spans="27:27" ht="17.899999999999999" customHeight="1">
      <c r="AA10509"/>
    </row>
    <row r="10510" spans="27:27" ht="17.899999999999999" customHeight="1">
      <c r="AA10510"/>
    </row>
    <row r="10511" spans="27:27" ht="17.899999999999999" customHeight="1">
      <c r="AA10511"/>
    </row>
    <row r="10512" spans="27:27" ht="17.899999999999999" customHeight="1">
      <c r="AA10512"/>
    </row>
    <row r="10513" spans="27:27" ht="17.899999999999999" customHeight="1">
      <c r="AA10513"/>
    </row>
    <row r="10514" spans="27:27" ht="17.899999999999999" customHeight="1">
      <c r="AA10514"/>
    </row>
    <row r="10515" spans="27:27" ht="17.899999999999999" customHeight="1">
      <c r="AA10515"/>
    </row>
    <row r="10516" spans="27:27" ht="17.899999999999999" customHeight="1">
      <c r="AA10516"/>
    </row>
    <row r="10517" spans="27:27" ht="17.899999999999999" customHeight="1">
      <c r="AA10517"/>
    </row>
    <row r="10518" spans="27:27" ht="17.899999999999999" customHeight="1">
      <c r="AA10518"/>
    </row>
    <row r="10519" spans="27:27" ht="17.899999999999999" customHeight="1">
      <c r="AA10519"/>
    </row>
    <row r="10520" spans="27:27" ht="17.899999999999999" customHeight="1">
      <c r="AA10520"/>
    </row>
    <row r="10521" spans="27:27" ht="17.899999999999999" customHeight="1">
      <c r="AA10521"/>
    </row>
    <row r="10522" spans="27:27" ht="17.899999999999999" customHeight="1">
      <c r="AA10522"/>
    </row>
    <row r="10523" spans="27:27" ht="17.899999999999999" customHeight="1">
      <c r="AA10523"/>
    </row>
    <row r="10524" spans="27:27" ht="17.899999999999999" customHeight="1">
      <c r="AA10524"/>
    </row>
    <row r="10525" spans="27:27" ht="17.899999999999999" customHeight="1">
      <c r="AA10525"/>
    </row>
    <row r="10526" spans="27:27" ht="17.899999999999999" customHeight="1">
      <c r="AA10526"/>
    </row>
    <row r="10527" spans="27:27" ht="17.899999999999999" customHeight="1">
      <c r="AA10527"/>
    </row>
    <row r="10528" spans="27:27" ht="17.899999999999999" customHeight="1">
      <c r="AA10528"/>
    </row>
    <row r="10529" spans="27:27" ht="17.899999999999999" customHeight="1">
      <c r="AA10529"/>
    </row>
    <row r="10530" spans="27:27" ht="17.899999999999999" customHeight="1">
      <c r="AA10530"/>
    </row>
    <row r="10531" spans="27:27" ht="17.899999999999999" customHeight="1">
      <c r="AA10531"/>
    </row>
    <row r="10532" spans="27:27" ht="17.899999999999999" customHeight="1">
      <c r="AA10532"/>
    </row>
    <row r="10533" spans="27:27" ht="17.899999999999999" customHeight="1">
      <c r="AA10533"/>
    </row>
    <row r="10534" spans="27:27" ht="17.899999999999999" customHeight="1">
      <c r="AA10534"/>
    </row>
    <row r="10535" spans="27:27" ht="17.899999999999999" customHeight="1">
      <c r="AA10535"/>
    </row>
    <row r="10536" spans="27:27" ht="17.899999999999999" customHeight="1">
      <c r="AA10536"/>
    </row>
    <row r="10537" spans="27:27" ht="17.899999999999999" customHeight="1">
      <c r="AA10537"/>
    </row>
    <row r="10538" spans="27:27" ht="17.899999999999999" customHeight="1">
      <c r="AA10538"/>
    </row>
    <row r="10539" spans="27:27" ht="17.899999999999999" customHeight="1">
      <c r="AA10539"/>
    </row>
    <row r="10540" spans="27:27" ht="17.899999999999999" customHeight="1">
      <c r="AA10540"/>
    </row>
    <row r="10541" spans="27:27" ht="17.899999999999999" customHeight="1">
      <c r="AA10541"/>
    </row>
    <row r="10542" spans="27:27" ht="17.899999999999999" customHeight="1">
      <c r="AA10542"/>
    </row>
    <row r="10543" spans="27:27" ht="17.899999999999999" customHeight="1">
      <c r="AA10543"/>
    </row>
    <row r="10544" spans="27:27" ht="17.899999999999999" customHeight="1">
      <c r="AA10544"/>
    </row>
    <row r="10545" spans="27:27" ht="17.899999999999999" customHeight="1">
      <c r="AA10545"/>
    </row>
    <row r="10546" spans="27:27" ht="17.899999999999999" customHeight="1">
      <c r="AA10546"/>
    </row>
    <row r="10547" spans="27:27" ht="17.899999999999999" customHeight="1">
      <c r="AA10547"/>
    </row>
    <row r="10548" spans="27:27" ht="17.899999999999999" customHeight="1">
      <c r="AA10548"/>
    </row>
    <row r="10549" spans="27:27" ht="17.899999999999999" customHeight="1">
      <c r="AA10549"/>
    </row>
    <row r="10550" spans="27:27" ht="17.899999999999999" customHeight="1">
      <c r="AA10550"/>
    </row>
    <row r="10551" spans="27:27" ht="17.899999999999999" customHeight="1">
      <c r="AA10551"/>
    </row>
    <row r="10552" spans="27:27" ht="17.899999999999999" customHeight="1">
      <c r="AA10552"/>
    </row>
    <row r="10553" spans="27:27" ht="17.899999999999999" customHeight="1">
      <c r="AA10553"/>
    </row>
    <row r="10554" spans="27:27" ht="17.899999999999999" customHeight="1">
      <c r="AA10554"/>
    </row>
    <row r="10555" spans="27:27" ht="17.899999999999999" customHeight="1">
      <c r="AA10555"/>
    </row>
    <row r="10556" spans="27:27" ht="17.899999999999999" customHeight="1">
      <c r="AA10556"/>
    </row>
    <row r="10557" spans="27:27" ht="17.899999999999999" customHeight="1">
      <c r="AA10557"/>
    </row>
    <row r="10558" spans="27:27" ht="17.899999999999999" customHeight="1">
      <c r="AA10558"/>
    </row>
    <row r="10559" spans="27:27" ht="17.899999999999999" customHeight="1">
      <c r="AA10559"/>
    </row>
    <row r="10560" spans="27:27" ht="17.899999999999999" customHeight="1">
      <c r="AA10560"/>
    </row>
    <row r="10561" spans="27:27" ht="17.899999999999999" customHeight="1">
      <c r="AA10561"/>
    </row>
    <row r="10562" spans="27:27" ht="17.899999999999999" customHeight="1">
      <c r="AA10562"/>
    </row>
    <row r="10563" spans="27:27" ht="17.899999999999999" customHeight="1">
      <c r="AA10563"/>
    </row>
    <row r="10564" spans="27:27" ht="17.899999999999999" customHeight="1">
      <c r="AA10564"/>
    </row>
    <row r="10565" spans="27:27" ht="17.899999999999999" customHeight="1">
      <c r="AA10565"/>
    </row>
    <row r="10566" spans="27:27" ht="17.899999999999999" customHeight="1">
      <c r="AA10566"/>
    </row>
    <row r="10567" spans="27:27" ht="17.899999999999999" customHeight="1">
      <c r="AA10567"/>
    </row>
    <row r="10568" spans="27:27" ht="17.899999999999999" customHeight="1">
      <c r="AA10568"/>
    </row>
    <row r="10569" spans="27:27" ht="17.899999999999999" customHeight="1">
      <c r="AA10569"/>
    </row>
    <row r="10570" spans="27:27" ht="17.899999999999999" customHeight="1">
      <c r="AA10570"/>
    </row>
    <row r="10571" spans="27:27" ht="17.899999999999999" customHeight="1">
      <c r="AA10571"/>
    </row>
    <row r="10572" spans="27:27" ht="17.899999999999999" customHeight="1">
      <c r="AA10572"/>
    </row>
    <row r="10573" spans="27:27" ht="17.899999999999999" customHeight="1">
      <c r="AA10573"/>
    </row>
    <row r="10574" spans="27:27" ht="17.899999999999999" customHeight="1">
      <c r="AA10574"/>
    </row>
    <row r="10575" spans="27:27" ht="17.899999999999999" customHeight="1">
      <c r="AA10575"/>
    </row>
    <row r="10576" spans="27:27" ht="17.899999999999999" customHeight="1">
      <c r="AA10576"/>
    </row>
    <row r="10577" spans="27:27" ht="17.899999999999999" customHeight="1">
      <c r="AA10577"/>
    </row>
    <row r="10578" spans="27:27" ht="17.899999999999999" customHeight="1">
      <c r="AA10578"/>
    </row>
    <row r="10579" spans="27:27" ht="17.899999999999999" customHeight="1">
      <c r="AA10579"/>
    </row>
    <row r="10580" spans="27:27" ht="17.899999999999999" customHeight="1">
      <c r="AA10580"/>
    </row>
    <row r="10581" spans="27:27" ht="17.899999999999999" customHeight="1">
      <c r="AA10581"/>
    </row>
    <row r="10582" spans="27:27" ht="17.899999999999999" customHeight="1">
      <c r="AA10582"/>
    </row>
    <row r="10583" spans="27:27" ht="17.899999999999999" customHeight="1">
      <c r="AA10583"/>
    </row>
    <row r="10584" spans="27:27" ht="17.899999999999999" customHeight="1">
      <c r="AA10584"/>
    </row>
    <row r="10585" spans="27:27" ht="17.899999999999999" customHeight="1">
      <c r="AA10585"/>
    </row>
    <row r="10586" spans="27:27" ht="17.899999999999999" customHeight="1">
      <c r="AA10586"/>
    </row>
    <row r="10587" spans="27:27" ht="17.899999999999999" customHeight="1">
      <c r="AA10587"/>
    </row>
    <row r="10588" spans="27:27" ht="17.899999999999999" customHeight="1">
      <c r="AA10588"/>
    </row>
    <row r="10589" spans="27:27" ht="17.899999999999999" customHeight="1">
      <c r="AA10589"/>
    </row>
    <row r="10590" spans="27:27" ht="17.899999999999999" customHeight="1">
      <c r="AA10590"/>
    </row>
    <row r="10591" spans="27:27" ht="17.899999999999999" customHeight="1">
      <c r="AA10591"/>
    </row>
    <row r="10592" spans="27:27" ht="17.899999999999999" customHeight="1">
      <c r="AA10592"/>
    </row>
    <row r="10593" spans="27:27" ht="17.899999999999999" customHeight="1">
      <c r="AA10593"/>
    </row>
    <row r="10594" spans="27:27" ht="17.899999999999999" customHeight="1">
      <c r="AA10594"/>
    </row>
    <row r="10595" spans="27:27" ht="17.899999999999999" customHeight="1">
      <c r="AA10595"/>
    </row>
    <row r="10596" spans="27:27" ht="17.899999999999999" customHeight="1">
      <c r="AA10596"/>
    </row>
    <row r="10597" spans="27:27" ht="17.899999999999999" customHeight="1">
      <c r="AA10597"/>
    </row>
    <row r="10598" spans="27:27" ht="17.899999999999999" customHeight="1">
      <c r="AA10598"/>
    </row>
    <row r="10599" spans="27:27" ht="17.899999999999999" customHeight="1">
      <c r="AA10599"/>
    </row>
    <row r="10600" spans="27:27" ht="17.899999999999999" customHeight="1">
      <c r="AA10600"/>
    </row>
    <row r="10601" spans="27:27" ht="17.899999999999999" customHeight="1">
      <c r="AA10601"/>
    </row>
    <row r="10602" spans="27:27" ht="17.899999999999999" customHeight="1">
      <c r="AA10602"/>
    </row>
    <row r="10603" spans="27:27" ht="17.899999999999999" customHeight="1">
      <c r="AA10603"/>
    </row>
    <row r="10604" spans="27:27" ht="17.899999999999999" customHeight="1">
      <c r="AA10604"/>
    </row>
    <row r="10605" spans="27:27" ht="17.899999999999999" customHeight="1">
      <c r="AA10605"/>
    </row>
    <row r="10606" spans="27:27" ht="17.899999999999999" customHeight="1">
      <c r="AA10606"/>
    </row>
    <row r="10607" spans="27:27" ht="17.899999999999999" customHeight="1">
      <c r="AA10607"/>
    </row>
    <row r="10608" spans="27:27" ht="17.899999999999999" customHeight="1">
      <c r="AA10608"/>
    </row>
    <row r="10609" spans="27:27" ht="17.899999999999999" customHeight="1">
      <c r="AA10609"/>
    </row>
    <row r="10610" spans="27:27" ht="17.899999999999999" customHeight="1">
      <c r="AA10610"/>
    </row>
    <row r="10611" spans="27:27" ht="17.899999999999999" customHeight="1">
      <c r="AA10611"/>
    </row>
    <row r="10612" spans="27:27" ht="17.899999999999999" customHeight="1">
      <c r="AA10612"/>
    </row>
    <row r="10613" spans="27:27" ht="17.899999999999999" customHeight="1">
      <c r="AA10613"/>
    </row>
    <row r="10614" spans="27:27" ht="17.899999999999999" customHeight="1">
      <c r="AA10614"/>
    </row>
    <row r="10615" spans="27:27" ht="17.899999999999999" customHeight="1">
      <c r="AA10615"/>
    </row>
    <row r="10616" spans="27:27" ht="17.899999999999999" customHeight="1">
      <c r="AA10616"/>
    </row>
    <row r="10617" spans="27:27" ht="17.899999999999999" customHeight="1">
      <c r="AA10617"/>
    </row>
    <row r="10618" spans="27:27" ht="17.899999999999999" customHeight="1">
      <c r="AA10618"/>
    </row>
    <row r="10619" spans="27:27" ht="17.899999999999999" customHeight="1">
      <c r="AA10619"/>
    </row>
    <row r="10620" spans="27:27" ht="17.899999999999999" customHeight="1">
      <c r="AA10620"/>
    </row>
    <row r="10621" spans="27:27" ht="17.899999999999999" customHeight="1">
      <c r="AA10621"/>
    </row>
    <row r="10622" spans="27:27" ht="17.899999999999999" customHeight="1">
      <c r="AA10622"/>
    </row>
    <row r="10623" spans="27:27" ht="17.899999999999999" customHeight="1">
      <c r="AA10623"/>
    </row>
    <row r="10624" spans="27:27" ht="17.899999999999999" customHeight="1">
      <c r="AA10624"/>
    </row>
    <row r="10625" spans="27:27" ht="17.899999999999999" customHeight="1">
      <c r="AA10625"/>
    </row>
    <row r="10626" spans="27:27" ht="17.899999999999999" customHeight="1">
      <c r="AA10626"/>
    </row>
    <row r="10627" spans="27:27" ht="17.899999999999999" customHeight="1">
      <c r="AA10627"/>
    </row>
    <row r="10628" spans="27:27" ht="17.899999999999999" customHeight="1">
      <c r="AA10628"/>
    </row>
    <row r="10629" spans="27:27" ht="17.899999999999999" customHeight="1">
      <c r="AA10629"/>
    </row>
    <row r="10630" spans="27:27" ht="17.899999999999999" customHeight="1">
      <c r="AA10630"/>
    </row>
    <row r="10631" spans="27:27" ht="17.899999999999999" customHeight="1">
      <c r="AA10631"/>
    </row>
    <row r="10632" spans="27:27" ht="17.899999999999999" customHeight="1">
      <c r="AA10632"/>
    </row>
    <row r="10633" spans="27:27" ht="17.899999999999999" customHeight="1">
      <c r="AA10633"/>
    </row>
    <row r="10634" spans="27:27" ht="17.899999999999999" customHeight="1">
      <c r="AA10634"/>
    </row>
    <row r="10635" spans="27:27" ht="17.899999999999999" customHeight="1">
      <c r="AA10635"/>
    </row>
    <row r="10636" spans="27:27" ht="17.899999999999999" customHeight="1">
      <c r="AA10636"/>
    </row>
    <row r="10637" spans="27:27" ht="17.899999999999999" customHeight="1">
      <c r="AA10637"/>
    </row>
    <row r="10638" spans="27:27" ht="17.899999999999999" customHeight="1">
      <c r="AA10638"/>
    </row>
    <row r="10639" spans="27:27" ht="17.899999999999999" customHeight="1">
      <c r="AA10639"/>
    </row>
    <row r="10640" spans="27:27" ht="17.899999999999999" customHeight="1">
      <c r="AA10640"/>
    </row>
    <row r="10641" spans="27:27" ht="17.899999999999999" customHeight="1">
      <c r="AA10641"/>
    </row>
    <row r="10642" spans="27:27" ht="17.899999999999999" customHeight="1">
      <c r="AA10642"/>
    </row>
    <row r="10643" spans="27:27" ht="17.899999999999999" customHeight="1">
      <c r="AA10643"/>
    </row>
    <row r="10644" spans="27:27" ht="17.899999999999999" customHeight="1">
      <c r="AA10644"/>
    </row>
    <row r="10645" spans="27:27" ht="17.899999999999999" customHeight="1">
      <c r="AA10645"/>
    </row>
    <row r="10646" spans="27:27" ht="17.899999999999999" customHeight="1">
      <c r="AA10646"/>
    </row>
    <row r="10647" spans="27:27" ht="17.899999999999999" customHeight="1">
      <c r="AA10647"/>
    </row>
    <row r="10648" spans="27:27" ht="17.899999999999999" customHeight="1">
      <c r="AA10648"/>
    </row>
    <row r="10649" spans="27:27" ht="17.899999999999999" customHeight="1">
      <c r="AA10649"/>
    </row>
    <row r="10650" spans="27:27" ht="17.899999999999999" customHeight="1">
      <c r="AA10650"/>
    </row>
    <row r="10651" spans="27:27" ht="17.899999999999999" customHeight="1">
      <c r="AA10651"/>
    </row>
    <row r="10652" spans="27:27" ht="17.899999999999999" customHeight="1">
      <c r="AA10652"/>
    </row>
    <row r="10653" spans="27:27" ht="17.899999999999999" customHeight="1">
      <c r="AA10653"/>
    </row>
    <row r="10654" spans="27:27" ht="17.899999999999999" customHeight="1">
      <c r="AA10654"/>
    </row>
    <row r="10655" spans="27:27" ht="17.899999999999999" customHeight="1">
      <c r="AA10655"/>
    </row>
    <row r="10656" spans="27:27" ht="17.899999999999999" customHeight="1">
      <c r="AA10656"/>
    </row>
    <row r="10657" spans="27:27" ht="17.899999999999999" customHeight="1">
      <c r="AA10657"/>
    </row>
    <row r="10658" spans="27:27" ht="17.899999999999999" customHeight="1">
      <c r="AA10658"/>
    </row>
    <row r="10659" spans="27:27" ht="17.899999999999999" customHeight="1">
      <c r="AA10659"/>
    </row>
    <row r="10660" spans="27:27" ht="17.899999999999999" customHeight="1">
      <c r="AA10660"/>
    </row>
    <row r="10661" spans="27:27" ht="17.899999999999999" customHeight="1">
      <c r="AA10661"/>
    </row>
    <row r="10662" spans="27:27" ht="17.899999999999999" customHeight="1">
      <c r="AA10662"/>
    </row>
    <row r="10663" spans="27:27" ht="17.899999999999999" customHeight="1">
      <c r="AA10663"/>
    </row>
    <row r="10664" spans="27:27" ht="17.899999999999999" customHeight="1">
      <c r="AA10664"/>
    </row>
    <row r="10665" spans="27:27" ht="17.899999999999999" customHeight="1">
      <c r="AA10665"/>
    </row>
    <row r="10666" spans="27:27" ht="17.899999999999999" customHeight="1">
      <c r="AA10666"/>
    </row>
    <row r="10667" spans="27:27" ht="17.899999999999999" customHeight="1">
      <c r="AA10667"/>
    </row>
    <row r="10668" spans="27:27" ht="17.899999999999999" customHeight="1">
      <c r="AA10668"/>
    </row>
    <row r="10669" spans="27:27" ht="17.899999999999999" customHeight="1">
      <c r="AA10669"/>
    </row>
    <row r="10670" spans="27:27" ht="17.899999999999999" customHeight="1">
      <c r="AA10670"/>
    </row>
    <row r="10671" spans="27:27" ht="17.899999999999999" customHeight="1">
      <c r="AA10671"/>
    </row>
    <row r="10672" spans="27:27" ht="17.899999999999999" customHeight="1">
      <c r="AA10672"/>
    </row>
    <row r="10673" spans="27:27" ht="17.899999999999999" customHeight="1">
      <c r="AA10673"/>
    </row>
    <row r="10674" spans="27:27" ht="17.899999999999999" customHeight="1">
      <c r="AA10674"/>
    </row>
    <row r="10675" spans="27:27" ht="17.899999999999999" customHeight="1">
      <c r="AA10675"/>
    </row>
    <row r="10676" spans="27:27" ht="17.899999999999999" customHeight="1">
      <c r="AA10676"/>
    </row>
    <row r="10677" spans="27:27" ht="17.899999999999999" customHeight="1">
      <c r="AA10677"/>
    </row>
    <row r="10678" spans="27:27" ht="17.899999999999999" customHeight="1">
      <c r="AA10678"/>
    </row>
    <row r="10679" spans="27:27" ht="17.899999999999999" customHeight="1">
      <c r="AA10679"/>
    </row>
    <row r="10680" spans="27:27" ht="17.899999999999999" customHeight="1">
      <c r="AA10680"/>
    </row>
    <row r="10681" spans="27:27" ht="17.899999999999999" customHeight="1">
      <c r="AA10681"/>
    </row>
    <row r="10682" spans="27:27" ht="17.899999999999999" customHeight="1">
      <c r="AA10682"/>
    </row>
    <row r="10683" spans="27:27" ht="17.899999999999999" customHeight="1">
      <c r="AA10683"/>
    </row>
    <row r="10684" spans="27:27" ht="17.899999999999999" customHeight="1">
      <c r="AA10684"/>
    </row>
    <row r="10685" spans="27:27" ht="17.899999999999999" customHeight="1">
      <c r="AA10685"/>
    </row>
    <row r="10686" spans="27:27" ht="17.899999999999999" customHeight="1">
      <c r="AA10686"/>
    </row>
    <row r="10687" spans="27:27" ht="17.899999999999999" customHeight="1">
      <c r="AA10687"/>
    </row>
    <row r="10688" spans="27:27" ht="17.899999999999999" customHeight="1">
      <c r="AA10688"/>
    </row>
    <row r="10689" spans="27:27" ht="17.899999999999999" customHeight="1">
      <c r="AA10689"/>
    </row>
    <row r="10690" spans="27:27" ht="17.899999999999999" customHeight="1">
      <c r="AA10690"/>
    </row>
    <row r="10691" spans="27:27" ht="17.899999999999999" customHeight="1">
      <c r="AA10691"/>
    </row>
    <row r="10692" spans="27:27" ht="17.899999999999999" customHeight="1">
      <c r="AA10692"/>
    </row>
    <row r="10693" spans="27:27" ht="17.899999999999999" customHeight="1">
      <c r="AA10693"/>
    </row>
    <row r="10694" spans="27:27" ht="17.899999999999999" customHeight="1">
      <c r="AA10694"/>
    </row>
    <row r="10695" spans="27:27" ht="17.899999999999999" customHeight="1">
      <c r="AA10695"/>
    </row>
    <row r="10696" spans="27:27" ht="17.899999999999999" customHeight="1">
      <c r="AA10696"/>
    </row>
    <row r="10697" spans="27:27" ht="17.899999999999999" customHeight="1">
      <c r="AA10697"/>
    </row>
    <row r="10698" spans="27:27" ht="17.899999999999999" customHeight="1">
      <c r="AA10698"/>
    </row>
    <row r="10699" spans="27:27" ht="17.899999999999999" customHeight="1">
      <c r="AA10699"/>
    </row>
    <row r="10700" spans="27:27" ht="17.899999999999999" customHeight="1">
      <c r="AA10700"/>
    </row>
    <row r="10701" spans="27:27" ht="17.899999999999999" customHeight="1">
      <c r="AA10701"/>
    </row>
    <row r="10702" spans="27:27" ht="17.899999999999999" customHeight="1">
      <c r="AA10702"/>
    </row>
    <row r="10703" spans="27:27" ht="17.899999999999999" customHeight="1">
      <c r="AA10703"/>
    </row>
    <row r="10704" spans="27:27" ht="17.899999999999999" customHeight="1">
      <c r="AA10704"/>
    </row>
    <row r="10705" spans="27:27" ht="17.899999999999999" customHeight="1">
      <c r="AA10705"/>
    </row>
    <row r="10706" spans="27:27" ht="17.899999999999999" customHeight="1">
      <c r="AA10706"/>
    </row>
    <row r="10707" spans="27:27" ht="17.899999999999999" customHeight="1">
      <c r="AA10707"/>
    </row>
    <row r="10708" spans="27:27" ht="17.899999999999999" customHeight="1">
      <c r="AA10708"/>
    </row>
    <row r="10709" spans="27:27" ht="17.899999999999999" customHeight="1">
      <c r="AA10709"/>
    </row>
    <row r="10710" spans="27:27" ht="17.899999999999999" customHeight="1">
      <c r="AA10710"/>
    </row>
    <row r="10711" spans="27:27" ht="17.899999999999999" customHeight="1">
      <c r="AA10711"/>
    </row>
    <row r="10712" spans="27:27" ht="17.899999999999999" customHeight="1">
      <c r="AA10712"/>
    </row>
    <row r="10713" spans="27:27" ht="17.899999999999999" customHeight="1">
      <c r="AA10713"/>
    </row>
    <row r="10714" spans="27:27" ht="17.899999999999999" customHeight="1">
      <c r="AA10714"/>
    </row>
    <row r="10715" spans="27:27" ht="17.899999999999999" customHeight="1">
      <c r="AA10715"/>
    </row>
    <row r="10716" spans="27:27" ht="17.899999999999999" customHeight="1">
      <c r="AA10716"/>
    </row>
    <row r="10717" spans="27:27" ht="17.899999999999999" customHeight="1">
      <c r="AA10717"/>
    </row>
    <row r="10718" spans="27:27" ht="17.899999999999999" customHeight="1">
      <c r="AA10718"/>
    </row>
    <row r="10719" spans="27:27" ht="17.899999999999999" customHeight="1">
      <c r="AA10719"/>
    </row>
    <row r="10720" spans="27:27" ht="17.899999999999999" customHeight="1">
      <c r="AA10720"/>
    </row>
    <row r="10721" spans="27:27" ht="17.899999999999999" customHeight="1">
      <c r="AA10721"/>
    </row>
    <row r="10722" spans="27:27" ht="17.899999999999999" customHeight="1">
      <c r="AA10722"/>
    </row>
    <row r="10723" spans="27:27" ht="17.899999999999999" customHeight="1">
      <c r="AA10723"/>
    </row>
    <row r="10724" spans="27:27" ht="17.899999999999999" customHeight="1">
      <c r="AA10724"/>
    </row>
    <row r="10725" spans="27:27" ht="17.899999999999999" customHeight="1">
      <c r="AA10725"/>
    </row>
    <row r="10726" spans="27:27" ht="17.899999999999999" customHeight="1">
      <c r="AA10726"/>
    </row>
    <row r="10727" spans="27:27" ht="17.899999999999999" customHeight="1">
      <c r="AA10727"/>
    </row>
    <row r="10728" spans="27:27" ht="17.899999999999999" customHeight="1">
      <c r="AA10728"/>
    </row>
    <row r="10729" spans="27:27" ht="17.899999999999999" customHeight="1">
      <c r="AA10729"/>
    </row>
    <row r="10730" spans="27:27" ht="17.899999999999999" customHeight="1">
      <c r="AA10730"/>
    </row>
    <row r="10731" spans="27:27" ht="17.899999999999999" customHeight="1">
      <c r="AA10731"/>
    </row>
    <row r="10732" spans="27:27" ht="17.899999999999999" customHeight="1">
      <c r="AA10732"/>
    </row>
    <row r="10733" spans="27:27" ht="17.899999999999999" customHeight="1">
      <c r="AA10733"/>
    </row>
    <row r="10734" spans="27:27" ht="17.899999999999999" customHeight="1">
      <c r="AA10734"/>
    </row>
    <row r="10735" spans="27:27" ht="17.899999999999999" customHeight="1">
      <c r="AA10735"/>
    </row>
    <row r="10736" spans="27:27" ht="17.899999999999999" customHeight="1">
      <c r="AA10736"/>
    </row>
    <row r="10737" spans="27:27" ht="17.899999999999999" customHeight="1">
      <c r="AA10737"/>
    </row>
    <row r="10738" spans="27:27" ht="17.899999999999999" customHeight="1">
      <c r="AA10738"/>
    </row>
    <row r="10739" spans="27:27" ht="17.899999999999999" customHeight="1">
      <c r="AA10739"/>
    </row>
    <row r="10740" spans="27:27" ht="17.899999999999999" customHeight="1">
      <c r="AA10740"/>
    </row>
    <row r="10741" spans="27:27" ht="17.899999999999999" customHeight="1">
      <c r="AA10741"/>
    </row>
    <row r="10742" spans="27:27" ht="17.899999999999999" customHeight="1">
      <c r="AA10742"/>
    </row>
    <row r="10743" spans="27:27" ht="17.899999999999999" customHeight="1">
      <c r="AA10743"/>
    </row>
    <row r="10744" spans="27:27" ht="17.899999999999999" customHeight="1">
      <c r="AA10744"/>
    </row>
    <row r="10745" spans="27:27" ht="17.899999999999999" customHeight="1">
      <c r="AA10745"/>
    </row>
    <row r="10746" spans="27:27" ht="17.899999999999999" customHeight="1">
      <c r="AA10746"/>
    </row>
    <row r="10747" spans="27:27" ht="17.899999999999999" customHeight="1">
      <c r="AA10747"/>
    </row>
    <row r="10748" spans="27:27" ht="17.899999999999999" customHeight="1">
      <c r="AA10748"/>
    </row>
    <row r="10749" spans="27:27" ht="17.899999999999999" customHeight="1">
      <c r="AA10749"/>
    </row>
    <row r="10750" spans="27:27" ht="17.899999999999999" customHeight="1">
      <c r="AA10750"/>
    </row>
    <row r="10751" spans="27:27" ht="17.899999999999999" customHeight="1">
      <c r="AA10751"/>
    </row>
    <row r="10752" spans="27:27" ht="17.899999999999999" customHeight="1">
      <c r="AA10752"/>
    </row>
    <row r="10753" spans="27:27" ht="17.899999999999999" customHeight="1">
      <c r="AA10753"/>
    </row>
    <row r="10754" spans="27:27" ht="17.899999999999999" customHeight="1">
      <c r="AA10754"/>
    </row>
    <row r="10755" spans="27:27" ht="17.899999999999999" customHeight="1">
      <c r="AA10755"/>
    </row>
    <row r="10756" spans="27:27" ht="17.899999999999999" customHeight="1">
      <c r="AA10756"/>
    </row>
    <row r="10757" spans="27:27" ht="17.899999999999999" customHeight="1">
      <c r="AA10757"/>
    </row>
    <row r="10758" spans="27:27" ht="17.899999999999999" customHeight="1">
      <c r="AA10758"/>
    </row>
    <row r="10759" spans="27:27" ht="17.899999999999999" customHeight="1">
      <c r="AA10759"/>
    </row>
    <row r="10760" spans="27:27" ht="17.899999999999999" customHeight="1">
      <c r="AA10760"/>
    </row>
    <row r="10761" spans="27:27" ht="17.899999999999999" customHeight="1">
      <c r="AA10761"/>
    </row>
    <row r="10762" spans="27:27" ht="17.899999999999999" customHeight="1">
      <c r="AA10762"/>
    </row>
    <row r="10763" spans="27:27" ht="17.899999999999999" customHeight="1">
      <c r="AA10763"/>
    </row>
    <row r="10764" spans="27:27" ht="17.899999999999999" customHeight="1">
      <c r="AA10764"/>
    </row>
    <row r="10765" spans="27:27" ht="17.899999999999999" customHeight="1">
      <c r="AA10765"/>
    </row>
    <row r="10766" spans="27:27" ht="17.899999999999999" customHeight="1">
      <c r="AA10766"/>
    </row>
    <row r="10767" spans="27:27" ht="17.899999999999999" customHeight="1">
      <c r="AA10767"/>
    </row>
    <row r="10768" spans="27:27" ht="17.899999999999999" customHeight="1">
      <c r="AA10768"/>
    </row>
    <row r="10769" spans="27:27" ht="17.899999999999999" customHeight="1">
      <c r="AA10769"/>
    </row>
    <row r="10770" spans="27:27" ht="17.899999999999999" customHeight="1">
      <c r="AA10770"/>
    </row>
    <row r="10771" spans="27:27" ht="17.899999999999999" customHeight="1">
      <c r="AA10771"/>
    </row>
    <row r="10772" spans="27:27" ht="17.899999999999999" customHeight="1">
      <c r="AA10772"/>
    </row>
    <row r="10773" spans="27:27" ht="17.899999999999999" customHeight="1">
      <c r="AA10773"/>
    </row>
    <row r="10774" spans="27:27" ht="17.899999999999999" customHeight="1">
      <c r="AA10774"/>
    </row>
    <row r="10775" spans="27:27" ht="17.899999999999999" customHeight="1">
      <c r="AA10775"/>
    </row>
    <row r="10776" spans="27:27" ht="17.899999999999999" customHeight="1">
      <c r="AA10776"/>
    </row>
    <row r="10777" spans="27:27" ht="17.899999999999999" customHeight="1">
      <c r="AA10777"/>
    </row>
    <row r="10778" spans="27:27" ht="17.899999999999999" customHeight="1">
      <c r="AA10778"/>
    </row>
    <row r="10779" spans="27:27" ht="17.899999999999999" customHeight="1">
      <c r="AA10779"/>
    </row>
    <row r="10780" spans="27:27" ht="17.899999999999999" customHeight="1">
      <c r="AA10780"/>
    </row>
    <row r="10781" spans="27:27" ht="17.899999999999999" customHeight="1">
      <c r="AA10781"/>
    </row>
    <row r="10782" spans="27:27" ht="17.899999999999999" customHeight="1">
      <c r="AA10782"/>
    </row>
    <row r="10783" spans="27:27" ht="17.899999999999999" customHeight="1">
      <c r="AA10783"/>
    </row>
    <row r="10784" spans="27:27" ht="17.899999999999999" customHeight="1">
      <c r="AA10784"/>
    </row>
    <row r="10785" spans="27:27" ht="17.899999999999999" customHeight="1">
      <c r="AA10785"/>
    </row>
    <row r="10786" spans="27:27" ht="17.899999999999999" customHeight="1">
      <c r="AA10786"/>
    </row>
    <row r="10787" spans="27:27" ht="17.899999999999999" customHeight="1">
      <c r="AA10787"/>
    </row>
    <row r="10788" spans="27:27" ht="17.899999999999999" customHeight="1">
      <c r="AA10788"/>
    </row>
    <row r="10789" spans="27:27" ht="17.899999999999999" customHeight="1">
      <c r="AA10789"/>
    </row>
    <row r="10790" spans="27:27" ht="17.899999999999999" customHeight="1">
      <c r="AA10790"/>
    </row>
    <row r="10791" spans="27:27" ht="17.899999999999999" customHeight="1">
      <c r="AA10791"/>
    </row>
    <row r="10792" spans="27:27" ht="17.899999999999999" customHeight="1">
      <c r="AA10792"/>
    </row>
    <row r="10793" spans="27:27" ht="17.899999999999999" customHeight="1">
      <c r="AA10793"/>
    </row>
    <row r="10794" spans="27:27" ht="17.899999999999999" customHeight="1">
      <c r="AA10794"/>
    </row>
    <row r="10795" spans="27:27" ht="17.899999999999999" customHeight="1">
      <c r="AA10795"/>
    </row>
    <row r="10796" spans="27:27" ht="17.899999999999999" customHeight="1">
      <c r="AA10796"/>
    </row>
    <row r="10797" spans="27:27" ht="17.899999999999999" customHeight="1">
      <c r="AA10797"/>
    </row>
    <row r="10798" spans="27:27" ht="17.899999999999999" customHeight="1">
      <c r="AA10798"/>
    </row>
    <row r="10799" spans="27:27" ht="17.899999999999999" customHeight="1">
      <c r="AA10799"/>
    </row>
    <row r="10800" spans="27:27" ht="17.899999999999999" customHeight="1">
      <c r="AA10800"/>
    </row>
    <row r="10801" spans="27:27" ht="17.899999999999999" customHeight="1">
      <c r="AA10801"/>
    </row>
    <row r="10802" spans="27:27" ht="17.899999999999999" customHeight="1">
      <c r="AA10802"/>
    </row>
    <row r="10803" spans="27:27" ht="17.899999999999999" customHeight="1">
      <c r="AA10803"/>
    </row>
    <row r="10804" spans="27:27" ht="17.899999999999999" customHeight="1">
      <c r="AA10804"/>
    </row>
    <row r="10805" spans="27:27" ht="17.899999999999999" customHeight="1">
      <c r="AA10805"/>
    </row>
    <row r="10806" spans="27:27" ht="17.899999999999999" customHeight="1">
      <c r="AA10806"/>
    </row>
    <row r="10807" spans="27:27" ht="17.899999999999999" customHeight="1">
      <c r="AA10807"/>
    </row>
    <row r="10808" spans="27:27" ht="17.899999999999999" customHeight="1">
      <c r="AA10808"/>
    </row>
    <row r="10809" spans="27:27" ht="17.899999999999999" customHeight="1">
      <c r="AA10809"/>
    </row>
    <row r="10810" spans="27:27" ht="17.899999999999999" customHeight="1">
      <c r="AA10810"/>
    </row>
    <row r="10811" spans="27:27" ht="17.899999999999999" customHeight="1">
      <c r="AA10811"/>
    </row>
    <row r="10812" spans="27:27" ht="17.899999999999999" customHeight="1">
      <c r="AA10812"/>
    </row>
    <row r="10813" spans="27:27" ht="17.899999999999999" customHeight="1">
      <c r="AA10813"/>
    </row>
    <row r="10814" spans="27:27" ht="17.899999999999999" customHeight="1">
      <c r="AA10814"/>
    </row>
    <row r="10815" spans="27:27" ht="17.899999999999999" customHeight="1">
      <c r="AA10815"/>
    </row>
    <row r="10816" spans="27:27" ht="17.899999999999999" customHeight="1">
      <c r="AA10816"/>
    </row>
    <row r="10817" spans="27:27" ht="17.899999999999999" customHeight="1">
      <c r="AA10817"/>
    </row>
    <row r="10818" spans="27:27" ht="17.899999999999999" customHeight="1">
      <c r="AA10818"/>
    </row>
    <row r="10819" spans="27:27" ht="17.899999999999999" customHeight="1">
      <c r="AA10819"/>
    </row>
    <row r="10820" spans="27:27" ht="17.899999999999999" customHeight="1">
      <c r="AA10820"/>
    </row>
    <row r="10821" spans="27:27" ht="17.899999999999999" customHeight="1">
      <c r="AA10821"/>
    </row>
    <row r="10822" spans="27:27" ht="17.899999999999999" customHeight="1">
      <c r="AA10822"/>
    </row>
    <row r="10823" spans="27:27" ht="17.899999999999999" customHeight="1">
      <c r="AA10823"/>
    </row>
    <row r="10824" spans="27:27" ht="17.899999999999999" customHeight="1">
      <c r="AA10824"/>
    </row>
    <row r="10825" spans="27:27" ht="17.899999999999999" customHeight="1">
      <c r="AA10825"/>
    </row>
    <row r="10826" spans="27:27" ht="17.899999999999999" customHeight="1">
      <c r="AA10826"/>
    </row>
    <row r="10827" spans="27:27" ht="17.899999999999999" customHeight="1">
      <c r="AA10827"/>
    </row>
    <row r="10828" spans="27:27" ht="17.899999999999999" customHeight="1">
      <c r="AA10828"/>
    </row>
    <row r="10829" spans="27:27" ht="17.899999999999999" customHeight="1">
      <c r="AA10829"/>
    </row>
    <row r="10830" spans="27:27" ht="17.899999999999999" customHeight="1">
      <c r="AA10830"/>
    </row>
    <row r="10831" spans="27:27" ht="17.899999999999999" customHeight="1">
      <c r="AA10831"/>
    </row>
    <row r="10832" spans="27:27" ht="17.899999999999999" customHeight="1">
      <c r="AA10832"/>
    </row>
    <row r="10833" spans="27:27" ht="17.899999999999999" customHeight="1">
      <c r="AA10833"/>
    </row>
    <row r="10834" spans="27:27" ht="17.899999999999999" customHeight="1">
      <c r="AA10834"/>
    </row>
    <row r="10835" spans="27:27" ht="17.899999999999999" customHeight="1">
      <c r="AA10835"/>
    </row>
    <row r="10836" spans="27:27" ht="17.899999999999999" customHeight="1">
      <c r="AA10836"/>
    </row>
    <row r="10837" spans="27:27" ht="17.899999999999999" customHeight="1">
      <c r="AA10837"/>
    </row>
    <row r="10838" spans="27:27" ht="17.899999999999999" customHeight="1">
      <c r="AA10838"/>
    </row>
    <row r="10839" spans="27:27" ht="17.899999999999999" customHeight="1">
      <c r="AA10839"/>
    </row>
    <row r="10840" spans="27:27" ht="17.899999999999999" customHeight="1">
      <c r="AA10840"/>
    </row>
    <row r="10841" spans="27:27" ht="17.899999999999999" customHeight="1">
      <c r="AA10841"/>
    </row>
    <row r="10842" spans="27:27" ht="17.899999999999999" customHeight="1">
      <c r="AA10842"/>
    </row>
    <row r="10843" spans="27:27" ht="17.899999999999999" customHeight="1">
      <c r="AA10843"/>
    </row>
    <row r="10844" spans="27:27" ht="17.899999999999999" customHeight="1">
      <c r="AA10844"/>
    </row>
    <row r="10845" spans="27:27" ht="17.899999999999999" customHeight="1">
      <c r="AA10845"/>
    </row>
    <row r="10846" spans="27:27" ht="17.899999999999999" customHeight="1">
      <c r="AA10846"/>
    </row>
    <row r="10847" spans="27:27" ht="17.899999999999999" customHeight="1">
      <c r="AA10847"/>
    </row>
    <row r="10848" spans="27:27" ht="17.899999999999999" customHeight="1">
      <c r="AA10848"/>
    </row>
    <row r="10849" spans="27:27" ht="17.899999999999999" customHeight="1">
      <c r="AA10849"/>
    </row>
    <row r="10850" spans="27:27" ht="17.899999999999999" customHeight="1">
      <c r="AA10850"/>
    </row>
    <row r="10851" spans="27:27" ht="17.899999999999999" customHeight="1">
      <c r="AA10851"/>
    </row>
    <row r="10852" spans="27:27" ht="17.899999999999999" customHeight="1">
      <c r="AA10852"/>
    </row>
    <row r="10853" spans="27:27" ht="17.899999999999999" customHeight="1">
      <c r="AA10853"/>
    </row>
    <row r="10854" spans="27:27" ht="17.899999999999999" customHeight="1">
      <c r="AA10854"/>
    </row>
    <row r="10855" spans="27:27" ht="17.899999999999999" customHeight="1">
      <c r="AA10855"/>
    </row>
    <row r="10856" spans="27:27" ht="17.899999999999999" customHeight="1">
      <c r="AA10856"/>
    </row>
    <row r="10857" spans="27:27" ht="17.899999999999999" customHeight="1">
      <c r="AA10857"/>
    </row>
    <row r="10858" spans="27:27" ht="17.899999999999999" customHeight="1">
      <c r="AA10858"/>
    </row>
    <row r="10859" spans="27:27" ht="17.899999999999999" customHeight="1">
      <c r="AA10859"/>
    </row>
    <row r="10860" spans="27:27" ht="17.899999999999999" customHeight="1">
      <c r="AA10860"/>
    </row>
    <row r="10861" spans="27:27" ht="17.899999999999999" customHeight="1">
      <c r="AA10861"/>
    </row>
    <row r="10862" spans="27:27" ht="17.899999999999999" customHeight="1">
      <c r="AA10862"/>
    </row>
    <row r="10863" spans="27:27" ht="17.899999999999999" customHeight="1">
      <c r="AA10863"/>
    </row>
    <row r="10864" spans="27:27" ht="17.899999999999999" customHeight="1">
      <c r="AA10864"/>
    </row>
    <row r="10865" spans="27:27" ht="17.899999999999999" customHeight="1">
      <c r="AA10865"/>
    </row>
    <row r="10866" spans="27:27" ht="17.899999999999999" customHeight="1">
      <c r="AA10866"/>
    </row>
    <row r="10867" spans="27:27" ht="17.899999999999999" customHeight="1">
      <c r="AA10867"/>
    </row>
    <row r="10868" spans="27:27" ht="17.899999999999999" customHeight="1">
      <c r="AA10868"/>
    </row>
    <row r="10869" spans="27:27" ht="17.899999999999999" customHeight="1">
      <c r="AA10869"/>
    </row>
    <row r="10870" spans="27:27" ht="17.899999999999999" customHeight="1">
      <c r="AA10870"/>
    </row>
    <row r="10871" spans="27:27" ht="17.899999999999999" customHeight="1">
      <c r="AA10871"/>
    </row>
    <row r="10872" spans="27:27" ht="17.899999999999999" customHeight="1">
      <c r="AA10872"/>
    </row>
    <row r="10873" spans="27:27" ht="17.899999999999999" customHeight="1">
      <c r="AA10873"/>
    </row>
    <row r="10874" spans="27:27" ht="17.899999999999999" customHeight="1">
      <c r="AA10874"/>
    </row>
    <row r="10875" spans="27:27" ht="17.899999999999999" customHeight="1">
      <c r="AA10875"/>
    </row>
    <row r="10876" spans="27:27" ht="17.899999999999999" customHeight="1">
      <c r="AA10876"/>
    </row>
    <row r="10877" spans="27:27" ht="17.899999999999999" customHeight="1">
      <c r="AA10877"/>
    </row>
    <row r="10878" spans="27:27" ht="17.899999999999999" customHeight="1">
      <c r="AA10878"/>
    </row>
    <row r="10879" spans="27:27" ht="17.899999999999999" customHeight="1">
      <c r="AA10879"/>
    </row>
    <row r="10880" spans="27:27" ht="17.899999999999999" customHeight="1">
      <c r="AA10880"/>
    </row>
    <row r="10881" spans="27:27" ht="17.899999999999999" customHeight="1">
      <c r="AA10881"/>
    </row>
    <row r="10882" spans="27:27" ht="17.899999999999999" customHeight="1">
      <c r="AA10882"/>
    </row>
    <row r="10883" spans="27:27" ht="17.899999999999999" customHeight="1">
      <c r="AA10883"/>
    </row>
    <row r="10884" spans="27:27" ht="17.899999999999999" customHeight="1">
      <c r="AA10884"/>
    </row>
    <row r="10885" spans="27:27" ht="17.899999999999999" customHeight="1">
      <c r="AA10885"/>
    </row>
    <row r="10886" spans="27:27" ht="17.899999999999999" customHeight="1">
      <c r="AA10886"/>
    </row>
    <row r="10887" spans="27:27" ht="17.899999999999999" customHeight="1">
      <c r="AA10887"/>
    </row>
    <row r="10888" spans="27:27" ht="17.899999999999999" customHeight="1">
      <c r="AA10888"/>
    </row>
    <row r="10889" spans="27:27" ht="17.899999999999999" customHeight="1">
      <c r="AA10889"/>
    </row>
    <row r="10890" spans="27:27" ht="17.899999999999999" customHeight="1">
      <c r="AA10890"/>
    </row>
    <row r="10891" spans="27:27" ht="17.899999999999999" customHeight="1">
      <c r="AA10891"/>
    </row>
    <row r="10892" spans="27:27" ht="17.899999999999999" customHeight="1">
      <c r="AA10892"/>
    </row>
    <row r="10893" spans="27:27" ht="17.899999999999999" customHeight="1">
      <c r="AA10893"/>
    </row>
    <row r="10894" spans="27:27" ht="17.899999999999999" customHeight="1">
      <c r="AA10894"/>
    </row>
    <row r="10895" spans="27:27" ht="17.899999999999999" customHeight="1">
      <c r="AA10895"/>
    </row>
    <row r="10896" spans="27:27" ht="17.899999999999999" customHeight="1">
      <c r="AA10896"/>
    </row>
    <row r="10897" spans="27:27" ht="17.899999999999999" customHeight="1">
      <c r="AA10897"/>
    </row>
    <row r="10898" spans="27:27" ht="17.899999999999999" customHeight="1">
      <c r="AA10898"/>
    </row>
    <row r="10899" spans="27:27" ht="17.899999999999999" customHeight="1">
      <c r="AA10899"/>
    </row>
    <row r="10900" spans="27:27" ht="17.899999999999999" customHeight="1">
      <c r="AA10900"/>
    </row>
    <row r="10901" spans="27:27" ht="17.899999999999999" customHeight="1">
      <c r="AA10901"/>
    </row>
    <row r="10902" spans="27:27" ht="17.899999999999999" customHeight="1">
      <c r="AA10902"/>
    </row>
    <row r="10903" spans="27:27" ht="17.899999999999999" customHeight="1">
      <c r="AA10903"/>
    </row>
    <row r="10904" spans="27:27" ht="17.899999999999999" customHeight="1">
      <c r="AA10904"/>
    </row>
    <row r="10905" spans="27:27" ht="17.899999999999999" customHeight="1">
      <c r="AA10905"/>
    </row>
    <row r="10906" spans="27:27" ht="17.899999999999999" customHeight="1">
      <c r="AA10906"/>
    </row>
    <row r="10907" spans="27:27" ht="17.899999999999999" customHeight="1">
      <c r="AA10907"/>
    </row>
    <row r="10908" spans="27:27" ht="17.899999999999999" customHeight="1">
      <c r="AA10908"/>
    </row>
    <row r="10909" spans="27:27" ht="17.899999999999999" customHeight="1">
      <c r="AA10909"/>
    </row>
    <row r="10910" spans="27:27" ht="17.899999999999999" customHeight="1">
      <c r="AA10910"/>
    </row>
    <row r="10911" spans="27:27" ht="17.899999999999999" customHeight="1">
      <c r="AA10911"/>
    </row>
    <row r="10912" spans="27:27" ht="17.899999999999999" customHeight="1">
      <c r="AA10912"/>
    </row>
    <row r="10913" spans="27:27" ht="17.899999999999999" customHeight="1">
      <c r="AA10913"/>
    </row>
    <row r="10914" spans="27:27" ht="17.899999999999999" customHeight="1">
      <c r="AA10914"/>
    </row>
    <row r="10915" spans="27:27" ht="17.899999999999999" customHeight="1">
      <c r="AA10915"/>
    </row>
    <row r="10916" spans="27:27" ht="17.899999999999999" customHeight="1">
      <c r="AA10916"/>
    </row>
    <row r="10917" spans="27:27" ht="17.899999999999999" customHeight="1">
      <c r="AA10917"/>
    </row>
    <row r="10918" spans="27:27" ht="17.899999999999999" customHeight="1">
      <c r="AA10918"/>
    </row>
    <row r="10919" spans="27:27" ht="17.899999999999999" customHeight="1">
      <c r="AA10919"/>
    </row>
    <row r="10920" spans="27:27" ht="17.899999999999999" customHeight="1">
      <c r="AA10920"/>
    </row>
    <row r="10921" spans="27:27" ht="17.899999999999999" customHeight="1">
      <c r="AA10921"/>
    </row>
    <row r="10922" spans="27:27" ht="17.899999999999999" customHeight="1">
      <c r="AA10922"/>
    </row>
    <row r="10923" spans="27:27" ht="17.899999999999999" customHeight="1">
      <c r="AA10923"/>
    </row>
    <row r="10924" spans="27:27" ht="17.899999999999999" customHeight="1">
      <c r="AA10924"/>
    </row>
    <row r="10925" spans="27:27" ht="17.899999999999999" customHeight="1">
      <c r="AA10925"/>
    </row>
    <row r="10926" spans="27:27" ht="17.899999999999999" customHeight="1">
      <c r="AA10926"/>
    </row>
    <row r="10927" spans="27:27" ht="17.899999999999999" customHeight="1">
      <c r="AA10927"/>
    </row>
    <row r="10928" spans="27:27" ht="17.899999999999999" customHeight="1">
      <c r="AA10928"/>
    </row>
    <row r="10929" spans="27:27" ht="17.899999999999999" customHeight="1">
      <c r="AA10929"/>
    </row>
    <row r="10930" spans="27:27" ht="17.899999999999999" customHeight="1">
      <c r="AA10930"/>
    </row>
    <row r="10931" spans="27:27" ht="17.899999999999999" customHeight="1">
      <c r="AA10931"/>
    </row>
    <row r="10932" spans="27:27" ht="17.899999999999999" customHeight="1">
      <c r="AA10932"/>
    </row>
    <row r="10933" spans="27:27" ht="17.899999999999999" customHeight="1">
      <c r="AA10933"/>
    </row>
    <row r="10934" spans="27:27" ht="17.899999999999999" customHeight="1">
      <c r="AA10934"/>
    </row>
    <row r="10935" spans="27:27" ht="17.899999999999999" customHeight="1">
      <c r="AA10935"/>
    </row>
    <row r="10936" spans="27:27" ht="17.899999999999999" customHeight="1">
      <c r="AA10936"/>
    </row>
    <row r="10937" spans="27:27" ht="17.899999999999999" customHeight="1">
      <c r="AA10937"/>
    </row>
    <row r="10938" spans="27:27" ht="17.899999999999999" customHeight="1">
      <c r="AA10938"/>
    </row>
    <row r="10939" spans="27:27" ht="17.899999999999999" customHeight="1">
      <c r="AA10939"/>
    </row>
    <row r="10940" spans="27:27" ht="17.899999999999999" customHeight="1">
      <c r="AA10940"/>
    </row>
    <row r="10941" spans="27:27" ht="17.899999999999999" customHeight="1">
      <c r="AA10941"/>
    </row>
    <row r="10942" spans="27:27" ht="17.899999999999999" customHeight="1">
      <c r="AA10942"/>
    </row>
    <row r="10943" spans="27:27" ht="17.899999999999999" customHeight="1">
      <c r="AA10943"/>
    </row>
    <row r="10944" spans="27:27" ht="17.899999999999999" customHeight="1">
      <c r="AA10944"/>
    </row>
    <row r="10945" spans="27:27" ht="17.899999999999999" customHeight="1">
      <c r="AA10945"/>
    </row>
    <row r="10946" spans="27:27" ht="17.899999999999999" customHeight="1">
      <c r="AA10946"/>
    </row>
    <row r="10947" spans="27:27" ht="17.899999999999999" customHeight="1">
      <c r="AA10947"/>
    </row>
    <row r="10948" spans="27:27" ht="17.899999999999999" customHeight="1">
      <c r="AA10948"/>
    </row>
    <row r="10949" spans="27:27" ht="17.899999999999999" customHeight="1">
      <c r="AA10949"/>
    </row>
    <row r="10950" spans="27:27" ht="17.899999999999999" customHeight="1">
      <c r="AA10950"/>
    </row>
    <row r="10951" spans="27:27" ht="17.899999999999999" customHeight="1">
      <c r="AA10951"/>
    </row>
    <row r="10952" spans="27:27" ht="17.899999999999999" customHeight="1">
      <c r="AA10952"/>
    </row>
    <row r="10953" spans="27:27" ht="17.899999999999999" customHeight="1">
      <c r="AA10953"/>
    </row>
    <row r="10954" spans="27:27" ht="17.899999999999999" customHeight="1">
      <c r="AA10954"/>
    </row>
    <row r="10955" spans="27:27" ht="17.899999999999999" customHeight="1">
      <c r="AA10955"/>
    </row>
    <row r="10956" spans="27:27" ht="17.899999999999999" customHeight="1">
      <c r="AA10956"/>
    </row>
    <row r="10957" spans="27:27" ht="17.899999999999999" customHeight="1">
      <c r="AA10957"/>
    </row>
    <row r="10958" spans="27:27" ht="17.899999999999999" customHeight="1">
      <c r="AA10958"/>
    </row>
    <row r="10959" spans="27:27" ht="17.899999999999999" customHeight="1">
      <c r="AA10959"/>
    </row>
    <row r="10960" spans="27:27" ht="17.899999999999999" customHeight="1">
      <c r="AA10960"/>
    </row>
    <row r="10961" spans="27:27" ht="17.899999999999999" customHeight="1">
      <c r="AA10961"/>
    </row>
    <row r="10962" spans="27:27" ht="17.899999999999999" customHeight="1">
      <c r="AA10962"/>
    </row>
    <row r="10963" spans="27:27" ht="17.899999999999999" customHeight="1">
      <c r="AA10963"/>
    </row>
    <row r="10964" spans="27:27" ht="17.899999999999999" customHeight="1">
      <c r="AA10964"/>
    </row>
    <row r="10965" spans="27:27" ht="17.899999999999999" customHeight="1">
      <c r="AA10965"/>
    </row>
    <row r="10966" spans="27:27" ht="17.899999999999999" customHeight="1">
      <c r="AA10966"/>
    </row>
    <row r="10967" spans="27:27" ht="17.899999999999999" customHeight="1">
      <c r="AA10967"/>
    </row>
    <row r="10968" spans="27:27" ht="17.899999999999999" customHeight="1">
      <c r="AA10968"/>
    </row>
    <row r="10969" spans="27:27" ht="17.899999999999999" customHeight="1">
      <c r="AA10969"/>
    </row>
    <row r="10970" spans="27:27" ht="17.899999999999999" customHeight="1">
      <c r="AA10970"/>
    </row>
    <row r="10971" spans="27:27" ht="17.899999999999999" customHeight="1">
      <c r="AA10971"/>
    </row>
    <row r="10972" spans="27:27" ht="17.899999999999999" customHeight="1">
      <c r="AA10972"/>
    </row>
    <row r="10973" spans="27:27" ht="17.899999999999999" customHeight="1">
      <c r="AA10973"/>
    </row>
    <row r="10974" spans="27:27" ht="17.899999999999999" customHeight="1">
      <c r="AA10974"/>
    </row>
    <row r="10975" spans="27:27" ht="17.899999999999999" customHeight="1">
      <c r="AA10975"/>
    </row>
    <row r="10976" spans="27:27" ht="17.899999999999999" customHeight="1">
      <c r="AA10976"/>
    </row>
    <row r="10977" spans="27:27" ht="17.899999999999999" customHeight="1">
      <c r="AA10977"/>
    </row>
    <row r="10978" spans="27:27" ht="17.899999999999999" customHeight="1">
      <c r="AA10978"/>
    </row>
    <row r="10979" spans="27:27" ht="17.899999999999999" customHeight="1">
      <c r="AA10979"/>
    </row>
    <row r="10980" spans="27:27" ht="17.899999999999999" customHeight="1">
      <c r="AA10980"/>
    </row>
    <row r="10981" spans="27:27" ht="17.899999999999999" customHeight="1">
      <c r="AA10981"/>
    </row>
    <row r="10982" spans="27:27" ht="17.899999999999999" customHeight="1">
      <c r="AA10982"/>
    </row>
    <row r="10983" spans="27:27" ht="17.899999999999999" customHeight="1">
      <c r="AA10983"/>
    </row>
    <row r="10984" spans="27:27" ht="17.899999999999999" customHeight="1">
      <c r="AA10984"/>
    </row>
    <row r="10985" spans="27:27" ht="17.899999999999999" customHeight="1">
      <c r="AA10985"/>
    </row>
    <row r="10986" spans="27:27" ht="17.899999999999999" customHeight="1">
      <c r="AA10986"/>
    </row>
    <row r="10987" spans="27:27" ht="17.899999999999999" customHeight="1">
      <c r="AA10987"/>
    </row>
    <row r="10988" spans="27:27" ht="17.899999999999999" customHeight="1">
      <c r="AA10988"/>
    </row>
    <row r="10989" spans="27:27" ht="17.899999999999999" customHeight="1">
      <c r="AA10989"/>
    </row>
    <row r="10990" spans="27:27" ht="17.899999999999999" customHeight="1">
      <c r="AA10990"/>
    </row>
    <row r="10991" spans="27:27" ht="17.899999999999999" customHeight="1">
      <c r="AA10991"/>
    </row>
    <row r="10992" spans="27:27" ht="17.899999999999999" customHeight="1">
      <c r="AA10992"/>
    </row>
    <row r="10993" spans="27:27" ht="17.899999999999999" customHeight="1">
      <c r="AA10993"/>
    </row>
    <row r="10994" spans="27:27" ht="17.899999999999999" customHeight="1">
      <c r="AA10994"/>
    </row>
    <row r="10995" spans="27:27" ht="17.899999999999999" customHeight="1">
      <c r="AA10995"/>
    </row>
    <row r="10996" spans="27:27" ht="17.899999999999999" customHeight="1">
      <c r="AA10996"/>
    </row>
    <row r="10997" spans="27:27" ht="17.899999999999999" customHeight="1">
      <c r="AA10997"/>
    </row>
    <row r="10998" spans="27:27" ht="17.899999999999999" customHeight="1">
      <c r="AA10998"/>
    </row>
    <row r="10999" spans="27:27" ht="17.899999999999999" customHeight="1">
      <c r="AA10999"/>
    </row>
    <row r="11000" spans="27:27" ht="17.899999999999999" customHeight="1">
      <c r="AA11000"/>
    </row>
    <row r="11001" spans="27:27" ht="17.899999999999999" customHeight="1">
      <c r="AA11001"/>
    </row>
    <row r="11002" spans="27:27" ht="17.899999999999999" customHeight="1">
      <c r="AA11002"/>
    </row>
    <row r="11003" spans="27:27" ht="17.899999999999999" customHeight="1">
      <c r="AA11003"/>
    </row>
    <row r="11004" spans="27:27" ht="17.899999999999999" customHeight="1">
      <c r="AA11004"/>
    </row>
    <row r="11005" spans="27:27" ht="17.899999999999999" customHeight="1">
      <c r="AA11005"/>
    </row>
    <row r="11006" spans="27:27" ht="17.899999999999999" customHeight="1">
      <c r="AA11006"/>
    </row>
    <row r="11007" spans="27:27" ht="17.899999999999999" customHeight="1">
      <c r="AA11007"/>
    </row>
    <row r="11008" spans="27:27" ht="17.899999999999999" customHeight="1">
      <c r="AA11008"/>
    </row>
    <row r="11009" spans="27:27" ht="17.899999999999999" customHeight="1">
      <c r="AA11009"/>
    </row>
    <row r="11010" spans="27:27" ht="17.899999999999999" customHeight="1">
      <c r="AA11010"/>
    </row>
    <row r="11011" spans="27:27" ht="17.899999999999999" customHeight="1">
      <c r="AA11011"/>
    </row>
    <row r="11012" spans="27:27" ht="17.899999999999999" customHeight="1">
      <c r="AA11012"/>
    </row>
    <row r="11013" spans="27:27" ht="17.899999999999999" customHeight="1">
      <c r="AA11013"/>
    </row>
    <row r="11014" spans="27:27" ht="17.899999999999999" customHeight="1">
      <c r="AA11014"/>
    </row>
    <row r="11015" spans="27:27" ht="17.899999999999999" customHeight="1">
      <c r="AA11015"/>
    </row>
    <row r="11016" spans="27:27" ht="17.899999999999999" customHeight="1">
      <c r="AA11016"/>
    </row>
    <row r="11017" spans="27:27" ht="17.899999999999999" customHeight="1">
      <c r="AA11017"/>
    </row>
    <row r="11018" spans="27:27" ht="17.899999999999999" customHeight="1">
      <c r="AA11018"/>
    </row>
    <row r="11019" spans="27:27" ht="17.899999999999999" customHeight="1">
      <c r="AA11019"/>
    </row>
    <row r="11020" spans="27:27" ht="17.899999999999999" customHeight="1">
      <c r="AA11020"/>
    </row>
    <row r="11021" spans="27:27" ht="17.899999999999999" customHeight="1">
      <c r="AA11021"/>
    </row>
    <row r="11022" spans="27:27" ht="17.899999999999999" customHeight="1">
      <c r="AA11022"/>
    </row>
    <row r="11023" spans="27:27" ht="17.899999999999999" customHeight="1">
      <c r="AA11023"/>
    </row>
    <row r="11024" spans="27:27" ht="17.899999999999999" customHeight="1">
      <c r="AA11024"/>
    </row>
    <row r="11025" spans="27:27" ht="17.899999999999999" customHeight="1">
      <c r="AA11025"/>
    </row>
    <row r="11026" spans="27:27" ht="17.899999999999999" customHeight="1">
      <c r="AA11026"/>
    </row>
    <row r="11027" spans="27:27" ht="17.899999999999999" customHeight="1">
      <c r="AA11027"/>
    </row>
    <row r="11028" spans="27:27" ht="17.899999999999999" customHeight="1">
      <c r="AA11028"/>
    </row>
    <row r="11029" spans="27:27" ht="17.899999999999999" customHeight="1">
      <c r="AA11029"/>
    </row>
    <row r="11030" spans="27:27" ht="17.899999999999999" customHeight="1">
      <c r="AA11030"/>
    </row>
    <row r="11031" spans="27:27" ht="17.899999999999999" customHeight="1">
      <c r="AA11031"/>
    </row>
    <row r="11032" spans="27:27" ht="17.899999999999999" customHeight="1">
      <c r="AA11032"/>
    </row>
    <row r="11033" spans="27:27" ht="17.899999999999999" customHeight="1">
      <c r="AA11033"/>
    </row>
    <row r="11034" spans="27:27" ht="17.899999999999999" customHeight="1">
      <c r="AA11034"/>
    </row>
    <row r="11035" spans="27:27" ht="17.899999999999999" customHeight="1">
      <c r="AA11035"/>
    </row>
    <row r="11036" spans="27:27" ht="17.899999999999999" customHeight="1">
      <c r="AA11036"/>
    </row>
    <row r="11037" spans="27:27" ht="17.899999999999999" customHeight="1">
      <c r="AA11037"/>
    </row>
    <row r="11038" spans="27:27" ht="17.899999999999999" customHeight="1">
      <c r="AA11038"/>
    </row>
    <row r="11039" spans="27:27" ht="17.899999999999999" customHeight="1">
      <c r="AA11039"/>
    </row>
    <row r="11040" spans="27:27" ht="17.899999999999999" customHeight="1">
      <c r="AA11040"/>
    </row>
    <row r="11041" spans="27:27" ht="17.899999999999999" customHeight="1">
      <c r="AA11041"/>
    </row>
    <row r="11042" spans="27:27" ht="17.899999999999999" customHeight="1">
      <c r="AA11042"/>
    </row>
    <row r="11043" spans="27:27" ht="17.899999999999999" customHeight="1">
      <c r="AA11043"/>
    </row>
    <row r="11044" spans="27:27" ht="17.899999999999999" customHeight="1">
      <c r="AA11044"/>
    </row>
    <row r="11045" spans="27:27" ht="17.899999999999999" customHeight="1">
      <c r="AA11045"/>
    </row>
    <row r="11046" spans="27:27" ht="17.899999999999999" customHeight="1">
      <c r="AA11046"/>
    </row>
    <row r="11047" spans="27:27" ht="17.899999999999999" customHeight="1">
      <c r="AA11047"/>
    </row>
    <row r="11048" spans="27:27" ht="17.899999999999999" customHeight="1">
      <c r="AA11048"/>
    </row>
    <row r="11049" spans="27:27" ht="17.899999999999999" customHeight="1">
      <c r="AA11049"/>
    </row>
    <row r="11050" spans="27:27" ht="17.899999999999999" customHeight="1">
      <c r="AA11050"/>
    </row>
    <row r="11051" spans="27:27" ht="17.899999999999999" customHeight="1">
      <c r="AA11051"/>
    </row>
    <row r="11052" spans="27:27" ht="17.899999999999999" customHeight="1">
      <c r="AA11052"/>
    </row>
    <row r="11053" spans="27:27" ht="17.899999999999999" customHeight="1">
      <c r="AA11053"/>
    </row>
    <row r="11054" spans="27:27" ht="17.899999999999999" customHeight="1">
      <c r="AA11054"/>
    </row>
    <row r="11055" spans="27:27" ht="17.899999999999999" customHeight="1">
      <c r="AA11055"/>
    </row>
    <row r="11056" spans="27:27" ht="17.899999999999999" customHeight="1">
      <c r="AA11056"/>
    </row>
    <row r="11057" spans="27:27" ht="17.899999999999999" customHeight="1">
      <c r="AA11057"/>
    </row>
    <row r="11058" spans="27:27" ht="17.899999999999999" customHeight="1">
      <c r="AA11058"/>
    </row>
    <row r="11059" spans="27:27" ht="17.899999999999999" customHeight="1">
      <c r="AA11059"/>
    </row>
    <row r="11060" spans="27:27" ht="17.899999999999999" customHeight="1">
      <c r="AA11060"/>
    </row>
    <row r="11061" spans="27:27" ht="17.899999999999999" customHeight="1">
      <c r="AA11061"/>
    </row>
    <row r="11062" spans="27:27" ht="17.899999999999999" customHeight="1">
      <c r="AA11062"/>
    </row>
    <row r="11063" spans="27:27" ht="17.899999999999999" customHeight="1">
      <c r="AA11063"/>
    </row>
    <row r="11064" spans="27:27" ht="17.899999999999999" customHeight="1">
      <c r="AA11064"/>
    </row>
    <row r="11065" spans="27:27" ht="17.899999999999999" customHeight="1">
      <c r="AA11065"/>
    </row>
    <row r="11066" spans="27:27" ht="17.899999999999999" customHeight="1">
      <c r="AA11066"/>
    </row>
    <row r="11067" spans="27:27" ht="17.899999999999999" customHeight="1">
      <c r="AA11067"/>
    </row>
    <row r="11068" spans="27:27" ht="17.899999999999999" customHeight="1">
      <c r="AA11068"/>
    </row>
    <row r="11069" spans="27:27" ht="17.899999999999999" customHeight="1">
      <c r="AA11069"/>
    </row>
    <row r="11070" spans="27:27" ht="17.899999999999999" customHeight="1">
      <c r="AA11070"/>
    </row>
    <row r="11071" spans="27:27" ht="17.899999999999999" customHeight="1">
      <c r="AA11071"/>
    </row>
    <row r="11072" spans="27:27" ht="17.899999999999999" customHeight="1">
      <c r="AA11072"/>
    </row>
    <row r="11073" spans="27:27" ht="17.899999999999999" customHeight="1">
      <c r="AA11073"/>
    </row>
    <row r="11074" spans="27:27" ht="17.899999999999999" customHeight="1">
      <c r="AA11074"/>
    </row>
    <row r="11075" spans="27:27" ht="17.899999999999999" customHeight="1">
      <c r="AA11075"/>
    </row>
    <row r="11076" spans="27:27" ht="17.899999999999999" customHeight="1">
      <c r="AA11076"/>
    </row>
    <row r="11077" spans="27:27" ht="17.899999999999999" customHeight="1">
      <c r="AA11077"/>
    </row>
    <row r="11078" spans="27:27" ht="17.899999999999999" customHeight="1">
      <c r="AA11078"/>
    </row>
    <row r="11079" spans="27:27" ht="17.899999999999999" customHeight="1">
      <c r="AA11079"/>
    </row>
    <row r="11080" spans="27:27" ht="17.899999999999999" customHeight="1">
      <c r="AA11080"/>
    </row>
    <row r="11081" spans="27:27" ht="17.899999999999999" customHeight="1">
      <c r="AA11081"/>
    </row>
    <row r="11082" spans="27:27" ht="17.899999999999999" customHeight="1">
      <c r="AA11082"/>
    </row>
    <row r="11083" spans="27:27" ht="17.899999999999999" customHeight="1">
      <c r="AA11083"/>
    </row>
    <row r="11084" spans="27:27" ht="17.899999999999999" customHeight="1">
      <c r="AA11084"/>
    </row>
    <row r="11085" spans="27:27" ht="17.899999999999999" customHeight="1">
      <c r="AA11085"/>
    </row>
    <row r="11086" spans="27:27" ht="17.899999999999999" customHeight="1">
      <c r="AA11086"/>
    </row>
    <row r="11087" spans="27:27" ht="17.899999999999999" customHeight="1">
      <c r="AA11087"/>
    </row>
    <row r="11088" spans="27:27" ht="17.899999999999999" customHeight="1">
      <c r="AA11088"/>
    </row>
    <row r="11089" spans="27:27" ht="17.899999999999999" customHeight="1">
      <c r="AA11089"/>
    </row>
    <row r="11090" spans="27:27" ht="17.899999999999999" customHeight="1">
      <c r="AA11090"/>
    </row>
    <row r="11091" spans="27:27" ht="17.899999999999999" customHeight="1">
      <c r="AA11091"/>
    </row>
    <row r="11092" spans="27:27" ht="17.899999999999999" customHeight="1">
      <c r="AA11092"/>
    </row>
    <row r="11093" spans="27:27" ht="17.899999999999999" customHeight="1">
      <c r="AA11093"/>
    </row>
    <row r="11094" spans="27:27" ht="17.899999999999999" customHeight="1">
      <c r="AA11094"/>
    </row>
    <row r="11095" spans="27:27" ht="17.899999999999999" customHeight="1">
      <c r="AA11095"/>
    </row>
    <row r="11096" spans="27:27" ht="17.899999999999999" customHeight="1">
      <c r="AA11096"/>
    </row>
    <row r="11097" spans="27:27" ht="17.899999999999999" customHeight="1">
      <c r="AA11097"/>
    </row>
    <row r="11098" spans="27:27" ht="17.899999999999999" customHeight="1">
      <c r="AA11098"/>
    </row>
    <row r="11099" spans="27:27" ht="17.899999999999999" customHeight="1">
      <c r="AA11099"/>
    </row>
    <row r="11100" spans="27:27" ht="17.899999999999999" customHeight="1">
      <c r="AA11100"/>
    </row>
    <row r="11101" spans="27:27" ht="17.899999999999999" customHeight="1">
      <c r="AA11101"/>
    </row>
    <row r="11102" spans="27:27" ht="17.899999999999999" customHeight="1">
      <c r="AA11102"/>
    </row>
    <row r="11103" spans="27:27" ht="17.899999999999999" customHeight="1">
      <c r="AA11103"/>
    </row>
    <row r="11104" spans="27:27" ht="17.899999999999999" customHeight="1">
      <c r="AA11104"/>
    </row>
    <row r="11105" spans="27:27" ht="17.899999999999999" customHeight="1">
      <c r="AA11105"/>
    </row>
    <row r="11106" spans="27:27" ht="17.899999999999999" customHeight="1">
      <c r="AA11106"/>
    </row>
    <row r="11107" spans="27:27" ht="17.899999999999999" customHeight="1">
      <c r="AA11107"/>
    </row>
    <row r="11108" spans="27:27" ht="17.899999999999999" customHeight="1">
      <c r="AA11108"/>
    </row>
    <row r="11109" spans="27:27" ht="17.899999999999999" customHeight="1">
      <c r="AA11109"/>
    </row>
    <row r="11110" spans="27:27" ht="17.899999999999999" customHeight="1">
      <c r="AA11110"/>
    </row>
    <row r="11111" spans="27:27" ht="17.899999999999999" customHeight="1">
      <c r="AA11111"/>
    </row>
    <row r="11112" spans="27:27" ht="17.899999999999999" customHeight="1">
      <c r="AA11112"/>
    </row>
    <row r="11113" spans="27:27" ht="17.899999999999999" customHeight="1">
      <c r="AA11113"/>
    </row>
    <row r="11114" spans="27:27" ht="17.899999999999999" customHeight="1">
      <c r="AA11114"/>
    </row>
    <row r="11115" spans="27:27" ht="17.899999999999999" customHeight="1">
      <c r="AA11115"/>
    </row>
    <row r="11116" spans="27:27" ht="17.899999999999999" customHeight="1">
      <c r="AA11116"/>
    </row>
    <row r="11117" spans="27:27" ht="17.899999999999999" customHeight="1">
      <c r="AA11117"/>
    </row>
    <row r="11118" spans="27:27" ht="17.899999999999999" customHeight="1">
      <c r="AA11118"/>
    </row>
    <row r="11119" spans="27:27" ht="17.899999999999999" customHeight="1">
      <c r="AA11119"/>
    </row>
    <row r="11120" spans="27:27" ht="17.899999999999999" customHeight="1">
      <c r="AA11120"/>
    </row>
    <row r="11121" spans="27:27" ht="17.899999999999999" customHeight="1">
      <c r="AA11121"/>
    </row>
    <row r="11122" spans="27:27" ht="17.899999999999999" customHeight="1">
      <c r="AA11122"/>
    </row>
    <row r="11123" spans="27:27" ht="17.899999999999999" customHeight="1">
      <c r="AA11123"/>
    </row>
    <row r="11124" spans="27:27" ht="17.899999999999999" customHeight="1">
      <c r="AA11124"/>
    </row>
    <row r="11125" spans="27:27" ht="17.899999999999999" customHeight="1">
      <c r="AA11125"/>
    </row>
    <row r="11126" spans="27:27" ht="17.899999999999999" customHeight="1">
      <c r="AA11126"/>
    </row>
    <row r="11127" spans="27:27" ht="17.899999999999999" customHeight="1">
      <c r="AA11127"/>
    </row>
    <row r="11128" spans="27:27" ht="17.899999999999999" customHeight="1">
      <c r="AA11128"/>
    </row>
    <row r="11129" spans="27:27" ht="17.899999999999999" customHeight="1">
      <c r="AA11129"/>
    </row>
    <row r="11130" spans="27:27" ht="17.899999999999999" customHeight="1">
      <c r="AA11130"/>
    </row>
    <row r="11131" spans="27:27" ht="17.899999999999999" customHeight="1">
      <c r="AA11131"/>
    </row>
    <row r="11132" spans="27:27" ht="17.899999999999999" customHeight="1">
      <c r="AA11132"/>
    </row>
    <row r="11133" spans="27:27" ht="17.899999999999999" customHeight="1">
      <c r="AA11133"/>
    </row>
    <row r="11134" spans="27:27" ht="17.899999999999999" customHeight="1">
      <c r="AA11134"/>
    </row>
    <row r="11135" spans="27:27" ht="17.899999999999999" customHeight="1">
      <c r="AA11135"/>
    </row>
    <row r="11136" spans="27:27" ht="17.899999999999999" customHeight="1">
      <c r="AA11136"/>
    </row>
    <row r="11137" spans="27:27" ht="17.899999999999999" customHeight="1">
      <c r="AA11137"/>
    </row>
    <row r="11138" spans="27:27" ht="17.899999999999999" customHeight="1">
      <c r="AA11138"/>
    </row>
    <row r="11139" spans="27:27" ht="17.899999999999999" customHeight="1">
      <c r="AA11139"/>
    </row>
    <row r="11140" spans="27:27" ht="17.899999999999999" customHeight="1">
      <c r="AA11140"/>
    </row>
    <row r="11141" spans="27:27" ht="17.899999999999999" customHeight="1">
      <c r="AA11141"/>
    </row>
    <row r="11142" spans="27:27" ht="17.899999999999999" customHeight="1">
      <c r="AA11142"/>
    </row>
    <row r="11143" spans="27:27" ht="17.899999999999999" customHeight="1">
      <c r="AA11143"/>
    </row>
    <row r="11144" spans="27:27" ht="17.899999999999999" customHeight="1">
      <c r="AA11144"/>
    </row>
    <row r="11145" spans="27:27" ht="17.899999999999999" customHeight="1">
      <c r="AA11145"/>
    </row>
    <row r="11146" spans="27:27" ht="17.899999999999999" customHeight="1">
      <c r="AA11146"/>
    </row>
    <row r="11147" spans="27:27" ht="17.899999999999999" customHeight="1">
      <c r="AA11147"/>
    </row>
    <row r="11148" spans="27:27" ht="17.899999999999999" customHeight="1">
      <c r="AA11148"/>
    </row>
    <row r="11149" spans="27:27" ht="17.899999999999999" customHeight="1">
      <c r="AA11149"/>
    </row>
    <row r="11150" spans="27:27" ht="17.899999999999999" customHeight="1">
      <c r="AA11150"/>
    </row>
    <row r="11151" spans="27:27" ht="17.899999999999999" customHeight="1">
      <c r="AA11151"/>
    </row>
    <row r="11152" spans="27:27" ht="17.899999999999999" customHeight="1">
      <c r="AA11152"/>
    </row>
    <row r="11153" spans="27:27" ht="17.899999999999999" customHeight="1">
      <c r="AA11153"/>
    </row>
    <row r="11154" spans="27:27" ht="17.899999999999999" customHeight="1">
      <c r="AA11154"/>
    </row>
    <row r="11155" spans="27:27" ht="17.899999999999999" customHeight="1">
      <c r="AA11155"/>
    </row>
    <row r="11156" spans="27:27" ht="17.899999999999999" customHeight="1">
      <c r="AA11156"/>
    </row>
    <row r="11157" spans="27:27" ht="17.899999999999999" customHeight="1">
      <c r="AA11157"/>
    </row>
    <row r="11158" spans="27:27" ht="17.899999999999999" customHeight="1">
      <c r="AA11158"/>
    </row>
    <row r="11159" spans="27:27" ht="17.899999999999999" customHeight="1">
      <c r="AA11159"/>
    </row>
    <row r="11160" spans="27:27" ht="17.899999999999999" customHeight="1">
      <c r="AA11160"/>
    </row>
    <row r="11161" spans="27:27" ht="17.899999999999999" customHeight="1">
      <c r="AA11161"/>
    </row>
    <row r="11162" spans="27:27" ht="17.899999999999999" customHeight="1">
      <c r="AA11162"/>
    </row>
    <row r="11163" spans="27:27" ht="17.899999999999999" customHeight="1">
      <c r="AA11163"/>
    </row>
    <row r="11164" spans="27:27" ht="17.899999999999999" customHeight="1">
      <c r="AA11164"/>
    </row>
    <row r="11165" spans="27:27" ht="17.899999999999999" customHeight="1">
      <c r="AA11165"/>
    </row>
    <row r="11166" spans="27:27" ht="17.899999999999999" customHeight="1">
      <c r="AA11166"/>
    </row>
    <row r="11167" spans="27:27" ht="17.899999999999999" customHeight="1">
      <c r="AA11167"/>
    </row>
    <row r="11168" spans="27:27" ht="17.899999999999999" customHeight="1">
      <c r="AA11168"/>
    </row>
    <row r="11169" spans="27:27" ht="17.899999999999999" customHeight="1">
      <c r="AA11169"/>
    </row>
    <row r="11170" spans="27:27" ht="17.899999999999999" customHeight="1">
      <c r="AA11170"/>
    </row>
    <row r="11171" spans="27:27" ht="17.899999999999999" customHeight="1">
      <c r="AA11171"/>
    </row>
    <row r="11172" spans="27:27" ht="17.899999999999999" customHeight="1">
      <c r="AA11172"/>
    </row>
    <row r="11173" spans="27:27" ht="17.899999999999999" customHeight="1">
      <c r="AA11173"/>
    </row>
    <row r="11174" spans="27:27" ht="17.899999999999999" customHeight="1">
      <c r="AA11174"/>
    </row>
    <row r="11175" spans="27:27" ht="17.899999999999999" customHeight="1">
      <c r="AA11175"/>
    </row>
    <row r="11176" spans="27:27" ht="17.899999999999999" customHeight="1">
      <c r="AA11176"/>
    </row>
    <row r="11177" spans="27:27" ht="17.899999999999999" customHeight="1">
      <c r="AA11177"/>
    </row>
    <row r="11178" spans="27:27" ht="17.899999999999999" customHeight="1">
      <c r="AA11178"/>
    </row>
    <row r="11179" spans="27:27" ht="17.899999999999999" customHeight="1">
      <c r="AA11179"/>
    </row>
    <row r="11180" spans="27:27" ht="17.899999999999999" customHeight="1">
      <c r="AA11180"/>
    </row>
    <row r="11181" spans="27:27" ht="17.899999999999999" customHeight="1">
      <c r="AA11181"/>
    </row>
    <row r="11182" spans="27:27" ht="17.899999999999999" customHeight="1">
      <c r="AA11182"/>
    </row>
    <row r="11183" spans="27:27" ht="17.899999999999999" customHeight="1">
      <c r="AA11183"/>
    </row>
    <row r="11184" spans="27:27" ht="17.899999999999999" customHeight="1">
      <c r="AA11184"/>
    </row>
    <row r="11185" spans="27:27" ht="17.899999999999999" customHeight="1">
      <c r="AA11185"/>
    </row>
    <row r="11186" spans="27:27" ht="17.899999999999999" customHeight="1">
      <c r="AA11186"/>
    </row>
    <row r="11187" spans="27:27" ht="17.899999999999999" customHeight="1">
      <c r="AA11187"/>
    </row>
    <row r="11188" spans="27:27" ht="17.899999999999999" customHeight="1">
      <c r="AA11188"/>
    </row>
    <row r="11189" spans="27:27" ht="17.899999999999999" customHeight="1">
      <c r="AA11189"/>
    </row>
    <row r="11190" spans="27:27" ht="17.899999999999999" customHeight="1">
      <c r="AA11190"/>
    </row>
    <row r="11191" spans="27:27" ht="17.899999999999999" customHeight="1">
      <c r="AA11191"/>
    </row>
    <row r="11192" spans="27:27" ht="17.899999999999999" customHeight="1">
      <c r="AA11192"/>
    </row>
    <row r="11193" spans="27:27" ht="17.899999999999999" customHeight="1">
      <c r="AA11193"/>
    </row>
    <row r="11194" spans="27:27" ht="17.899999999999999" customHeight="1">
      <c r="AA11194"/>
    </row>
    <row r="11195" spans="27:27" ht="17.899999999999999" customHeight="1">
      <c r="AA11195"/>
    </row>
    <row r="11196" spans="27:27" ht="17.899999999999999" customHeight="1">
      <c r="AA11196"/>
    </row>
    <row r="11197" spans="27:27" ht="17.899999999999999" customHeight="1">
      <c r="AA11197"/>
    </row>
    <row r="11198" spans="27:27" ht="17.899999999999999" customHeight="1">
      <c r="AA11198"/>
    </row>
    <row r="11199" spans="27:27" ht="17.899999999999999" customHeight="1">
      <c r="AA11199"/>
    </row>
    <row r="11200" spans="27:27" ht="17.899999999999999" customHeight="1">
      <c r="AA11200"/>
    </row>
    <row r="11201" spans="27:27" ht="17.899999999999999" customHeight="1">
      <c r="AA11201"/>
    </row>
    <row r="11202" spans="27:27" ht="17.899999999999999" customHeight="1">
      <c r="AA11202"/>
    </row>
    <row r="11203" spans="27:27" ht="17.899999999999999" customHeight="1">
      <c r="AA11203"/>
    </row>
    <row r="11204" spans="27:27" ht="17.899999999999999" customHeight="1">
      <c r="AA11204"/>
    </row>
    <row r="11205" spans="27:27" ht="17.899999999999999" customHeight="1">
      <c r="AA11205"/>
    </row>
    <row r="11206" spans="27:27" ht="17.899999999999999" customHeight="1">
      <c r="AA11206"/>
    </row>
    <row r="11207" spans="27:27" ht="17.899999999999999" customHeight="1">
      <c r="AA11207"/>
    </row>
    <row r="11208" spans="27:27" ht="17.899999999999999" customHeight="1">
      <c r="AA11208"/>
    </row>
    <row r="11209" spans="27:27" ht="17.899999999999999" customHeight="1">
      <c r="AA11209"/>
    </row>
    <row r="11210" spans="27:27" ht="17.899999999999999" customHeight="1">
      <c r="AA11210"/>
    </row>
    <row r="11211" spans="27:27" ht="17.899999999999999" customHeight="1">
      <c r="AA11211"/>
    </row>
    <row r="11212" spans="27:27" ht="17.899999999999999" customHeight="1">
      <c r="AA11212"/>
    </row>
    <row r="11213" spans="27:27" ht="17.899999999999999" customHeight="1">
      <c r="AA11213"/>
    </row>
    <row r="11214" spans="27:27" ht="17.899999999999999" customHeight="1">
      <c r="AA11214"/>
    </row>
    <row r="11215" spans="27:27" ht="17.899999999999999" customHeight="1">
      <c r="AA11215"/>
    </row>
    <row r="11216" spans="27:27" ht="17.899999999999999" customHeight="1">
      <c r="AA11216"/>
    </row>
    <row r="11217" spans="27:27" ht="17.899999999999999" customHeight="1">
      <c r="AA11217"/>
    </row>
    <row r="11218" spans="27:27" ht="17.899999999999999" customHeight="1">
      <c r="AA11218"/>
    </row>
    <row r="11219" spans="27:27" ht="17.899999999999999" customHeight="1">
      <c r="AA11219"/>
    </row>
    <row r="11220" spans="27:27" ht="17.899999999999999" customHeight="1">
      <c r="AA11220"/>
    </row>
    <row r="11221" spans="27:27" ht="17.899999999999999" customHeight="1">
      <c r="AA11221"/>
    </row>
    <row r="11222" spans="27:27" ht="17.899999999999999" customHeight="1">
      <c r="AA11222"/>
    </row>
    <row r="11223" spans="27:27" ht="17.899999999999999" customHeight="1">
      <c r="AA11223"/>
    </row>
    <row r="11224" spans="27:27" ht="17.899999999999999" customHeight="1">
      <c r="AA11224"/>
    </row>
    <row r="11225" spans="27:27" ht="17.899999999999999" customHeight="1">
      <c r="AA11225"/>
    </row>
    <row r="11226" spans="27:27" ht="17.899999999999999" customHeight="1">
      <c r="AA11226"/>
    </row>
    <row r="11227" spans="27:27" ht="17.899999999999999" customHeight="1">
      <c r="AA11227"/>
    </row>
    <row r="11228" spans="27:27" ht="17.899999999999999" customHeight="1">
      <c r="AA11228"/>
    </row>
    <row r="11229" spans="27:27" ht="17.899999999999999" customHeight="1">
      <c r="AA11229"/>
    </row>
    <row r="11230" spans="27:27" ht="17.899999999999999" customHeight="1">
      <c r="AA11230"/>
    </row>
    <row r="11231" spans="27:27" ht="17.899999999999999" customHeight="1">
      <c r="AA11231"/>
    </row>
    <row r="11232" spans="27:27" ht="17.899999999999999" customHeight="1">
      <c r="AA11232"/>
    </row>
    <row r="11233" spans="27:27" ht="17.899999999999999" customHeight="1">
      <c r="AA11233"/>
    </row>
    <row r="11234" spans="27:27" ht="17.899999999999999" customHeight="1">
      <c r="AA11234"/>
    </row>
    <row r="11235" spans="27:27" ht="17.899999999999999" customHeight="1">
      <c r="AA11235"/>
    </row>
    <row r="11236" spans="27:27" ht="17.899999999999999" customHeight="1">
      <c r="AA11236"/>
    </row>
    <row r="11237" spans="27:27" ht="17.899999999999999" customHeight="1">
      <c r="AA11237"/>
    </row>
    <row r="11238" spans="27:27" ht="17.899999999999999" customHeight="1">
      <c r="AA11238"/>
    </row>
    <row r="11239" spans="27:27" ht="17.899999999999999" customHeight="1">
      <c r="AA11239"/>
    </row>
    <row r="11240" spans="27:27" ht="17.899999999999999" customHeight="1">
      <c r="AA11240"/>
    </row>
    <row r="11241" spans="27:27" ht="17.899999999999999" customHeight="1">
      <c r="AA11241"/>
    </row>
    <row r="11242" spans="27:27" ht="17.899999999999999" customHeight="1">
      <c r="AA11242"/>
    </row>
    <row r="11243" spans="27:27" ht="17.899999999999999" customHeight="1">
      <c r="AA11243"/>
    </row>
    <row r="11244" spans="27:27" ht="17.899999999999999" customHeight="1">
      <c r="AA11244"/>
    </row>
    <row r="11245" spans="27:27" ht="17.899999999999999" customHeight="1">
      <c r="AA11245"/>
    </row>
    <row r="11246" spans="27:27" ht="17.899999999999999" customHeight="1">
      <c r="AA11246"/>
    </row>
    <row r="11247" spans="27:27" ht="17.899999999999999" customHeight="1">
      <c r="AA11247"/>
    </row>
    <row r="11248" spans="27:27" ht="17.899999999999999" customHeight="1">
      <c r="AA11248"/>
    </row>
    <row r="11249" spans="27:27" ht="17.899999999999999" customHeight="1">
      <c r="AA11249"/>
    </row>
    <row r="11250" spans="27:27" ht="17.899999999999999" customHeight="1">
      <c r="AA11250"/>
    </row>
    <row r="11251" spans="27:27" ht="17.899999999999999" customHeight="1">
      <c r="AA11251"/>
    </row>
    <row r="11252" spans="27:27" ht="17.899999999999999" customHeight="1">
      <c r="AA11252"/>
    </row>
    <row r="11253" spans="27:27" ht="17.899999999999999" customHeight="1">
      <c r="AA11253"/>
    </row>
    <row r="11254" spans="27:27" ht="17.899999999999999" customHeight="1">
      <c r="AA11254"/>
    </row>
    <row r="11255" spans="27:27" ht="17.899999999999999" customHeight="1">
      <c r="AA11255"/>
    </row>
    <row r="11256" spans="27:27" ht="17.899999999999999" customHeight="1">
      <c r="AA11256"/>
    </row>
    <row r="11257" spans="27:27" ht="17.899999999999999" customHeight="1">
      <c r="AA11257"/>
    </row>
    <row r="11258" spans="27:27" ht="17.899999999999999" customHeight="1">
      <c r="AA11258"/>
    </row>
    <row r="11259" spans="27:27" ht="17.899999999999999" customHeight="1">
      <c r="AA11259"/>
    </row>
    <row r="11260" spans="27:27" ht="17.899999999999999" customHeight="1">
      <c r="AA11260"/>
    </row>
    <row r="11261" spans="27:27" ht="17.899999999999999" customHeight="1">
      <c r="AA11261"/>
    </row>
    <row r="11262" spans="27:27" ht="17.899999999999999" customHeight="1">
      <c r="AA11262"/>
    </row>
    <row r="11263" spans="27:27" ht="17.899999999999999" customHeight="1">
      <c r="AA11263"/>
    </row>
    <row r="11264" spans="27:27" ht="17.899999999999999" customHeight="1">
      <c r="AA11264"/>
    </row>
    <row r="11265" spans="27:27" ht="17.899999999999999" customHeight="1">
      <c r="AA11265"/>
    </row>
    <row r="11266" spans="27:27" ht="17.899999999999999" customHeight="1">
      <c r="AA11266"/>
    </row>
    <row r="11267" spans="27:27" ht="17.899999999999999" customHeight="1">
      <c r="AA11267"/>
    </row>
    <row r="11268" spans="27:27" ht="17.899999999999999" customHeight="1">
      <c r="AA11268"/>
    </row>
    <row r="11269" spans="27:27" ht="17.899999999999999" customHeight="1">
      <c r="AA11269"/>
    </row>
    <row r="11270" spans="27:27" ht="17.899999999999999" customHeight="1">
      <c r="AA11270"/>
    </row>
    <row r="11271" spans="27:27" ht="17.899999999999999" customHeight="1">
      <c r="AA11271"/>
    </row>
    <row r="11272" spans="27:27" ht="17.899999999999999" customHeight="1">
      <c r="AA11272"/>
    </row>
    <row r="11273" spans="27:27" ht="17.899999999999999" customHeight="1">
      <c r="AA11273"/>
    </row>
    <row r="11274" spans="27:27" ht="17.899999999999999" customHeight="1">
      <c r="AA11274"/>
    </row>
    <row r="11275" spans="27:27" ht="17.899999999999999" customHeight="1">
      <c r="AA11275"/>
    </row>
    <row r="11276" spans="27:27" ht="17.899999999999999" customHeight="1">
      <c r="AA11276"/>
    </row>
    <row r="11277" spans="27:27" ht="17.899999999999999" customHeight="1">
      <c r="AA11277"/>
    </row>
    <row r="11278" spans="27:27" ht="17.899999999999999" customHeight="1">
      <c r="AA11278"/>
    </row>
    <row r="11279" spans="27:27" ht="17.899999999999999" customHeight="1">
      <c r="AA11279"/>
    </row>
    <row r="11280" spans="27:27" ht="17.899999999999999" customHeight="1">
      <c r="AA11280"/>
    </row>
    <row r="11281" spans="27:27" ht="17.899999999999999" customHeight="1">
      <c r="AA11281"/>
    </row>
    <row r="11282" spans="27:27" ht="17.899999999999999" customHeight="1">
      <c r="AA11282"/>
    </row>
    <row r="11283" spans="27:27" ht="17.899999999999999" customHeight="1">
      <c r="AA11283"/>
    </row>
    <row r="11284" spans="27:27" ht="17.899999999999999" customHeight="1">
      <c r="AA11284"/>
    </row>
    <row r="11285" spans="27:27" ht="17.899999999999999" customHeight="1">
      <c r="AA11285"/>
    </row>
    <row r="11286" spans="27:27" ht="17.899999999999999" customHeight="1">
      <c r="AA11286"/>
    </row>
    <row r="11287" spans="27:27" ht="17.899999999999999" customHeight="1">
      <c r="AA11287"/>
    </row>
    <row r="11288" spans="27:27" ht="17.899999999999999" customHeight="1">
      <c r="AA11288"/>
    </row>
    <row r="11289" spans="27:27" ht="17.899999999999999" customHeight="1">
      <c r="AA11289"/>
    </row>
    <row r="11290" spans="27:27" ht="17.899999999999999" customHeight="1">
      <c r="AA11290"/>
    </row>
    <row r="11291" spans="27:27" ht="17.899999999999999" customHeight="1">
      <c r="AA11291"/>
    </row>
    <row r="11292" spans="27:27" ht="17.899999999999999" customHeight="1">
      <c r="AA11292"/>
    </row>
    <row r="11293" spans="27:27" ht="17.899999999999999" customHeight="1">
      <c r="AA11293"/>
    </row>
    <row r="11294" spans="27:27" ht="17.899999999999999" customHeight="1">
      <c r="AA11294"/>
    </row>
    <row r="11295" spans="27:27" ht="17.899999999999999" customHeight="1">
      <c r="AA11295"/>
    </row>
    <row r="11296" spans="27:27" ht="17.899999999999999" customHeight="1">
      <c r="AA11296"/>
    </row>
    <row r="11297" spans="27:27" ht="17.899999999999999" customHeight="1">
      <c r="AA11297"/>
    </row>
    <row r="11298" spans="27:27" ht="17.899999999999999" customHeight="1">
      <c r="AA11298"/>
    </row>
    <row r="11299" spans="27:27" ht="17.899999999999999" customHeight="1">
      <c r="AA11299"/>
    </row>
    <row r="11300" spans="27:27" ht="17.899999999999999" customHeight="1">
      <c r="AA11300"/>
    </row>
    <row r="11301" spans="27:27" ht="17.899999999999999" customHeight="1">
      <c r="AA11301"/>
    </row>
    <row r="11302" spans="27:27" ht="17.899999999999999" customHeight="1">
      <c r="AA11302"/>
    </row>
    <row r="11303" spans="27:27" ht="17.899999999999999" customHeight="1">
      <c r="AA11303"/>
    </row>
    <row r="11304" spans="27:27" ht="17.899999999999999" customHeight="1">
      <c r="AA11304"/>
    </row>
    <row r="11305" spans="27:27" ht="17.899999999999999" customHeight="1">
      <c r="AA11305"/>
    </row>
    <row r="11306" spans="27:27" ht="17.899999999999999" customHeight="1">
      <c r="AA11306"/>
    </row>
    <row r="11307" spans="27:27" ht="17.899999999999999" customHeight="1">
      <c r="AA11307"/>
    </row>
    <row r="11308" spans="27:27" ht="17.899999999999999" customHeight="1">
      <c r="AA11308"/>
    </row>
    <row r="11309" spans="27:27" ht="17.899999999999999" customHeight="1">
      <c r="AA11309"/>
    </row>
    <row r="11310" spans="27:27" ht="17.899999999999999" customHeight="1">
      <c r="AA11310"/>
    </row>
    <row r="11311" spans="27:27" ht="17.899999999999999" customHeight="1">
      <c r="AA11311"/>
    </row>
    <row r="11312" spans="27:27" ht="17.899999999999999" customHeight="1">
      <c r="AA11312"/>
    </row>
    <row r="11313" spans="27:27" ht="17.899999999999999" customHeight="1">
      <c r="AA11313"/>
    </row>
    <row r="11314" spans="27:27" ht="17.899999999999999" customHeight="1">
      <c r="AA11314"/>
    </row>
    <row r="11315" spans="27:27" ht="17.899999999999999" customHeight="1">
      <c r="AA11315"/>
    </row>
    <row r="11316" spans="27:27" ht="17.899999999999999" customHeight="1">
      <c r="AA11316"/>
    </row>
    <row r="11317" spans="27:27" ht="17.899999999999999" customHeight="1">
      <c r="AA11317"/>
    </row>
    <row r="11318" spans="27:27" ht="17.899999999999999" customHeight="1">
      <c r="AA11318"/>
    </row>
    <row r="11319" spans="27:27" ht="17.899999999999999" customHeight="1">
      <c r="AA11319"/>
    </row>
    <row r="11320" spans="27:27" ht="17.899999999999999" customHeight="1">
      <c r="AA11320"/>
    </row>
    <row r="11321" spans="27:27" ht="17.899999999999999" customHeight="1">
      <c r="AA11321"/>
    </row>
    <row r="11322" spans="27:27" ht="17.899999999999999" customHeight="1">
      <c r="AA11322"/>
    </row>
    <row r="11323" spans="27:27" ht="17.899999999999999" customHeight="1">
      <c r="AA11323"/>
    </row>
    <row r="11324" spans="27:27" ht="17.899999999999999" customHeight="1">
      <c r="AA11324"/>
    </row>
    <row r="11325" spans="27:27" ht="17.899999999999999" customHeight="1">
      <c r="AA11325"/>
    </row>
    <row r="11326" spans="27:27" ht="17.899999999999999" customHeight="1">
      <c r="AA11326"/>
    </row>
    <row r="11327" spans="27:27" ht="17.899999999999999" customHeight="1">
      <c r="AA11327"/>
    </row>
    <row r="11328" spans="27:27" ht="17.899999999999999" customHeight="1">
      <c r="AA11328"/>
    </row>
    <row r="11329" spans="27:27" ht="17.899999999999999" customHeight="1">
      <c r="AA11329"/>
    </row>
    <row r="11330" spans="27:27" ht="17.899999999999999" customHeight="1">
      <c r="AA11330"/>
    </row>
    <row r="11331" spans="27:27" ht="17.899999999999999" customHeight="1">
      <c r="AA11331"/>
    </row>
    <row r="11332" spans="27:27" ht="17.899999999999999" customHeight="1">
      <c r="AA11332"/>
    </row>
    <row r="11333" spans="27:27" ht="17.899999999999999" customHeight="1">
      <c r="AA11333"/>
    </row>
    <row r="11334" spans="27:27" ht="17.899999999999999" customHeight="1">
      <c r="AA11334"/>
    </row>
    <row r="11335" spans="27:27" ht="17.899999999999999" customHeight="1">
      <c r="AA11335"/>
    </row>
    <row r="11336" spans="27:27" ht="17.899999999999999" customHeight="1">
      <c r="AA11336"/>
    </row>
    <row r="11337" spans="27:27" ht="17.899999999999999" customHeight="1">
      <c r="AA11337"/>
    </row>
    <row r="11338" spans="27:27" ht="17.899999999999999" customHeight="1">
      <c r="AA11338"/>
    </row>
    <row r="11339" spans="27:27" ht="17.899999999999999" customHeight="1">
      <c r="AA11339"/>
    </row>
    <row r="11340" spans="27:27" ht="17.899999999999999" customHeight="1">
      <c r="AA11340"/>
    </row>
    <row r="11341" spans="27:27" ht="17.899999999999999" customHeight="1">
      <c r="AA11341"/>
    </row>
    <row r="11342" spans="27:27" ht="17.899999999999999" customHeight="1">
      <c r="AA11342"/>
    </row>
    <row r="11343" spans="27:27" ht="17.899999999999999" customHeight="1">
      <c r="AA11343"/>
    </row>
    <row r="11344" spans="27:27" ht="17.899999999999999" customHeight="1">
      <c r="AA11344"/>
    </row>
    <row r="11345" spans="27:27" ht="17.899999999999999" customHeight="1">
      <c r="AA11345"/>
    </row>
    <row r="11346" spans="27:27" ht="17.899999999999999" customHeight="1">
      <c r="AA11346"/>
    </row>
    <row r="11347" spans="27:27" ht="17.899999999999999" customHeight="1">
      <c r="AA11347"/>
    </row>
    <row r="11348" spans="27:27" ht="17.899999999999999" customHeight="1">
      <c r="AA11348"/>
    </row>
    <row r="11349" spans="27:27" ht="17.899999999999999" customHeight="1">
      <c r="AA11349"/>
    </row>
    <row r="11350" spans="27:27" ht="17.899999999999999" customHeight="1">
      <c r="AA11350"/>
    </row>
    <row r="11351" spans="27:27" ht="17.899999999999999" customHeight="1">
      <c r="AA11351"/>
    </row>
    <row r="11352" spans="27:27" ht="17.899999999999999" customHeight="1">
      <c r="AA11352"/>
    </row>
    <row r="11353" spans="27:27" ht="17.899999999999999" customHeight="1">
      <c r="AA11353"/>
    </row>
    <row r="11354" spans="27:27" ht="17.899999999999999" customHeight="1">
      <c r="AA11354"/>
    </row>
    <row r="11355" spans="27:27" ht="17.899999999999999" customHeight="1">
      <c r="AA11355"/>
    </row>
    <row r="11356" spans="27:27" ht="17.899999999999999" customHeight="1">
      <c r="AA11356"/>
    </row>
    <row r="11357" spans="27:27" ht="17.899999999999999" customHeight="1">
      <c r="AA11357"/>
    </row>
    <row r="11358" spans="27:27" ht="17.899999999999999" customHeight="1">
      <c r="AA11358"/>
    </row>
    <row r="11359" spans="27:27" ht="17.899999999999999" customHeight="1">
      <c r="AA11359"/>
    </row>
    <row r="11360" spans="27:27" ht="17.899999999999999" customHeight="1">
      <c r="AA11360"/>
    </row>
    <row r="11361" spans="27:27" ht="17.899999999999999" customHeight="1">
      <c r="AA11361"/>
    </row>
    <row r="11362" spans="27:27" ht="17.899999999999999" customHeight="1">
      <c r="AA11362"/>
    </row>
    <row r="11363" spans="27:27" ht="17.899999999999999" customHeight="1">
      <c r="AA11363"/>
    </row>
    <row r="11364" spans="27:27" ht="17.899999999999999" customHeight="1">
      <c r="AA11364"/>
    </row>
    <row r="11365" spans="27:27" ht="17.899999999999999" customHeight="1">
      <c r="AA11365"/>
    </row>
    <row r="11366" spans="27:27" ht="17.899999999999999" customHeight="1">
      <c r="AA11366"/>
    </row>
    <row r="11367" spans="27:27" ht="17.899999999999999" customHeight="1">
      <c r="AA11367"/>
    </row>
    <row r="11368" spans="27:27" ht="17.899999999999999" customHeight="1">
      <c r="AA11368"/>
    </row>
    <row r="11369" spans="27:27" ht="17.899999999999999" customHeight="1">
      <c r="AA11369"/>
    </row>
    <row r="11370" spans="27:27" ht="17.899999999999999" customHeight="1">
      <c r="AA11370"/>
    </row>
    <row r="11371" spans="27:27" ht="17.899999999999999" customHeight="1">
      <c r="AA11371"/>
    </row>
    <row r="11372" spans="27:27" ht="17.899999999999999" customHeight="1">
      <c r="AA11372"/>
    </row>
    <row r="11373" spans="27:27" ht="17.899999999999999" customHeight="1">
      <c r="AA11373"/>
    </row>
    <row r="11374" spans="27:27" ht="17.899999999999999" customHeight="1">
      <c r="AA11374"/>
    </row>
    <row r="11375" spans="27:27" ht="17.899999999999999" customHeight="1">
      <c r="AA11375"/>
    </row>
    <row r="11376" spans="27:27" ht="17.899999999999999" customHeight="1">
      <c r="AA11376"/>
    </row>
    <row r="11377" spans="27:27" ht="17.899999999999999" customHeight="1">
      <c r="AA11377"/>
    </row>
    <row r="11378" spans="27:27" ht="17.899999999999999" customHeight="1">
      <c r="AA11378"/>
    </row>
    <row r="11379" spans="27:27" ht="17.899999999999999" customHeight="1">
      <c r="AA11379"/>
    </row>
    <row r="11380" spans="27:27" ht="17.899999999999999" customHeight="1">
      <c r="AA11380"/>
    </row>
    <row r="11381" spans="27:27" ht="17.899999999999999" customHeight="1">
      <c r="AA11381"/>
    </row>
    <row r="11382" spans="27:27" ht="17.899999999999999" customHeight="1">
      <c r="AA11382"/>
    </row>
    <row r="11383" spans="27:27" ht="17.899999999999999" customHeight="1">
      <c r="AA11383"/>
    </row>
    <row r="11384" spans="27:27" ht="17.899999999999999" customHeight="1">
      <c r="AA11384"/>
    </row>
    <row r="11385" spans="27:27" ht="17.899999999999999" customHeight="1">
      <c r="AA11385"/>
    </row>
    <row r="11386" spans="27:27" ht="17.899999999999999" customHeight="1">
      <c r="AA11386"/>
    </row>
    <row r="11387" spans="27:27" ht="17.899999999999999" customHeight="1">
      <c r="AA11387"/>
    </row>
    <row r="11388" spans="27:27" ht="17.899999999999999" customHeight="1">
      <c r="AA11388"/>
    </row>
    <row r="11389" spans="27:27" ht="17.899999999999999" customHeight="1">
      <c r="AA11389"/>
    </row>
    <row r="11390" spans="27:27" ht="17.899999999999999" customHeight="1">
      <c r="AA11390"/>
    </row>
    <row r="11391" spans="27:27" ht="17.899999999999999" customHeight="1">
      <c r="AA11391"/>
    </row>
    <row r="11392" spans="27:27" ht="17.899999999999999" customHeight="1">
      <c r="AA11392"/>
    </row>
    <row r="11393" spans="27:27" ht="17.899999999999999" customHeight="1">
      <c r="AA11393"/>
    </row>
    <row r="11394" spans="27:27" ht="17.899999999999999" customHeight="1">
      <c r="AA11394"/>
    </row>
    <row r="11395" spans="27:27" ht="17.899999999999999" customHeight="1">
      <c r="AA11395"/>
    </row>
    <row r="11396" spans="27:27" ht="17.899999999999999" customHeight="1">
      <c r="AA11396"/>
    </row>
    <row r="11397" spans="27:27" ht="17.899999999999999" customHeight="1">
      <c r="AA11397"/>
    </row>
    <row r="11398" spans="27:27" ht="17.899999999999999" customHeight="1">
      <c r="AA11398"/>
    </row>
    <row r="11399" spans="27:27" ht="17.899999999999999" customHeight="1">
      <c r="AA11399"/>
    </row>
    <row r="11400" spans="27:27" ht="17.899999999999999" customHeight="1">
      <c r="AA11400"/>
    </row>
    <row r="11401" spans="27:27" ht="17.899999999999999" customHeight="1">
      <c r="AA11401"/>
    </row>
    <row r="11402" spans="27:27" ht="17.899999999999999" customHeight="1">
      <c r="AA11402"/>
    </row>
    <row r="11403" spans="27:27" ht="17.899999999999999" customHeight="1">
      <c r="AA11403"/>
    </row>
    <row r="11404" spans="27:27" ht="17.899999999999999" customHeight="1">
      <c r="AA11404"/>
    </row>
    <row r="11405" spans="27:27" ht="17.899999999999999" customHeight="1">
      <c r="AA11405"/>
    </row>
    <row r="11406" spans="27:27" ht="17.899999999999999" customHeight="1">
      <c r="AA11406"/>
    </row>
    <row r="11407" spans="27:27" ht="17.899999999999999" customHeight="1">
      <c r="AA11407"/>
    </row>
    <row r="11408" spans="27:27" ht="17.899999999999999" customHeight="1">
      <c r="AA11408"/>
    </row>
    <row r="11409" spans="27:27" ht="17.899999999999999" customHeight="1">
      <c r="AA11409"/>
    </row>
    <row r="11410" spans="27:27" ht="17.899999999999999" customHeight="1">
      <c r="AA11410"/>
    </row>
    <row r="11411" spans="27:27" ht="17.899999999999999" customHeight="1">
      <c r="AA11411"/>
    </row>
    <row r="11412" spans="27:27" ht="17.899999999999999" customHeight="1">
      <c r="AA11412"/>
    </row>
    <row r="11413" spans="27:27" ht="17.899999999999999" customHeight="1">
      <c r="AA11413"/>
    </row>
    <row r="11414" spans="27:27" ht="17.899999999999999" customHeight="1">
      <c r="AA11414"/>
    </row>
    <row r="11415" spans="27:27" ht="17.899999999999999" customHeight="1">
      <c r="AA11415"/>
    </row>
    <row r="11416" spans="27:27" ht="17.899999999999999" customHeight="1">
      <c r="AA11416"/>
    </row>
    <row r="11417" spans="27:27" ht="17.899999999999999" customHeight="1">
      <c r="AA11417"/>
    </row>
    <row r="11418" spans="27:27" ht="17.899999999999999" customHeight="1">
      <c r="AA11418"/>
    </row>
    <row r="11419" spans="27:27" ht="17.899999999999999" customHeight="1">
      <c r="AA11419"/>
    </row>
    <row r="11420" spans="27:27" ht="17.899999999999999" customHeight="1">
      <c r="AA11420"/>
    </row>
    <row r="11421" spans="27:27" ht="17.899999999999999" customHeight="1">
      <c r="AA11421"/>
    </row>
    <row r="11422" spans="27:27" ht="17.899999999999999" customHeight="1">
      <c r="AA11422"/>
    </row>
    <row r="11423" spans="27:27" ht="17.899999999999999" customHeight="1">
      <c r="AA11423"/>
    </row>
    <row r="11424" spans="27:27" ht="17.899999999999999" customHeight="1">
      <c r="AA11424"/>
    </row>
    <row r="11425" spans="27:27" ht="17.899999999999999" customHeight="1">
      <c r="AA11425"/>
    </row>
    <row r="11426" spans="27:27" ht="17.899999999999999" customHeight="1">
      <c r="AA11426"/>
    </row>
    <row r="11427" spans="27:27" ht="17.899999999999999" customHeight="1">
      <c r="AA11427"/>
    </row>
    <row r="11428" spans="27:27" ht="17.899999999999999" customHeight="1">
      <c r="AA11428"/>
    </row>
    <row r="11429" spans="27:27" ht="17.899999999999999" customHeight="1">
      <c r="AA11429"/>
    </row>
    <row r="11430" spans="27:27" ht="17.899999999999999" customHeight="1">
      <c r="AA11430"/>
    </row>
    <row r="11431" spans="27:27" ht="17.899999999999999" customHeight="1">
      <c r="AA11431"/>
    </row>
    <row r="11432" spans="27:27" ht="17.899999999999999" customHeight="1">
      <c r="AA11432"/>
    </row>
    <row r="11433" spans="27:27" ht="17.899999999999999" customHeight="1">
      <c r="AA11433"/>
    </row>
    <row r="11434" spans="27:27" ht="17.899999999999999" customHeight="1">
      <c r="AA11434"/>
    </row>
    <row r="11435" spans="27:27" ht="17.899999999999999" customHeight="1">
      <c r="AA11435"/>
    </row>
    <row r="11436" spans="27:27" ht="17.899999999999999" customHeight="1">
      <c r="AA11436"/>
    </row>
    <row r="11437" spans="27:27" ht="17.899999999999999" customHeight="1">
      <c r="AA11437"/>
    </row>
    <row r="11438" spans="27:27" ht="17.899999999999999" customHeight="1">
      <c r="AA11438"/>
    </row>
    <row r="11439" spans="27:27" ht="17.899999999999999" customHeight="1">
      <c r="AA11439"/>
    </row>
    <row r="11440" spans="27:27" ht="17.899999999999999" customHeight="1">
      <c r="AA11440"/>
    </row>
    <row r="11441" spans="27:27" ht="17.899999999999999" customHeight="1">
      <c r="AA11441"/>
    </row>
    <row r="11442" spans="27:27" ht="17.899999999999999" customHeight="1">
      <c r="AA11442"/>
    </row>
    <row r="11443" spans="27:27" ht="17.899999999999999" customHeight="1">
      <c r="AA11443"/>
    </row>
    <row r="11444" spans="27:27" ht="17.899999999999999" customHeight="1">
      <c r="AA11444"/>
    </row>
    <row r="11445" spans="27:27" ht="17.899999999999999" customHeight="1">
      <c r="AA11445"/>
    </row>
    <row r="11446" spans="27:27" ht="17.899999999999999" customHeight="1">
      <c r="AA11446"/>
    </row>
    <row r="11447" spans="27:27" ht="17.899999999999999" customHeight="1">
      <c r="AA11447"/>
    </row>
    <row r="11448" spans="27:27" ht="17.899999999999999" customHeight="1">
      <c r="AA11448"/>
    </row>
    <row r="11449" spans="27:27" ht="17.899999999999999" customHeight="1">
      <c r="AA11449"/>
    </row>
    <row r="11450" spans="27:27" ht="17.899999999999999" customHeight="1">
      <c r="AA11450"/>
    </row>
    <row r="11451" spans="27:27" ht="17.899999999999999" customHeight="1">
      <c r="AA11451"/>
    </row>
    <row r="11452" spans="27:27" ht="17.899999999999999" customHeight="1">
      <c r="AA11452"/>
    </row>
    <row r="11453" spans="27:27" ht="17.899999999999999" customHeight="1">
      <c r="AA11453"/>
    </row>
    <row r="11454" spans="27:27" ht="17.899999999999999" customHeight="1">
      <c r="AA11454"/>
    </row>
    <row r="11455" spans="27:27" ht="17.899999999999999" customHeight="1">
      <c r="AA11455"/>
    </row>
    <row r="11456" spans="27:27" ht="17.899999999999999" customHeight="1">
      <c r="AA11456"/>
    </row>
    <row r="11457" spans="27:27" ht="17.899999999999999" customHeight="1">
      <c r="AA11457"/>
    </row>
    <row r="11458" spans="27:27" ht="17.899999999999999" customHeight="1">
      <c r="AA11458"/>
    </row>
    <row r="11459" spans="27:27" ht="17.899999999999999" customHeight="1">
      <c r="AA11459"/>
    </row>
    <row r="11460" spans="27:27" ht="17.899999999999999" customHeight="1">
      <c r="AA11460"/>
    </row>
    <row r="11461" spans="27:27" ht="17.899999999999999" customHeight="1">
      <c r="AA11461"/>
    </row>
    <row r="11462" spans="27:27" ht="17.899999999999999" customHeight="1">
      <c r="AA11462"/>
    </row>
    <row r="11463" spans="27:27" ht="17.899999999999999" customHeight="1">
      <c r="AA11463"/>
    </row>
    <row r="11464" spans="27:27" ht="17.899999999999999" customHeight="1">
      <c r="AA11464"/>
    </row>
    <row r="11465" spans="27:27" ht="17.899999999999999" customHeight="1">
      <c r="AA11465"/>
    </row>
    <row r="11466" spans="27:27" ht="17.899999999999999" customHeight="1">
      <c r="AA11466"/>
    </row>
    <row r="11467" spans="27:27" ht="17.899999999999999" customHeight="1">
      <c r="AA11467"/>
    </row>
    <row r="11468" spans="27:27" ht="17.899999999999999" customHeight="1">
      <c r="AA11468"/>
    </row>
    <row r="11469" spans="27:27" ht="17.899999999999999" customHeight="1">
      <c r="AA11469"/>
    </row>
    <row r="11470" spans="27:27" ht="17.899999999999999" customHeight="1">
      <c r="AA11470"/>
    </row>
    <row r="11471" spans="27:27" ht="17.899999999999999" customHeight="1">
      <c r="AA11471"/>
    </row>
    <row r="11472" spans="27:27" ht="17.899999999999999" customHeight="1">
      <c r="AA11472"/>
    </row>
    <row r="11473" spans="27:27" ht="17.899999999999999" customHeight="1">
      <c r="AA11473"/>
    </row>
    <row r="11474" spans="27:27" ht="17.899999999999999" customHeight="1">
      <c r="AA11474"/>
    </row>
    <row r="11475" spans="27:27" ht="17.899999999999999" customHeight="1">
      <c r="AA11475"/>
    </row>
    <row r="11476" spans="27:27" ht="17.899999999999999" customHeight="1">
      <c r="AA11476"/>
    </row>
    <row r="11477" spans="27:27" ht="17.899999999999999" customHeight="1">
      <c r="AA11477"/>
    </row>
    <row r="11478" spans="27:27" ht="17.899999999999999" customHeight="1">
      <c r="AA11478"/>
    </row>
    <row r="11479" spans="27:27" ht="17.899999999999999" customHeight="1">
      <c r="AA11479"/>
    </row>
    <row r="11480" spans="27:27" ht="17.899999999999999" customHeight="1">
      <c r="AA11480"/>
    </row>
    <row r="11481" spans="27:27" ht="17.899999999999999" customHeight="1">
      <c r="AA11481"/>
    </row>
    <row r="11482" spans="27:27" ht="17.899999999999999" customHeight="1">
      <c r="AA11482"/>
    </row>
    <row r="11483" spans="27:27" ht="17.899999999999999" customHeight="1">
      <c r="AA11483"/>
    </row>
    <row r="11484" spans="27:27" ht="17.899999999999999" customHeight="1">
      <c r="AA11484"/>
    </row>
    <row r="11485" spans="27:27" ht="17.899999999999999" customHeight="1">
      <c r="AA11485"/>
    </row>
    <row r="11486" spans="27:27" ht="17.899999999999999" customHeight="1">
      <c r="AA11486"/>
    </row>
    <row r="11487" spans="27:27" ht="17.899999999999999" customHeight="1">
      <c r="AA11487"/>
    </row>
    <row r="11488" spans="27:27" ht="17.899999999999999" customHeight="1">
      <c r="AA11488"/>
    </row>
    <row r="11489" spans="27:27" ht="17.899999999999999" customHeight="1">
      <c r="AA11489"/>
    </row>
    <row r="11490" spans="27:27" ht="17.899999999999999" customHeight="1">
      <c r="AA11490"/>
    </row>
    <row r="11491" spans="27:27" ht="17.899999999999999" customHeight="1">
      <c r="AA11491"/>
    </row>
    <row r="11492" spans="27:27" ht="17.899999999999999" customHeight="1">
      <c r="AA11492"/>
    </row>
    <row r="11493" spans="27:27" ht="17.899999999999999" customHeight="1">
      <c r="AA11493"/>
    </row>
    <row r="11494" spans="27:27" ht="17.899999999999999" customHeight="1">
      <c r="AA11494"/>
    </row>
    <row r="11495" spans="27:27" ht="17.899999999999999" customHeight="1">
      <c r="AA11495"/>
    </row>
    <row r="11496" spans="27:27" ht="17.899999999999999" customHeight="1">
      <c r="AA11496"/>
    </row>
    <row r="11497" spans="27:27" ht="17.899999999999999" customHeight="1">
      <c r="AA11497"/>
    </row>
    <row r="11498" spans="27:27" ht="17.899999999999999" customHeight="1">
      <c r="AA11498"/>
    </row>
    <row r="11499" spans="27:27" ht="17.899999999999999" customHeight="1">
      <c r="AA11499"/>
    </row>
    <row r="11500" spans="27:27" ht="17.899999999999999" customHeight="1">
      <c r="AA11500"/>
    </row>
    <row r="11501" spans="27:27" ht="17.899999999999999" customHeight="1">
      <c r="AA11501"/>
    </row>
    <row r="11502" spans="27:27" ht="17.899999999999999" customHeight="1">
      <c r="AA11502"/>
    </row>
    <row r="11503" spans="27:27" ht="17.899999999999999" customHeight="1">
      <c r="AA11503"/>
    </row>
    <row r="11504" spans="27:27" ht="17.899999999999999" customHeight="1">
      <c r="AA11504"/>
    </row>
    <row r="11505" spans="27:27" ht="17.899999999999999" customHeight="1">
      <c r="AA11505"/>
    </row>
    <row r="11506" spans="27:27" ht="17.899999999999999" customHeight="1">
      <c r="AA11506"/>
    </row>
    <row r="11507" spans="27:27" ht="17.899999999999999" customHeight="1">
      <c r="AA11507"/>
    </row>
    <row r="11508" spans="27:27" ht="17.899999999999999" customHeight="1">
      <c r="AA11508"/>
    </row>
    <row r="11509" spans="27:27" ht="17.899999999999999" customHeight="1">
      <c r="AA11509"/>
    </row>
    <row r="11510" spans="27:27" ht="17.899999999999999" customHeight="1">
      <c r="AA11510"/>
    </row>
    <row r="11511" spans="27:27" ht="17.899999999999999" customHeight="1">
      <c r="AA11511"/>
    </row>
    <row r="11512" spans="27:27" ht="17.899999999999999" customHeight="1">
      <c r="AA11512"/>
    </row>
    <row r="11513" spans="27:27" ht="17.899999999999999" customHeight="1">
      <c r="AA11513"/>
    </row>
    <row r="11514" spans="27:27" ht="17.899999999999999" customHeight="1">
      <c r="AA11514"/>
    </row>
    <row r="11515" spans="27:27" ht="17.899999999999999" customHeight="1">
      <c r="AA11515"/>
    </row>
    <row r="11516" spans="27:27" ht="17.899999999999999" customHeight="1">
      <c r="AA11516"/>
    </row>
    <row r="11517" spans="27:27" ht="17.899999999999999" customHeight="1">
      <c r="AA11517"/>
    </row>
    <row r="11518" spans="27:27" ht="17.899999999999999" customHeight="1">
      <c r="AA11518"/>
    </row>
    <row r="11519" spans="27:27" ht="17.899999999999999" customHeight="1">
      <c r="AA11519"/>
    </row>
    <row r="11520" spans="27:27" ht="17.899999999999999" customHeight="1">
      <c r="AA11520"/>
    </row>
    <row r="11521" spans="27:27" ht="17.899999999999999" customHeight="1">
      <c r="AA11521"/>
    </row>
    <row r="11522" spans="27:27" ht="17.899999999999999" customHeight="1">
      <c r="AA11522"/>
    </row>
    <row r="11523" spans="27:27" ht="17.899999999999999" customHeight="1">
      <c r="AA11523"/>
    </row>
    <row r="11524" spans="27:27" ht="17.899999999999999" customHeight="1">
      <c r="AA11524"/>
    </row>
    <row r="11525" spans="27:27" ht="17.899999999999999" customHeight="1">
      <c r="AA11525"/>
    </row>
    <row r="11526" spans="27:27" ht="17.899999999999999" customHeight="1">
      <c r="AA11526"/>
    </row>
    <row r="11527" spans="27:27" ht="17.899999999999999" customHeight="1">
      <c r="AA11527"/>
    </row>
    <row r="11528" spans="27:27" ht="17.899999999999999" customHeight="1">
      <c r="AA11528"/>
    </row>
    <row r="11529" spans="27:27" ht="17.899999999999999" customHeight="1">
      <c r="AA11529"/>
    </row>
    <row r="11530" spans="27:27" ht="17.899999999999999" customHeight="1">
      <c r="AA11530"/>
    </row>
    <row r="11531" spans="27:27" ht="17.899999999999999" customHeight="1">
      <c r="AA11531"/>
    </row>
    <row r="11532" spans="27:27" ht="17.899999999999999" customHeight="1">
      <c r="AA11532"/>
    </row>
    <row r="11533" spans="27:27" ht="17.899999999999999" customHeight="1">
      <c r="AA11533"/>
    </row>
    <row r="11534" spans="27:27" ht="17.899999999999999" customHeight="1">
      <c r="AA11534"/>
    </row>
    <row r="11535" spans="27:27" ht="17.899999999999999" customHeight="1">
      <c r="AA11535"/>
    </row>
    <row r="11536" spans="27:27" ht="17.899999999999999" customHeight="1">
      <c r="AA11536"/>
    </row>
    <row r="11537" spans="27:27" ht="17.899999999999999" customHeight="1">
      <c r="AA11537"/>
    </row>
    <row r="11538" spans="27:27" ht="17.899999999999999" customHeight="1">
      <c r="AA11538"/>
    </row>
    <row r="11539" spans="27:27" ht="17.899999999999999" customHeight="1">
      <c r="AA11539"/>
    </row>
    <row r="11540" spans="27:27" ht="17.899999999999999" customHeight="1">
      <c r="AA11540"/>
    </row>
    <row r="11541" spans="27:27" ht="17.899999999999999" customHeight="1">
      <c r="AA11541"/>
    </row>
    <row r="11542" spans="27:27" ht="17.899999999999999" customHeight="1">
      <c r="AA11542"/>
    </row>
    <row r="11543" spans="27:27" ht="17.899999999999999" customHeight="1">
      <c r="AA11543"/>
    </row>
    <row r="11544" spans="27:27" ht="17.899999999999999" customHeight="1">
      <c r="AA11544"/>
    </row>
    <row r="11545" spans="27:27" ht="17.899999999999999" customHeight="1">
      <c r="AA11545"/>
    </row>
    <row r="11546" spans="27:27" ht="17.899999999999999" customHeight="1">
      <c r="AA11546"/>
    </row>
    <row r="11547" spans="27:27" ht="17.899999999999999" customHeight="1">
      <c r="AA11547"/>
    </row>
    <row r="11548" spans="27:27" ht="17.899999999999999" customHeight="1">
      <c r="AA11548"/>
    </row>
    <row r="11549" spans="27:27" ht="17.899999999999999" customHeight="1">
      <c r="AA11549"/>
    </row>
    <row r="11550" spans="27:27" ht="17.899999999999999" customHeight="1">
      <c r="AA11550"/>
    </row>
    <row r="11551" spans="27:27" ht="17.899999999999999" customHeight="1">
      <c r="AA11551"/>
    </row>
    <row r="11552" spans="27:27" ht="17.899999999999999" customHeight="1">
      <c r="AA11552"/>
    </row>
    <row r="11553" spans="27:27" ht="17.899999999999999" customHeight="1">
      <c r="AA11553"/>
    </row>
    <row r="11554" spans="27:27" ht="17.899999999999999" customHeight="1">
      <c r="AA11554"/>
    </row>
    <row r="11555" spans="27:27" ht="17.899999999999999" customHeight="1">
      <c r="AA11555"/>
    </row>
    <row r="11556" spans="27:27" ht="17.899999999999999" customHeight="1">
      <c r="AA11556"/>
    </row>
    <row r="11557" spans="27:27" ht="17.899999999999999" customHeight="1">
      <c r="AA11557"/>
    </row>
    <row r="11558" spans="27:27" ht="17.899999999999999" customHeight="1">
      <c r="AA11558"/>
    </row>
    <row r="11559" spans="27:27" ht="17.899999999999999" customHeight="1">
      <c r="AA11559"/>
    </row>
    <row r="11560" spans="27:27" ht="17.899999999999999" customHeight="1">
      <c r="AA11560"/>
    </row>
    <row r="11561" spans="27:27" ht="17.899999999999999" customHeight="1">
      <c r="AA11561"/>
    </row>
    <row r="11562" spans="27:27" ht="17.899999999999999" customHeight="1">
      <c r="AA11562"/>
    </row>
    <row r="11563" spans="27:27" ht="17.899999999999999" customHeight="1">
      <c r="AA11563"/>
    </row>
    <row r="11564" spans="27:27" ht="17.899999999999999" customHeight="1">
      <c r="AA11564"/>
    </row>
    <row r="11565" spans="27:27" ht="17.899999999999999" customHeight="1">
      <c r="AA11565"/>
    </row>
    <row r="11566" spans="27:27" ht="17.899999999999999" customHeight="1">
      <c r="AA11566"/>
    </row>
    <row r="11567" spans="27:27" ht="17.899999999999999" customHeight="1">
      <c r="AA11567"/>
    </row>
    <row r="11568" spans="27:27" ht="17.899999999999999" customHeight="1">
      <c r="AA11568"/>
    </row>
    <row r="11569" spans="27:27" ht="17.899999999999999" customHeight="1">
      <c r="AA11569"/>
    </row>
    <row r="11570" spans="27:27" ht="17.899999999999999" customHeight="1">
      <c r="AA11570"/>
    </row>
    <row r="11571" spans="27:27" ht="17.899999999999999" customHeight="1">
      <c r="AA11571"/>
    </row>
    <row r="11572" spans="27:27" ht="17.899999999999999" customHeight="1">
      <c r="AA11572"/>
    </row>
    <row r="11573" spans="27:27" ht="17.899999999999999" customHeight="1">
      <c r="AA11573"/>
    </row>
    <row r="11574" spans="27:27" ht="17.899999999999999" customHeight="1">
      <c r="AA11574"/>
    </row>
    <row r="11575" spans="27:27" ht="17.899999999999999" customHeight="1">
      <c r="AA11575"/>
    </row>
    <row r="11576" spans="27:27" ht="17.899999999999999" customHeight="1">
      <c r="AA11576"/>
    </row>
    <row r="11577" spans="27:27" ht="17.899999999999999" customHeight="1">
      <c r="AA11577"/>
    </row>
    <row r="11578" spans="27:27" ht="17.899999999999999" customHeight="1">
      <c r="AA11578"/>
    </row>
    <row r="11579" spans="27:27" ht="17.899999999999999" customHeight="1">
      <c r="AA11579"/>
    </row>
    <row r="11580" spans="27:27" ht="17.899999999999999" customHeight="1">
      <c r="AA11580"/>
    </row>
    <row r="11581" spans="27:27" ht="17.899999999999999" customHeight="1">
      <c r="AA11581"/>
    </row>
    <row r="11582" spans="27:27" ht="17.899999999999999" customHeight="1">
      <c r="AA11582"/>
    </row>
    <row r="11583" spans="27:27" ht="17.899999999999999" customHeight="1">
      <c r="AA11583"/>
    </row>
    <row r="11584" spans="27:27" ht="17.899999999999999" customHeight="1">
      <c r="AA11584"/>
    </row>
    <row r="11585" spans="27:27" ht="17.899999999999999" customHeight="1">
      <c r="AA11585"/>
    </row>
    <row r="11586" spans="27:27" ht="17.899999999999999" customHeight="1">
      <c r="AA11586"/>
    </row>
    <row r="11587" spans="27:27" ht="17.899999999999999" customHeight="1">
      <c r="AA11587"/>
    </row>
    <row r="11588" spans="27:27" ht="17.899999999999999" customHeight="1">
      <c r="AA11588"/>
    </row>
    <row r="11589" spans="27:27" ht="17.899999999999999" customHeight="1">
      <c r="AA11589"/>
    </row>
    <row r="11590" spans="27:27" ht="17.899999999999999" customHeight="1">
      <c r="AA11590"/>
    </row>
    <row r="11591" spans="27:27" ht="17.899999999999999" customHeight="1">
      <c r="AA11591"/>
    </row>
    <row r="11592" spans="27:27" ht="17.899999999999999" customHeight="1">
      <c r="AA11592"/>
    </row>
    <row r="11593" spans="27:27" ht="17.899999999999999" customHeight="1">
      <c r="AA11593"/>
    </row>
    <row r="11594" spans="27:27" ht="17.899999999999999" customHeight="1">
      <c r="AA11594"/>
    </row>
    <row r="11595" spans="27:27" ht="17.899999999999999" customHeight="1">
      <c r="AA11595"/>
    </row>
    <row r="11596" spans="27:27" ht="17.899999999999999" customHeight="1">
      <c r="AA11596"/>
    </row>
    <row r="11597" spans="27:27" ht="17.899999999999999" customHeight="1">
      <c r="AA11597"/>
    </row>
    <row r="11598" spans="27:27" ht="17.899999999999999" customHeight="1">
      <c r="AA11598"/>
    </row>
    <row r="11599" spans="27:27" ht="17.899999999999999" customHeight="1">
      <c r="AA11599"/>
    </row>
    <row r="11600" spans="27:27" ht="17.899999999999999" customHeight="1">
      <c r="AA11600"/>
    </row>
    <row r="11601" spans="27:27" ht="17.899999999999999" customHeight="1">
      <c r="AA11601"/>
    </row>
    <row r="11602" spans="27:27" ht="17.899999999999999" customHeight="1">
      <c r="AA11602"/>
    </row>
    <row r="11603" spans="27:27" ht="17.899999999999999" customHeight="1">
      <c r="AA11603"/>
    </row>
    <row r="11604" spans="27:27" ht="17.899999999999999" customHeight="1">
      <c r="AA11604"/>
    </row>
    <row r="11605" spans="27:27" ht="17.899999999999999" customHeight="1">
      <c r="AA11605"/>
    </row>
    <row r="11606" spans="27:27" ht="17.899999999999999" customHeight="1">
      <c r="AA11606"/>
    </row>
    <row r="11607" spans="27:27" ht="17.899999999999999" customHeight="1">
      <c r="AA11607"/>
    </row>
    <row r="11608" spans="27:27" ht="17.899999999999999" customHeight="1">
      <c r="AA11608"/>
    </row>
    <row r="11609" spans="27:27" ht="17.899999999999999" customHeight="1">
      <c r="AA11609"/>
    </row>
    <row r="11610" spans="27:27" ht="17.899999999999999" customHeight="1">
      <c r="AA11610"/>
    </row>
    <row r="11611" spans="27:27" ht="17.899999999999999" customHeight="1">
      <c r="AA11611"/>
    </row>
    <row r="11612" spans="27:27" ht="17.899999999999999" customHeight="1">
      <c r="AA11612"/>
    </row>
    <row r="11613" spans="27:27" ht="17.899999999999999" customHeight="1">
      <c r="AA11613"/>
    </row>
    <row r="11614" spans="27:27" ht="17.899999999999999" customHeight="1">
      <c r="AA11614"/>
    </row>
    <row r="11615" spans="27:27" ht="17.899999999999999" customHeight="1">
      <c r="AA11615"/>
    </row>
    <row r="11616" spans="27:27" ht="17.899999999999999" customHeight="1">
      <c r="AA11616"/>
    </row>
    <row r="11617" spans="27:27" ht="17.899999999999999" customHeight="1">
      <c r="AA11617"/>
    </row>
    <row r="11618" spans="27:27" ht="17.899999999999999" customHeight="1">
      <c r="AA11618"/>
    </row>
    <row r="11619" spans="27:27" ht="17.899999999999999" customHeight="1">
      <c r="AA11619"/>
    </row>
    <row r="11620" spans="27:27" ht="17.899999999999999" customHeight="1">
      <c r="AA11620"/>
    </row>
    <row r="11621" spans="27:27" ht="17.899999999999999" customHeight="1">
      <c r="AA11621"/>
    </row>
    <row r="11622" spans="27:27" ht="17.899999999999999" customHeight="1">
      <c r="AA11622"/>
    </row>
    <row r="11623" spans="27:27" ht="17.899999999999999" customHeight="1">
      <c r="AA11623"/>
    </row>
    <row r="11624" spans="27:27" ht="17.899999999999999" customHeight="1">
      <c r="AA11624"/>
    </row>
    <row r="11625" spans="27:27" ht="17.899999999999999" customHeight="1">
      <c r="AA11625"/>
    </row>
    <row r="11626" spans="27:27" ht="17.899999999999999" customHeight="1">
      <c r="AA11626"/>
    </row>
    <row r="11627" spans="27:27" ht="17.899999999999999" customHeight="1">
      <c r="AA11627"/>
    </row>
    <row r="11628" spans="27:27" ht="17.899999999999999" customHeight="1">
      <c r="AA11628"/>
    </row>
    <row r="11629" spans="27:27" ht="17.899999999999999" customHeight="1">
      <c r="AA11629"/>
    </row>
    <row r="11630" spans="27:27" ht="17.899999999999999" customHeight="1">
      <c r="AA11630"/>
    </row>
    <row r="11631" spans="27:27" ht="17.899999999999999" customHeight="1">
      <c r="AA11631"/>
    </row>
    <row r="11632" spans="27:27" ht="17.899999999999999" customHeight="1">
      <c r="AA11632"/>
    </row>
    <row r="11633" spans="27:27" ht="17.899999999999999" customHeight="1">
      <c r="AA11633"/>
    </row>
    <row r="11634" spans="27:27" ht="17.899999999999999" customHeight="1">
      <c r="AA11634"/>
    </row>
    <row r="11635" spans="27:27" ht="17.899999999999999" customHeight="1">
      <c r="AA11635"/>
    </row>
    <row r="11636" spans="27:27" ht="17.899999999999999" customHeight="1">
      <c r="AA11636"/>
    </row>
    <row r="11637" spans="27:27" ht="17.899999999999999" customHeight="1">
      <c r="AA11637"/>
    </row>
    <row r="11638" spans="27:27" ht="17.899999999999999" customHeight="1">
      <c r="AA11638"/>
    </row>
    <row r="11639" spans="27:27" ht="17.899999999999999" customHeight="1">
      <c r="AA11639"/>
    </row>
    <row r="11640" spans="27:27" ht="17.899999999999999" customHeight="1">
      <c r="AA11640"/>
    </row>
    <row r="11641" spans="27:27" ht="17.899999999999999" customHeight="1">
      <c r="AA11641"/>
    </row>
    <row r="11642" spans="27:27" ht="17.899999999999999" customHeight="1">
      <c r="AA11642"/>
    </row>
    <row r="11643" spans="27:27" ht="17.899999999999999" customHeight="1">
      <c r="AA11643"/>
    </row>
    <row r="11644" spans="27:27" ht="17.899999999999999" customHeight="1">
      <c r="AA11644"/>
    </row>
    <row r="11645" spans="27:27" ht="17.899999999999999" customHeight="1">
      <c r="AA11645"/>
    </row>
    <row r="11646" spans="27:27" ht="17.899999999999999" customHeight="1">
      <c r="AA11646"/>
    </row>
    <row r="11647" spans="27:27" ht="17.899999999999999" customHeight="1">
      <c r="AA11647"/>
    </row>
    <row r="11648" spans="27:27" ht="17.899999999999999" customHeight="1">
      <c r="AA11648"/>
    </row>
    <row r="11649" spans="27:27" ht="17.899999999999999" customHeight="1">
      <c r="AA11649"/>
    </row>
    <row r="11650" spans="27:27" ht="17.899999999999999" customHeight="1">
      <c r="AA11650"/>
    </row>
    <row r="11651" spans="27:27" ht="17.899999999999999" customHeight="1">
      <c r="AA11651"/>
    </row>
    <row r="11652" spans="27:27" ht="17.899999999999999" customHeight="1">
      <c r="AA11652"/>
    </row>
    <row r="11653" spans="27:27" ht="17.899999999999999" customHeight="1">
      <c r="AA11653"/>
    </row>
    <row r="11654" spans="27:27" ht="17.899999999999999" customHeight="1">
      <c r="AA11654"/>
    </row>
    <row r="11655" spans="27:27" ht="17.899999999999999" customHeight="1">
      <c r="AA11655"/>
    </row>
    <row r="11656" spans="27:27" ht="17.899999999999999" customHeight="1">
      <c r="AA11656"/>
    </row>
    <row r="11657" spans="27:27" ht="17.899999999999999" customHeight="1">
      <c r="AA11657"/>
    </row>
    <row r="11658" spans="27:27" ht="17.899999999999999" customHeight="1">
      <c r="AA11658"/>
    </row>
    <row r="11659" spans="27:27" ht="17.899999999999999" customHeight="1">
      <c r="AA11659"/>
    </row>
    <row r="11660" spans="27:27" ht="17.899999999999999" customHeight="1">
      <c r="AA11660"/>
    </row>
    <row r="11661" spans="27:27" ht="17.899999999999999" customHeight="1">
      <c r="AA11661"/>
    </row>
    <row r="11662" spans="27:27" ht="17.899999999999999" customHeight="1">
      <c r="AA11662"/>
    </row>
    <row r="11663" spans="27:27" ht="17.899999999999999" customHeight="1">
      <c r="AA11663"/>
    </row>
    <row r="11664" spans="27:27" ht="17.899999999999999" customHeight="1">
      <c r="AA11664"/>
    </row>
    <row r="11665" spans="27:27" ht="17.899999999999999" customHeight="1">
      <c r="AA11665"/>
    </row>
    <row r="11666" spans="27:27" ht="17.899999999999999" customHeight="1">
      <c r="AA11666"/>
    </row>
    <row r="11667" spans="27:27" ht="17.899999999999999" customHeight="1">
      <c r="AA11667"/>
    </row>
    <row r="11668" spans="27:27" ht="17.899999999999999" customHeight="1">
      <c r="AA11668"/>
    </row>
    <row r="11669" spans="27:27" ht="17.899999999999999" customHeight="1">
      <c r="AA11669"/>
    </row>
    <row r="11670" spans="27:27" ht="17.899999999999999" customHeight="1">
      <c r="AA11670"/>
    </row>
    <row r="11671" spans="27:27" ht="17.899999999999999" customHeight="1">
      <c r="AA11671"/>
    </row>
    <row r="11672" spans="27:27" ht="17.899999999999999" customHeight="1">
      <c r="AA11672"/>
    </row>
    <row r="11673" spans="27:27" ht="17.899999999999999" customHeight="1">
      <c r="AA11673"/>
    </row>
    <row r="11674" spans="27:27" ht="17.899999999999999" customHeight="1">
      <c r="AA11674"/>
    </row>
    <row r="11675" spans="27:27" ht="17.899999999999999" customHeight="1">
      <c r="AA11675"/>
    </row>
    <row r="11676" spans="27:27" ht="17.899999999999999" customHeight="1">
      <c r="AA11676"/>
    </row>
    <row r="11677" spans="27:27" ht="17.899999999999999" customHeight="1">
      <c r="AA11677"/>
    </row>
    <row r="11678" spans="27:27" ht="17.899999999999999" customHeight="1">
      <c r="AA11678"/>
    </row>
    <row r="11679" spans="27:27" ht="17.899999999999999" customHeight="1">
      <c r="AA11679"/>
    </row>
    <row r="11680" spans="27:27" ht="17.899999999999999" customHeight="1">
      <c r="AA11680"/>
    </row>
    <row r="11681" spans="27:27" ht="17.899999999999999" customHeight="1">
      <c r="AA11681"/>
    </row>
    <row r="11682" spans="27:27" ht="17.899999999999999" customHeight="1">
      <c r="AA11682"/>
    </row>
    <row r="11683" spans="27:27" ht="17.899999999999999" customHeight="1">
      <c r="AA11683"/>
    </row>
    <row r="11684" spans="27:27" ht="17.899999999999999" customHeight="1">
      <c r="AA11684"/>
    </row>
    <row r="11685" spans="27:27" ht="17.899999999999999" customHeight="1">
      <c r="AA11685"/>
    </row>
    <row r="11686" spans="27:27" ht="17.899999999999999" customHeight="1">
      <c r="AA11686"/>
    </row>
    <row r="11687" spans="27:27" ht="17.899999999999999" customHeight="1">
      <c r="AA11687"/>
    </row>
    <row r="11688" spans="27:27" ht="17.899999999999999" customHeight="1">
      <c r="AA11688"/>
    </row>
    <row r="11689" spans="27:27" ht="17.899999999999999" customHeight="1">
      <c r="AA11689"/>
    </row>
    <row r="11690" spans="27:27" ht="17.899999999999999" customHeight="1">
      <c r="AA11690"/>
    </row>
    <row r="11691" spans="27:27" ht="17.899999999999999" customHeight="1">
      <c r="AA11691"/>
    </row>
    <row r="11692" spans="27:27" ht="17.899999999999999" customHeight="1">
      <c r="AA11692"/>
    </row>
    <row r="11693" spans="27:27" ht="17.899999999999999" customHeight="1">
      <c r="AA11693"/>
    </row>
    <row r="11694" spans="27:27" ht="17.899999999999999" customHeight="1">
      <c r="AA11694"/>
    </row>
    <row r="11695" spans="27:27" ht="17.899999999999999" customHeight="1">
      <c r="AA11695"/>
    </row>
    <row r="11696" spans="27:27" ht="17.899999999999999" customHeight="1">
      <c r="AA11696"/>
    </row>
    <row r="11697" spans="27:27" ht="17.899999999999999" customHeight="1">
      <c r="AA11697"/>
    </row>
    <row r="11698" spans="27:27" ht="17.899999999999999" customHeight="1">
      <c r="AA11698"/>
    </row>
    <row r="11699" spans="27:27" ht="17.899999999999999" customHeight="1">
      <c r="AA11699"/>
    </row>
    <row r="11700" spans="27:27" ht="17.899999999999999" customHeight="1">
      <c r="AA11700"/>
    </row>
    <row r="11701" spans="27:27" ht="17.899999999999999" customHeight="1">
      <c r="AA11701"/>
    </row>
    <row r="11702" spans="27:27" ht="17.899999999999999" customHeight="1">
      <c r="AA11702"/>
    </row>
    <row r="11703" spans="27:27" ht="17.899999999999999" customHeight="1">
      <c r="AA11703"/>
    </row>
    <row r="11704" spans="27:27" ht="17.899999999999999" customHeight="1">
      <c r="AA11704"/>
    </row>
    <row r="11705" spans="27:27" ht="17.899999999999999" customHeight="1">
      <c r="AA11705"/>
    </row>
    <row r="11706" spans="27:27" ht="17.899999999999999" customHeight="1">
      <c r="AA11706"/>
    </row>
    <row r="11707" spans="27:27" ht="17.899999999999999" customHeight="1">
      <c r="AA11707"/>
    </row>
    <row r="11708" spans="27:27" ht="17.899999999999999" customHeight="1">
      <c r="AA11708"/>
    </row>
    <row r="11709" spans="27:27" ht="17.899999999999999" customHeight="1">
      <c r="AA11709"/>
    </row>
    <row r="11710" spans="27:27" ht="17.899999999999999" customHeight="1">
      <c r="AA11710"/>
    </row>
    <row r="11711" spans="27:27" ht="17.899999999999999" customHeight="1">
      <c r="AA11711"/>
    </row>
    <row r="11712" spans="27:27" ht="17.899999999999999" customHeight="1">
      <c r="AA11712"/>
    </row>
    <row r="11713" spans="27:27" ht="17.899999999999999" customHeight="1">
      <c r="AA11713"/>
    </row>
    <row r="11714" spans="27:27" ht="17.899999999999999" customHeight="1">
      <c r="AA11714"/>
    </row>
    <row r="11715" spans="27:27" ht="17.899999999999999" customHeight="1">
      <c r="AA11715"/>
    </row>
    <row r="11716" spans="27:27" ht="17.899999999999999" customHeight="1">
      <c r="AA11716"/>
    </row>
    <row r="11717" spans="27:27" ht="17.899999999999999" customHeight="1">
      <c r="AA11717"/>
    </row>
    <row r="11718" spans="27:27" ht="17.899999999999999" customHeight="1">
      <c r="AA11718"/>
    </row>
    <row r="11719" spans="27:27" ht="17.899999999999999" customHeight="1">
      <c r="AA11719"/>
    </row>
    <row r="11720" spans="27:27" ht="17.899999999999999" customHeight="1">
      <c r="AA11720"/>
    </row>
    <row r="11721" spans="27:27" ht="17.899999999999999" customHeight="1">
      <c r="AA11721"/>
    </row>
    <row r="11722" spans="27:27" ht="17.899999999999999" customHeight="1">
      <c r="AA11722"/>
    </row>
    <row r="11723" spans="27:27" ht="17.899999999999999" customHeight="1">
      <c r="AA11723"/>
    </row>
    <row r="11724" spans="27:27" ht="17.899999999999999" customHeight="1">
      <c r="AA11724"/>
    </row>
    <row r="11725" spans="27:27" ht="17.899999999999999" customHeight="1">
      <c r="AA11725"/>
    </row>
    <row r="11726" spans="27:27" ht="17.899999999999999" customHeight="1">
      <c r="AA11726"/>
    </row>
    <row r="11727" spans="27:27" ht="17.899999999999999" customHeight="1">
      <c r="AA11727"/>
    </row>
    <row r="11728" spans="27:27" ht="17.899999999999999" customHeight="1">
      <c r="AA11728"/>
    </row>
    <row r="11729" spans="27:27" ht="17.899999999999999" customHeight="1">
      <c r="AA11729"/>
    </row>
    <row r="11730" spans="27:27" ht="17.899999999999999" customHeight="1">
      <c r="AA11730"/>
    </row>
    <row r="11731" spans="27:27" ht="17.899999999999999" customHeight="1">
      <c r="AA11731"/>
    </row>
    <row r="11732" spans="27:27" ht="17.899999999999999" customHeight="1">
      <c r="AA11732"/>
    </row>
    <row r="11733" spans="27:27" ht="17.899999999999999" customHeight="1">
      <c r="AA11733"/>
    </row>
    <row r="11734" spans="27:27" ht="17.899999999999999" customHeight="1">
      <c r="AA11734"/>
    </row>
    <row r="11735" spans="27:27" ht="17.899999999999999" customHeight="1">
      <c r="AA11735"/>
    </row>
    <row r="11736" spans="27:27" ht="17.899999999999999" customHeight="1">
      <c r="AA11736"/>
    </row>
    <row r="11737" spans="27:27" ht="17.899999999999999" customHeight="1">
      <c r="AA11737"/>
    </row>
    <row r="11738" spans="27:27" ht="17.899999999999999" customHeight="1">
      <c r="AA11738"/>
    </row>
    <row r="11739" spans="27:27" ht="17.899999999999999" customHeight="1">
      <c r="AA11739"/>
    </row>
    <row r="11740" spans="27:27" ht="17.899999999999999" customHeight="1">
      <c r="AA11740"/>
    </row>
    <row r="11741" spans="27:27" ht="17.899999999999999" customHeight="1">
      <c r="AA11741"/>
    </row>
    <row r="11742" spans="27:27" ht="17.899999999999999" customHeight="1">
      <c r="AA11742"/>
    </row>
    <row r="11743" spans="27:27" ht="17.899999999999999" customHeight="1">
      <c r="AA11743"/>
    </row>
    <row r="11744" spans="27:27" ht="17.899999999999999" customHeight="1">
      <c r="AA11744"/>
    </row>
    <row r="11745" spans="27:27" ht="17.899999999999999" customHeight="1">
      <c r="AA11745"/>
    </row>
    <row r="11746" spans="27:27" ht="17.899999999999999" customHeight="1">
      <c r="AA11746"/>
    </row>
    <row r="11747" spans="27:27" ht="17.899999999999999" customHeight="1">
      <c r="AA11747"/>
    </row>
    <row r="11748" spans="27:27" ht="17.899999999999999" customHeight="1">
      <c r="AA11748"/>
    </row>
    <row r="11749" spans="27:27" ht="17.899999999999999" customHeight="1">
      <c r="AA11749"/>
    </row>
    <row r="11750" spans="27:27" ht="17.899999999999999" customHeight="1">
      <c r="AA11750"/>
    </row>
    <row r="11751" spans="27:27" ht="17.899999999999999" customHeight="1">
      <c r="AA11751"/>
    </row>
    <row r="11752" spans="27:27" ht="17.899999999999999" customHeight="1">
      <c r="AA11752"/>
    </row>
    <row r="11753" spans="27:27" ht="17.899999999999999" customHeight="1">
      <c r="AA11753"/>
    </row>
    <row r="11754" spans="27:27" ht="17.899999999999999" customHeight="1">
      <c r="AA11754"/>
    </row>
    <row r="11755" spans="27:27" ht="17.899999999999999" customHeight="1">
      <c r="AA11755"/>
    </row>
    <row r="11756" spans="27:27" ht="17.899999999999999" customHeight="1">
      <c r="AA11756"/>
    </row>
    <row r="11757" spans="27:27" ht="17.899999999999999" customHeight="1">
      <c r="AA11757"/>
    </row>
    <row r="11758" spans="27:27" ht="17.899999999999999" customHeight="1">
      <c r="AA11758"/>
    </row>
    <row r="11759" spans="27:27" ht="17.899999999999999" customHeight="1">
      <c r="AA11759"/>
    </row>
    <row r="11760" spans="27:27" ht="17.899999999999999" customHeight="1">
      <c r="AA11760"/>
    </row>
    <row r="11761" spans="27:27" ht="17.899999999999999" customHeight="1">
      <c r="AA11761"/>
    </row>
    <row r="11762" spans="27:27" ht="17.899999999999999" customHeight="1">
      <c r="AA11762"/>
    </row>
    <row r="11763" spans="27:27" ht="17.899999999999999" customHeight="1">
      <c r="AA11763"/>
    </row>
    <row r="11764" spans="27:27" ht="17.899999999999999" customHeight="1">
      <c r="AA11764"/>
    </row>
    <row r="11765" spans="27:27" ht="17.899999999999999" customHeight="1">
      <c r="AA11765"/>
    </row>
    <row r="11766" spans="27:27" ht="17.899999999999999" customHeight="1">
      <c r="AA11766"/>
    </row>
    <row r="11767" spans="27:27" ht="17.899999999999999" customHeight="1">
      <c r="AA11767"/>
    </row>
    <row r="11768" spans="27:27" ht="17.899999999999999" customHeight="1">
      <c r="AA11768"/>
    </row>
    <row r="11769" spans="27:27" ht="17.899999999999999" customHeight="1">
      <c r="AA11769"/>
    </row>
    <row r="11770" spans="27:27" ht="17.899999999999999" customHeight="1">
      <c r="AA11770"/>
    </row>
    <row r="11771" spans="27:27" ht="17.899999999999999" customHeight="1">
      <c r="AA11771"/>
    </row>
    <row r="11772" spans="27:27" ht="17.899999999999999" customHeight="1">
      <c r="AA11772"/>
    </row>
    <row r="11773" spans="27:27" ht="17.899999999999999" customHeight="1">
      <c r="AA11773"/>
    </row>
    <row r="11774" spans="27:27" ht="17.899999999999999" customHeight="1">
      <c r="AA11774"/>
    </row>
    <row r="11775" spans="27:27" ht="17.899999999999999" customHeight="1">
      <c r="AA11775"/>
    </row>
    <row r="11776" spans="27:27" ht="17.899999999999999" customHeight="1">
      <c r="AA11776"/>
    </row>
    <row r="11777" spans="27:27" ht="17.899999999999999" customHeight="1">
      <c r="AA11777"/>
    </row>
    <row r="11778" spans="27:27" ht="17.899999999999999" customHeight="1">
      <c r="AA11778"/>
    </row>
    <row r="11779" spans="27:27" ht="17.899999999999999" customHeight="1">
      <c r="AA11779"/>
    </row>
    <row r="11780" spans="27:27" ht="17.899999999999999" customHeight="1">
      <c r="AA11780"/>
    </row>
    <row r="11781" spans="27:27" ht="17.899999999999999" customHeight="1">
      <c r="AA11781"/>
    </row>
    <row r="11782" spans="27:27" ht="17.899999999999999" customHeight="1">
      <c r="AA11782"/>
    </row>
    <row r="11783" spans="27:27" ht="17.899999999999999" customHeight="1">
      <c r="AA11783"/>
    </row>
    <row r="11784" spans="27:27" ht="17.899999999999999" customHeight="1">
      <c r="AA11784"/>
    </row>
    <row r="11785" spans="27:27" ht="17.899999999999999" customHeight="1">
      <c r="AA11785"/>
    </row>
    <row r="11786" spans="27:27" ht="17.899999999999999" customHeight="1">
      <c r="AA11786"/>
    </row>
    <row r="11787" spans="27:27" ht="17.899999999999999" customHeight="1">
      <c r="AA11787"/>
    </row>
    <row r="11788" spans="27:27" ht="17.899999999999999" customHeight="1">
      <c r="AA11788"/>
    </row>
    <row r="11789" spans="27:27" ht="17.899999999999999" customHeight="1">
      <c r="AA11789"/>
    </row>
    <row r="11790" spans="27:27" ht="17.899999999999999" customHeight="1">
      <c r="AA11790"/>
    </row>
    <row r="11791" spans="27:27" ht="17.899999999999999" customHeight="1">
      <c r="AA11791"/>
    </row>
    <row r="11792" spans="27:27" ht="17.899999999999999" customHeight="1">
      <c r="AA11792"/>
    </row>
    <row r="11793" spans="27:27" ht="17.899999999999999" customHeight="1">
      <c r="AA11793"/>
    </row>
    <row r="11794" spans="27:27" ht="17.899999999999999" customHeight="1">
      <c r="AA11794"/>
    </row>
    <row r="11795" spans="27:27" ht="17.899999999999999" customHeight="1">
      <c r="AA11795"/>
    </row>
    <row r="11796" spans="27:27" ht="17.899999999999999" customHeight="1">
      <c r="AA11796"/>
    </row>
    <row r="11797" spans="27:27" ht="17.899999999999999" customHeight="1">
      <c r="AA11797"/>
    </row>
    <row r="11798" spans="27:27" ht="17.899999999999999" customHeight="1">
      <c r="AA11798"/>
    </row>
    <row r="11799" spans="27:27" ht="17.899999999999999" customHeight="1">
      <c r="AA11799"/>
    </row>
    <row r="11800" spans="27:27" ht="17.899999999999999" customHeight="1">
      <c r="AA11800"/>
    </row>
    <row r="11801" spans="27:27" ht="17.899999999999999" customHeight="1">
      <c r="AA11801"/>
    </row>
    <row r="11802" spans="27:27" ht="17.899999999999999" customHeight="1">
      <c r="AA11802"/>
    </row>
    <row r="11803" spans="27:27" ht="17.899999999999999" customHeight="1">
      <c r="AA11803"/>
    </row>
    <row r="11804" spans="27:27" ht="17.899999999999999" customHeight="1">
      <c r="AA11804"/>
    </row>
    <row r="11805" spans="27:27" ht="17.899999999999999" customHeight="1">
      <c r="AA11805"/>
    </row>
    <row r="11806" spans="27:27" ht="17.899999999999999" customHeight="1">
      <c r="AA11806"/>
    </row>
    <row r="11807" spans="27:27" ht="17.899999999999999" customHeight="1">
      <c r="AA11807"/>
    </row>
    <row r="11808" spans="27:27" ht="17.899999999999999" customHeight="1">
      <c r="AA11808"/>
    </row>
    <row r="11809" spans="27:27" ht="17.899999999999999" customHeight="1">
      <c r="AA11809"/>
    </row>
    <row r="11810" spans="27:27" ht="17.899999999999999" customHeight="1">
      <c r="AA11810"/>
    </row>
    <row r="11811" spans="27:27" ht="17.899999999999999" customHeight="1">
      <c r="AA11811"/>
    </row>
    <row r="11812" spans="27:27" ht="17.899999999999999" customHeight="1">
      <c r="AA11812"/>
    </row>
    <row r="11813" spans="27:27" ht="17.899999999999999" customHeight="1">
      <c r="AA11813"/>
    </row>
    <row r="11814" spans="27:27" ht="17.899999999999999" customHeight="1">
      <c r="AA11814"/>
    </row>
    <row r="11815" spans="27:27" ht="17.899999999999999" customHeight="1">
      <c r="AA11815"/>
    </row>
    <row r="11816" spans="27:27" ht="17.899999999999999" customHeight="1">
      <c r="AA11816"/>
    </row>
    <row r="11817" spans="27:27" ht="17.899999999999999" customHeight="1">
      <c r="AA11817"/>
    </row>
    <row r="11818" spans="27:27" ht="17.899999999999999" customHeight="1">
      <c r="AA11818"/>
    </row>
    <row r="11819" spans="27:27" ht="17.899999999999999" customHeight="1">
      <c r="AA11819"/>
    </row>
    <row r="11820" spans="27:27" ht="17.899999999999999" customHeight="1">
      <c r="AA11820"/>
    </row>
    <row r="11821" spans="27:27" ht="17.899999999999999" customHeight="1">
      <c r="AA11821"/>
    </row>
    <row r="11822" spans="27:27" ht="17.899999999999999" customHeight="1">
      <c r="AA11822"/>
    </row>
    <row r="11823" spans="27:27" ht="17.899999999999999" customHeight="1">
      <c r="AA11823"/>
    </row>
    <row r="11824" spans="27:27" ht="17.899999999999999" customHeight="1">
      <c r="AA11824"/>
    </row>
    <row r="11825" spans="27:27" ht="17.899999999999999" customHeight="1">
      <c r="AA11825"/>
    </row>
    <row r="11826" spans="27:27" ht="17.899999999999999" customHeight="1">
      <c r="AA11826"/>
    </row>
    <row r="11827" spans="27:27" ht="17.899999999999999" customHeight="1">
      <c r="AA11827"/>
    </row>
    <row r="11828" spans="27:27" ht="17.899999999999999" customHeight="1">
      <c r="AA11828"/>
    </row>
    <row r="11829" spans="27:27" ht="17.899999999999999" customHeight="1">
      <c r="AA11829"/>
    </row>
    <row r="11830" spans="27:27" ht="17.899999999999999" customHeight="1">
      <c r="AA11830"/>
    </row>
    <row r="11831" spans="27:27" ht="17.899999999999999" customHeight="1">
      <c r="AA11831"/>
    </row>
    <row r="11832" spans="27:27" ht="17.899999999999999" customHeight="1">
      <c r="AA11832"/>
    </row>
    <row r="11833" spans="27:27" ht="17.899999999999999" customHeight="1">
      <c r="AA11833"/>
    </row>
    <row r="11834" spans="27:27" ht="17.899999999999999" customHeight="1">
      <c r="AA11834"/>
    </row>
    <row r="11835" spans="27:27" ht="17.899999999999999" customHeight="1">
      <c r="AA11835"/>
    </row>
    <row r="11836" spans="27:27" ht="17.899999999999999" customHeight="1">
      <c r="AA11836"/>
    </row>
    <row r="11837" spans="27:27" ht="17.899999999999999" customHeight="1">
      <c r="AA11837"/>
    </row>
    <row r="11838" spans="27:27" ht="17.899999999999999" customHeight="1">
      <c r="AA11838"/>
    </row>
    <row r="11839" spans="27:27" ht="17.899999999999999" customHeight="1">
      <c r="AA11839"/>
    </row>
    <row r="11840" spans="27:27" ht="17.899999999999999" customHeight="1">
      <c r="AA11840"/>
    </row>
    <row r="11841" spans="27:27" ht="17.899999999999999" customHeight="1">
      <c r="AA11841"/>
    </row>
    <row r="11842" spans="27:27" ht="17.899999999999999" customHeight="1">
      <c r="AA11842"/>
    </row>
    <row r="11843" spans="27:27" ht="17.899999999999999" customHeight="1">
      <c r="AA11843"/>
    </row>
    <row r="11844" spans="27:27" ht="17.899999999999999" customHeight="1">
      <c r="AA11844"/>
    </row>
    <row r="11845" spans="27:27" ht="17.899999999999999" customHeight="1">
      <c r="AA11845"/>
    </row>
    <row r="11846" spans="27:27" ht="17.899999999999999" customHeight="1">
      <c r="AA11846"/>
    </row>
    <row r="11847" spans="27:27" ht="17.899999999999999" customHeight="1">
      <c r="AA11847"/>
    </row>
    <row r="11848" spans="27:27" ht="17.899999999999999" customHeight="1">
      <c r="AA11848"/>
    </row>
    <row r="11849" spans="27:27" ht="17.899999999999999" customHeight="1">
      <c r="AA11849"/>
    </row>
    <row r="11850" spans="27:27" ht="17.899999999999999" customHeight="1">
      <c r="AA11850"/>
    </row>
    <row r="11851" spans="27:27" ht="17.899999999999999" customHeight="1">
      <c r="AA11851"/>
    </row>
    <row r="11852" spans="27:27" ht="17.899999999999999" customHeight="1">
      <c r="AA11852"/>
    </row>
    <row r="11853" spans="27:27" ht="17.899999999999999" customHeight="1">
      <c r="AA11853"/>
    </row>
    <row r="11854" spans="27:27" ht="17.899999999999999" customHeight="1">
      <c r="AA11854"/>
    </row>
    <row r="11855" spans="27:27" ht="17.899999999999999" customHeight="1">
      <c r="AA11855"/>
    </row>
    <row r="11856" spans="27:27" ht="17.899999999999999" customHeight="1">
      <c r="AA11856"/>
    </row>
    <row r="11857" spans="27:27" ht="17.899999999999999" customHeight="1">
      <c r="AA11857"/>
    </row>
    <row r="11858" spans="27:27" ht="17.899999999999999" customHeight="1">
      <c r="AA11858"/>
    </row>
    <row r="11859" spans="27:27" ht="17.899999999999999" customHeight="1">
      <c r="AA11859"/>
    </row>
    <row r="11860" spans="27:27" ht="17.899999999999999" customHeight="1">
      <c r="AA11860"/>
    </row>
    <row r="11861" spans="27:27" ht="17.899999999999999" customHeight="1">
      <c r="AA11861"/>
    </row>
    <row r="11862" spans="27:27" ht="17.899999999999999" customHeight="1">
      <c r="AA11862"/>
    </row>
    <row r="11863" spans="27:27" ht="17.899999999999999" customHeight="1">
      <c r="AA11863"/>
    </row>
    <row r="11864" spans="27:27" ht="17.899999999999999" customHeight="1">
      <c r="AA11864"/>
    </row>
    <row r="11865" spans="27:27" ht="17.899999999999999" customHeight="1">
      <c r="AA11865"/>
    </row>
    <row r="11866" spans="27:27" ht="17.899999999999999" customHeight="1">
      <c r="AA11866"/>
    </row>
    <row r="11867" spans="27:27" ht="17.899999999999999" customHeight="1">
      <c r="AA11867"/>
    </row>
    <row r="11868" spans="27:27" ht="17.899999999999999" customHeight="1">
      <c r="AA11868"/>
    </row>
    <row r="11869" spans="27:27" ht="17.899999999999999" customHeight="1">
      <c r="AA11869"/>
    </row>
    <row r="11870" spans="27:27" ht="17.899999999999999" customHeight="1">
      <c r="AA11870"/>
    </row>
    <row r="11871" spans="27:27" ht="17.899999999999999" customHeight="1">
      <c r="AA11871"/>
    </row>
    <row r="11872" spans="27:27" ht="17.899999999999999" customHeight="1">
      <c r="AA11872"/>
    </row>
    <row r="11873" spans="27:27" ht="17.899999999999999" customHeight="1">
      <c r="AA11873"/>
    </row>
    <row r="11874" spans="27:27" ht="17.899999999999999" customHeight="1">
      <c r="AA11874"/>
    </row>
    <row r="11875" spans="27:27" ht="17.899999999999999" customHeight="1">
      <c r="AA11875"/>
    </row>
    <row r="11876" spans="27:27" ht="17.899999999999999" customHeight="1">
      <c r="AA11876"/>
    </row>
    <row r="11877" spans="27:27" ht="17.899999999999999" customHeight="1">
      <c r="AA11877"/>
    </row>
    <row r="11878" spans="27:27" ht="17.899999999999999" customHeight="1">
      <c r="AA11878"/>
    </row>
    <row r="11879" spans="27:27" ht="17.899999999999999" customHeight="1">
      <c r="AA11879"/>
    </row>
    <row r="11880" spans="27:27" ht="17.899999999999999" customHeight="1">
      <c r="AA11880"/>
    </row>
    <row r="11881" spans="27:27" ht="17.899999999999999" customHeight="1">
      <c r="AA11881"/>
    </row>
    <row r="11882" spans="27:27" ht="17.899999999999999" customHeight="1">
      <c r="AA11882"/>
    </row>
    <row r="11883" spans="27:27" ht="17.899999999999999" customHeight="1">
      <c r="AA11883"/>
    </row>
    <row r="11884" spans="27:27" ht="17.899999999999999" customHeight="1">
      <c r="AA11884"/>
    </row>
    <row r="11885" spans="27:27" ht="17.899999999999999" customHeight="1">
      <c r="AA11885"/>
    </row>
    <row r="11886" spans="27:27" ht="17.899999999999999" customHeight="1">
      <c r="AA11886"/>
    </row>
    <row r="11887" spans="27:27" ht="17.899999999999999" customHeight="1">
      <c r="AA11887"/>
    </row>
    <row r="11888" spans="27:27" ht="17.899999999999999" customHeight="1">
      <c r="AA11888"/>
    </row>
    <row r="11889" spans="27:27" ht="17.899999999999999" customHeight="1">
      <c r="AA11889"/>
    </row>
    <row r="11890" spans="27:27" ht="17.899999999999999" customHeight="1">
      <c r="AA11890"/>
    </row>
    <row r="11891" spans="27:27" ht="17.899999999999999" customHeight="1">
      <c r="AA11891"/>
    </row>
    <row r="11892" spans="27:27" ht="17.899999999999999" customHeight="1">
      <c r="AA11892"/>
    </row>
    <row r="11893" spans="27:27" ht="17.899999999999999" customHeight="1">
      <c r="AA11893"/>
    </row>
    <row r="11894" spans="27:27" ht="17.899999999999999" customHeight="1">
      <c r="AA11894"/>
    </row>
    <row r="11895" spans="27:27" ht="17.899999999999999" customHeight="1">
      <c r="AA11895"/>
    </row>
    <row r="11896" spans="27:27" ht="17.899999999999999" customHeight="1">
      <c r="AA11896"/>
    </row>
    <row r="11897" spans="27:27" ht="17.899999999999999" customHeight="1">
      <c r="AA11897"/>
    </row>
    <row r="11898" spans="27:27" ht="17.899999999999999" customHeight="1">
      <c r="AA11898"/>
    </row>
    <row r="11899" spans="27:27" ht="17.899999999999999" customHeight="1">
      <c r="AA11899"/>
    </row>
    <row r="11900" spans="27:27" ht="17.899999999999999" customHeight="1">
      <c r="AA11900"/>
    </row>
    <row r="11901" spans="27:27" ht="17.899999999999999" customHeight="1">
      <c r="AA11901"/>
    </row>
    <row r="11902" spans="27:27" ht="17.899999999999999" customHeight="1">
      <c r="AA11902"/>
    </row>
    <row r="11903" spans="27:27" ht="17.899999999999999" customHeight="1">
      <c r="AA11903"/>
    </row>
    <row r="11904" spans="27:27" ht="17.899999999999999" customHeight="1">
      <c r="AA11904"/>
    </row>
    <row r="11905" spans="27:27" ht="17.899999999999999" customHeight="1">
      <c r="AA11905"/>
    </row>
    <row r="11906" spans="27:27" ht="17.899999999999999" customHeight="1">
      <c r="AA11906"/>
    </row>
    <row r="11907" spans="27:27" ht="17.899999999999999" customHeight="1">
      <c r="AA11907"/>
    </row>
    <row r="11908" spans="27:27" ht="17.899999999999999" customHeight="1">
      <c r="AA11908"/>
    </row>
    <row r="11909" spans="27:27" ht="17.899999999999999" customHeight="1">
      <c r="AA11909"/>
    </row>
    <row r="11910" spans="27:27" ht="17.899999999999999" customHeight="1">
      <c r="AA11910"/>
    </row>
    <row r="11911" spans="27:27" ht="17.899999999999999" customHeight="1">
      <c r="AA11911"/>
    </row>
    <row r="11912" spans="27:27" ht="17.899999999999999" customHeight="1">
      <c r="AA11912"/>
    </row>
    <row r="11913" spans="27:27" ht="17.899999999999999" customHeight="1">
      <c r="AA11913"/>
    </row>
    <row r="11914" spans="27:27" ht="17.899999999999999" customHeight="1">
      <c r="AA11914"/>
    </row>
    <row r="11915" spans="27:27" ht="17.899999999999999" customHeight="1">
      <c r="AA11915"/>
    </row>
    <row r="11916" spans="27:27" ht="17.899999999999999" customHeight="1">
      <c r="AA11916"/>
    </row>
    <row r="11917" spans="27:27" ht="17.899999999999999" customHeight="1">
      <c r="AA11917"/>
    </row>
    <row r="11918" spans="27:27" ht="17.899999999999999" customHeight="1">
      <c r="AA11918"/>
    </row>
    <row r="11919" spans="27:27" ht="17.899999999999999" customHeight="1">
      <c r="AA11919"/>
    </row>
    <row r="11920" spans="27:27" ht="17.899999999999999" customHeight="1">
      <c r="AA11920"/>
    </row>
    <row r="11921" spans="27:27" ht="17.899999999999999" customHeight="1">
      <c r="AA11921"/>
    </row>
    <row r="11922" spans="27:27" ht="17.899999999999999" customHeight="1">
      <c r="AA11922"/>
    </row>
    <row r="11923" spans="27:27" ht="17.899999999999999" customHeight="1">
      <c r="AA11923"/>
    </row>
    <row r="11924" spans="27:27" ht="17.899999999999999" customHeight="1">
      <c r="AA11924"/>
    </row>
    <row r="11925" spans="27:27" ht="17.899999999999999" customHeight="1">
      <c r="AA11925"/>
    </row>
    <row r="11926" spans="27:27" ht="17.899999999999999" customHeight="1">
      <c r="AA11926"/>
    </row>
    <row r="11927" spans="27:27" ht="17.899999999999999" customHeight="1">
      <c r="AA11927"/>
    </row>
    <row r="11928" spans="27:27" ht="17.899999999999999" customHeight="1">
      <c r="AA11928"/>
    </row>
    <row r="11929" spans="27:27" ht="17.899999999999999" customHeight="1">
      <c r="AA11929"/>
    </row>
    <row r="11930" spans="27:27" ht="17.899999999999999" customHeight="1">
      <c r="AA11930"/>
    </row>
    <row r="11931" spans="27:27" ht="17.899999999999999" customHeight="1">
      <c r="AA11931"/>
    </row>
    <row r="11932" spans="27:27" ht="17.899999999999999" customHeight="1">
      <c r="AA11932"/>
    </row>
    <row r="11933" spans="27:27" ht="17.899999999999999" customHeight="1">
      <c r="AA11933"/>
    </row>
    <row r="11934" spans="27:27" ht="17.899999999999999" customHeight="1">
      <c r="AA11934"/>
    </row>
    <row r="11935" spans="27:27" ht="17.899999999999999" customHeight="1">
      <c r="AA11935"/>
    </row>
    <row r="11936" spans="27:27" ht="17.899999999999999" customHeight="1">
      <c r="AA11936"/>
    </row>
    <row r="11937" spans="27:27" ht="17.899999999999999" customHeight="1">
      <c r="AA11937"/>
    </row>
    <row r="11938" spans="27:27" ht="17.899999999999999" customHeight="1">
      <c r="AA11938"/>
    </row>
    <row r="11939" spans="27:27" ht="17.899999999999999" customHeight="1">
      <c r="AA11939"/>
    </row>
    <row r="11940" spans="27:27" ht="17.899999999999999" customHeight="1">
      <c r="AA11940"/>
    </row>
    <row r="11941" spans="27:27" ht="17.899999999999999" customHeight="1">
      <c r="AA11941"/>
    </row>
    <row r="11942" spans="27:27" ht="17.899999999999999" customHeight="1">
      <c r="AA11942"/>
    </row>
    <row r="11943" spans="27:27" ht="17.899999999999999" customHeight="1">
      <c r="AA11943"/>
    </row>
    <row r="11944" spans="27:27" ht="17.899999999999999" customHeight="1">
      <c r="AA11944"/>
    </row>
    <row r="11945" spans="27:27" ht="17.899999999999999" customHeight="1">
      <c r="AA11945"/>
    </row>
    <row r="11946" spans="27:27" ht="17.899999999999999" customHeight="1">
      <c r="AA11946"/>
    </row>
    <row r="11947" spans="27:27" ht="17.899999999999999" customHeight="1">
      <c r="AA11947"/>
    </row>
    <row r="11948" spans="27:27" ht="17.899999999999999" customHeight="1">
      <c r="AA11948"/>
    </row>
    <row r="11949" spans="27:27" ht="17.899999999999999" customHeight="1">
      <c r="AA11949"/>
    </row>
    <row r="11950" spans="27:27" ht="17.899999999999999" customHeight="1">
      <c r="AA11950"/>
    </row>
    <row r="11951" spans="27:27" ht="17.899999999999999" customHeight="1">
      <c r="AA11951"/>
    </row>
    <row r="11952" spans="27:27" ht="17.899999999999999" customHeight="1">
      <c r="AA11952"/>
    </row>
    <row r="11953" spans="27:27" ht="17.899999999999999" customHeight="1">
      <c r="AA11953"/>
    </row>
    <row r="11954" spans="27:27" ht="17.899999999999999" customHeight="1">
      <c r="AA11954"/>
    </row>
    <row r="11955" spans="27:27" ht="17.899999999999999" customHeight="1">
      <c r="AA11955"/>
    </row>
    <row r="11956" spans="27:27" ht="17.899999999999999" customHeight="1">
      <c r="AA11956"/>
    </row>
    <row r="11957" spans="27:27" ht="17.899999999999999" customHeight="1">
      <c r="AA11957"/>
    </row>
    <row r="11958" spans="27:27" ht="17.899999999999999" customHeight="1">
      <c r="AA11958"/>
    </row>
    <row r="11959" spans="27:27" ht="17.899999999999999" customHeight="1">
      <c r="AA11959"/>
    </row>
    <row r="11960" spans="27:27" ht="17.899999999999999" customHeight="1">
      <c r="AA11960"/>
    </row>
    <row r="11961" spans="27:27" ht="17.899999999999999" customHeight="1">
      <c r="AA11961"/>
    </row>
    <row r="11962" spans="27:27" ht="17.899999999999999" customHeight="1">
      <c r="AA11962"/>
    </row>
    <row r="11963" spans="27:27" ht="17.899999999999999" customHeight="1">
      <c r="AA11963"/>
    </row>
    <row r="11964" spans="27:27" ht="17.899999999999999" customHeight="1">
      <c r="AA11964"/>
    </row>
    <row r="11965" spans="27:27" ht="17.899999999999999" customHeight="1">
      <c r="AA11965"/>
    </row>
    <row r="11966" spans="27:27" ht="17.899999999999999" customHeight="1">
      <c r="AA11966"/>
    </row>
    <row r="11967" spans="27:27" ht="17.899999999999999" customHeight="1">
      <c r="AA11967"/>
    </row>
    <row r="11968" spans="27:27" ht="17.899999999999999" customHeight="1">
      <c r="AA11968"/>
    </row>
    <row r="11969" spans="27:27" ht="17.899999999999999" customHeight="1">
      <c r="AA11969"/>
    </row>
    <row r="11970" spans="27:27" ht="17.899999999999999" customHeight="1">
      <c r="AA11970"/>
    </row>
    <row r="11971" spans="27:27" ht="17.899999999999999" customHeight="1">
      <c r="AA11971"/>
    </row>
    <row r="11972" spans="27:27" ht="17.899999999999999" customHeight="1">
      <c r="AA11972"/>
    </row>
    <row r="11973" spans="27:27" ht="17.899999999999999" customHeight="1">
      <c r="AA11973"/>
    </row>
    <row r="11974" spans="27:27" ht="17.899999999999999" customHeight="1">
      <c r="AA11974"/>
    </row>
    <row r="11975" spans="27:27" ht="17.899999999999999" customHeight="1">
      <c r="AA11975"/>
    </row>
    <row r="11976" spans="27:27" ht="17.899999999999999" customHeight="1">
      <c r="AA11976"/>
    </row>
    <row r="11977" spans="27:27" ht="17.899999999999999" customHeight="1">
      <c r="AA11977"/>
    </row>
    <row r="11978" spans="27:27" ht="17.899999999999999" customHeight="1">
      <c r="AA11978"/>
    </row>
    <row r="11979" spans="27:27" ht="17.899999999999999" customHeight="1">
      <c r="AA11979"/>
    </row>
    <row r="11980" spans="27:27" ht="17.899999999999999" customHeight="1">
      <c r="AA11980"/>
    </row>
    <row r="11981" spans="27:27" ht="17.899999999999999" customHeight="1">
      <c r="AA11981"/>
    </row>
    <row r="11982" spans="27:27" ht="17.899999999999999" customHeight="1">
      <c r="AA11982"/>
    </row>
    <row r="11983" spans="27:27" ht="17.899999999999999" customHeight="1">
      <c r="AA11983"/>
    </row>
    <row r="11984" spans="27:27" ht="17.899999999999999" customHeight="1">
      <c r="AA11984"/>
    </row>
    <row r="11985" spans="27:27" ht="17.899999999999999" customHeight="1">
      <c r="AA11985"/>
    </row>
    <row r="11986" spans="27:27" ht="17.899999999999999" customHeight="1">
      <c r="AA11986"/>
    </row>
    <row r="11987" spans="27:27" ht="17.899999999999999" customHeight="1">
      <c r="AA11987"/>
    </row>
    <row r="11988" spans="27:27" ht="17.899999999999999" customHeight="1">
      <c r="AA11988"/>
    </row>
    <row r="11989" spans="27:27" ht="17.899999999999999" customHeight="1">
      <c r="AA11989"/>
    </row>
    <row r="11990" spans="27:27" ht="17.899999999999999" customHeight="1">
      <c r="AA11990"/>
    </row>
    <row r="11991" spans="27:27" ht="17.899999999999999" customHeight="1">
      <c r="AA11991"/>
    </row>
    <row r="11992" spans="27:27" ht="17.899999999999999" customHeight="1">
      <c r="AA11992"/>
    </row>
    <row r="11993" spans="27:27" ht="17.899999999999999" customHeight="1">
      <c r="AA11993"/>
    </row>
    <row r="11994" spans="27:27" ht="17.899999999999999" customHeight="1">
      <c r="AA11994"/>
    </row>
    <row r="11995" spans="27:27" ht="17.899999999999999" customHeight="1">
      <c r="AA11995"/>
    </row>
    <row r="11996" spans="27:27" ht="17.899999999999999" customHeight="1">
      <c r="AA11996"/>
    </row>
    <row r="11997" spans="27:27" ht="17.899999999999999" customHeight="1">
      <c r="AA11997"/>
    </row>
    <row r="11998" spans="27:27" ht="17.899999999999999" customHeight="1">
      <c r="AA11998"/>
    </row>
    <row r="11999" spans="27:27" ht="17.899999999999999" customHeight="1">
      <c r="AA11999"/>
    </row>
    <row r="12000" spans="27:27" ht="17.899999999999999" customHeight="1">
      <c r="AA12000"/>
    </row>
    <row r="12001" spans="27:27" ht="17.899999999999999" customHeight="1">
      <c r="AA12001"/>
    </row>
    <row r="12002" spans="27:27" ht="17.899999999999999" customHeight="1">
      <c r="AA12002"/>
    </row>
    <row r="12003" spans="27:27" ht="17.899999999999999" customHeight="1">
      <c r="AA12003"/>
    </row>
    <row r="12004" spans="27:27" ht="17.899999999999999" customHeight="1">
      <c r="AA12004"/>
    </row>
    <row r="12005" spans="27:27" ht="17.899999999999999" customHeight="1">
      <c r="AA12005"/>
    </row>
    <row r="12006" spans="27:27" ht="17.899999999999999" customHeight="1">
      <c r="AA12006"/>
    </row>
    <row r="12007" spans="27:27" ht="17.899999999999999" customHeight="1">
      <c r="AA12007"/>
    </row>
    <row r="12008" spans="27:27" ht="17.899999999999999" customHeight="1">
      <c r="AA12008"/>
    </row>
    <row r="12009" spans="27:27" ht="17.899999999999999" customHeight="1">
      <c r="AA12009"/>
    </row>
    <row r="12010" spans="27:27" ht="17.899999999999999" customHeight="1">
      <c r="AA12010"/>
    </row>
    <row r="12011" spans="27:27" ht="17.899999999999999" customHeight="1">
      <c r="AA12011"/>
    </row>
    <row r="12012" spans="27:27" ht="17.899999999999999" customHeight="1">
      <c r="AA12012"/>
    </row>
    <row r="12013" spans="27:27" ht="17.899999999999999" customHeight="1">
      <c r="AA12013"/>
    </row>
    <row r="12014" spans="27:27" ht="17.899999999999999" customHeight="1">
      <c r="AA12014"/>
    </row>
    <row r="12015" spans="27:27" ht="17.899999999999999" customHeight="1">
      <c r="AA12015"/>
    </row>
    <row r="12016" spans="27:27" ht="17.899999999999999" customHeight="1">
      <c r="AA12016"/>
    </row>
    <row r="12017" spans="27:27" ht="17.899999999999999" customHeight="1">
      <c r="AA12017"/>
    </row>
    <row r="12018" spans="27:27" ht="17.899999999999999" customHeight="1">
      <c r="AA12018"/>
    </row>
    <row r="12019" spans="27:27" ht="17.899999999999999" customHeight="1">
      <c r="AA12019"/>
    </row>
    <row r="12020" spans="27:27" ht="17.899999999999999" customHeight="1">
      <c r="AA12020"/>
    </row>
    <row r="12021" spans="27:27" ht="17.899999999999999" customHeight="1">
      <c r="AA12021"/>
    </row>
    <row r="12022" spans="27:27" ht="17.899999999999999" customHeight="1">
      <c r="AA12022"/>
    </row>
    <row r="12023" spans="27:27" ht="17.899999999999999" customHeight="1">
      <c r="AA12023"/>
    </row>
    <row r="12024" spans="27:27" ht="17.899999999999999" customHeight="1">
      <c r="AA12024"/>
    </row>
    <row r="12025" spans="27:27" ht="17.899999999999999" customHeight="1">
      <c r="AA12025"/>
    </row>
    <row r="12026" spans="27:27" ht="17.899999999999999" customHeight="1">
      <c r="AA12026"/>
    </row>
    <row r="12027" spans="27:27" ht="17.899999999999999" customHeight="1">
      <c r="AA12027"/>
    </row>
    <row r="12028" spans="27:27" ht="17.899999999999999" customHeight="1">
      <c r="AA12028"/>
    </row>
    <row r="12029" spans="27:27" ht="17.899999999999999" customHeight="1">
      <c r="AA12029"/>
    </row>
    <row r="12030" spans="27:27" ht="17.899999999999999" customHeight="1">
      <c r="AA12030"/>
    </row>
    <row r="12031" spans="27:27" ht="17.899999999999999" customHeight="1">
      <c r="AA12031"/>
    </row>
    <row r="12032" spans="27:27" ht="17.899999999999999" customHeight="1">
      <c r="AA12032"/>
    </row>
    <row r="12033" spans="27:27" ht="17.899999999999999" customHeight="1">
      <c r="AA12033"/>
    </row>
    <row r="12034" spans="27:27" ht="17.899999999999999" customHeight="1">
      <c r="AA12034"/>
    </row>
    <row r="12035" spans="27:27" ht="17.899999999999999" customHeight="1">
      <c r="AA12035"/>
    </row>
    <row r="12036" spans="27:27" ht="17.899999999999999" customHeight="1">
      <c r="AA12036"/>
    </row>
    <row r="12037" spans="27:27" ht="17.899999999999999" customHeight="1">
      <c r="AA12037"/>
    </row>
    <row r="12038" spans="27:27" ht="17.899999999999999" customHeight="1">
      <c r="AA12038"/>
    </row>
    <row r="12039" spans="27:27" ht="17.899999999999999" customHeight="1">
      <c r="AA12039"/>
    </row>
    <row r="12040" spans="27:27" ht="17.899999999999999" customHeight="1">
      <c r="AA12040"/>
    </row>
    <row r="12041" spans="27:27" ht="17.899999999999999" customHeight="1">
      <c r="AA12041"/>
    </row>
    <row r="12042" spans="27:27" ht="17.899999999999999" customHeight="1">
      <c r="AA12042"/>
    </row>
    <row r="12043" spans="27:27" ht="17.899999999999999" customHeight="1">
      <c r="AA12043"/>
    </row>
    <row r="12044" spans="27:27" ht="17.899999999999999" customHeight="1">
      <c r="AA12044"/>
    </row>
    <row r="12045" spans="27:27" ht="17.899999999999999" customHeight="1">
      <c r="AA12045"/>
    </row>
    <row r="12046" spans="27:27" ht="17.899999999999999" customHeight="1">
      <c r="AA12046"/>
    </row>
    <row r="12047" spans="27:27" ht="17.899999999999999" customHeight="1">
      <c r="AA12047"/>
    </row>
    <row r="12048" spans="27:27" ht="17.899999999999999" customHeight="1">
      <c r="AA12048"/>
    </row>
    <row r="12049" spans="27:27" ht="17.899999999999999" customHeight="1">
      <c r="AA12049"/>
    </row>
    <row r="12050" spans="27:27" ht="17.899999999999999" customHeight="1">
      <c r="AA12050"/>
    </row>
    <row r="12051" spans="27:27" ht="17.899999999999999" customHeight="1">
      <c r="AA12051"/>
    </row>
    <row r="12052" spans="27:27" ht="17.899999999999999" customHeight="1">
      <c r="AA12052"/>
    </row>
    <row r="12053" spans="27:27" ht="17.899999999999999" customHeight="1">
      <c r="AA12053"/>
    </row>
    <row r="12054" spans="27:27" ht="17.899999999999999" customHeight="1">
      <c r="AA12054"/>
    </row>
    <row r="12055" spans="27:27" ht="17.899999999999999" customHeight="1">
      <c r="AA12055"/>
    </row>
    <row r="12056" spans="27:27" ht="17.899999999999999" customHeight="1">
      <c r="AA12056"/>
    </row>
    <row r="12057" spans="27:27" ht="17.899999999999999" customHeight="1">
      <c r="AA12057"/>
    </row>
    <row r="12058" spans="27:27" ht="17.899999999999999" customHeight="1">
      <c r="AA12058"/>
    </row>
    <row r="12059" spans="27:27" ht="17.899999999999999" customHeight="1">
      <c r="AA12059"/>
    </row>
    <row r="12060" spans="27:27" ht="17.899999999999999" customHeight="1">
      <c r="AA12060"/>
    </row>
    <row r="12061" spans="27:27" ht="17.899999999999999" customHeight="1">
      <c r="AA12061"/>
    </row>
    <row r="12062" spans="27:27" ht="17.899999999999999" customHeight="1">
      <c r="AA12062"/>
    </row>
    <row r="12063" spans="27:27" ht="17.899999999999999" customHeight="1">
      <c r="AA12063"/>
    </row>
    <row r="12064" spans="27:27" ht="17.899999999999999" customHeight="1">
      <c r="AA12064"/>
    </row>
    <row r="12065" spans="27:27" ht="17.899999999999999" customHeight="1">
      <c r="AA12065"/>
    </row>
    <row r="12066" spans="27:27" ht="17.899999999999999" customHeight="1">
      <c r="AA12066"/>
    </row>
    <row r="12067" spans="27:27" ht="17.899999999999999" customHeight="1">
      <c r="AA12067"/>
    </row>
    <row r="12068" spans="27:27" ht="17.899999999999999" customHeight="1">
      <c r="AA12068"/>
    </row>
    <row r="12069" spans="27:27" ht="17.899999999999999" customHeight="1">
      <c r="AA12069"/>
    </row>
    <row r="12070" spans="27:27" ht="17.899999999999999" customHeight="1">
      <c r="AA12070"/>
    </row>
    <row r="12071" spans="27:27" ht="17.899999999999999" customHeight="1">
      <c r="AA12071"/>
    </row>
    <row r="12072" spans="27:27" ht="17.899999999999999" customHeight="1">
      <c r="AA12072"/>
    </row>
    <row r="12073" spans="27:27" ht="17.899999999999999" customHeight="1">
      <c r="AA12073"/>
    </row>
    <row r="12074" spans="27:27" ht="17.899999999999999" customHeight="1">
      <c r="AA12074"/>
    </row>
    <row r="12075" spans="27:27" ht="17.899999999999999" customHeight="1">
      <c r="AA12075"/>
    </row>
    <row r="12076" spans="27:27" ht="17.899999999999999" customHeight="1">
      <c r="AA12076"/>
    </row>
    <row r="12077" spans="27:27" ht="17.899999999999999" customHeight="1">
      <c r="AA12077"/>
    </row>
    <row r="12078" spans="27:27" ht="17.899999999999999" customHeight="1">
      <c r="AA12078"/>
    </row>
    <row r="12079" spans="27:27" ht="17.899999999999999" customHeight="1">
      <c r="AA12079"/>
    </row>
    <row r="12080" spans="27:27" ht="17.899999999999999" customHeight="1">
      <c r="AA12080"/>
    </row>
    <row r="12081" spans="27:27" ht="17.899999999999999" customHeight="1">
      <c r="AA12081"/>
    </row>
    <row r="12082" spans="27:27" ht="17.899999999999999" customHeight="1">
      <c r="AA12082"/>
    </row>
    <row r="12083" spans="27:27" ht="17.899999999999999" customHeight="1">
      <c r="AA12083"/>
    </row>
    <row r="12084" spans="27:27" ht="17.899999999999999" customHeight="1">
      <c r="AA12084"/>
    </row>
    <row r="12085" spans="27:27" ht="17.899999999999999" customHeight="1">
      <c r="AA12085"/>
    </row>
    <row r="12086" spans="27:27" ht="17.899999999999999" customHeight="1">
      <c r="AA12086"/>
    </row>
    <row r="12087" spans="27:27" ht="17.899999999999999" customHeight="1">
      <c r="AA12087"/>
    </row>
    <row r="12088" spans="27:27" ht="17.899999999999999" customHeight="1">
      <c r="AA12088"/>
    </row>
    <row r="12089" spans="27:27" ht="17.899999999999999" customHeight="1">
      <c r="AA12089"/>
    </row>
    <row r="12090" spans="27:27" ht="17.899999999999999" customHeight="1">
      <c r="AA12090"/>
    </row>
    <row r="12091" spans="27:27" ht="17.899999999999999" customHeight="1">
      <c r="AA12091"/>
    </row>
    <row r="12092" spans="27:27" ht="17.899999999999999" customHeight="1">
      <c r="AA12092"/>
    </row>
    <row r="12093" spans="27:27" ht="17.899999999999999" customHeight="1">
      <c r="AA12093"/>
    </row>
    <row r="12094" spans="27:27" ht="17.899999999999999" customHeight="1">
      <c r="AA12094"/>
    </row>
    <row r="12095" spans="27:27" ht="17.899999999999999" customHeight="1">
      <c r="AA12095"/>
    </row>
    <row r="12096" spans="27:27" ht="17.899999999999999" customHeight="1">
      <c r="AA12096"/>
    </row>
    <row r="12097" spans="27:27" ht="17.899999999999999" customHeight="1">
      <c r="AA12097"/>
    </row>
    <row r="12098" spans="27:27" ht="17.899999999999999" customHeight="1">
      <c r="AA12098"/>
    </row>
    <row r="12099" spans="27:27" ht="17.899999999999999" customHeight="1">
      <c r="AA12099"/>
    </row>
    <row r="12100" spans="27:27" ht="17.899999999999999" customHeight="1">
      <c r="AA12100"/>
    </row>
    <row r="12101" spans="27:27" ht="17.899999999999999" customHeight="1">
      <c r="AA12101"/>
    </row>
    <row r="12102" spans="27:27" ht="17.899999999999999" customHeight="1">
      <c r="AA12102"/>
    </row>
    <row r="12103" spans="27:27" ht="17.899999999999999" customHeight="1">
      <c r="AA12103"/>
    </row>
    <row r="12104" spans="27:27" ht="17.899999999999999" customHeight="1">
      <c r="AA12104"/>
    </row>
    <row r="12105" spans="27:27" ht="17.899999999999999" customHeight="1">
      <c r="AA12105"/>
    </row>
    <row r="12106" spans="27:27" ht="17.899999999999999" customHeight="1">
      <c r="AA12106"/>
    </row>
    <row r="12107" spans="27:27" ht="17.899999999999999" customHeight="1">
      <c r="AA12107"/>
    </row>
    <row r="12108" spans="27:27" ht="17.899999999999999" customHeight="1">
      <c r="AA12108"/>
    </row>
    <row r="12109" spans="27:27" ht="17.899999999999999" customHeight="1">
      <c r="AA12109"/>
    </row>
    <row r="12110" spans="27:27" ht="17.899999999999999" customHeight="1">
      <c r="AA12110"/>
    </row>
    <row r="12111" spans="27:27" ht="17.899999999999999" customHeight="1">
      <c r="AA12111"/>
    </row>
    <row r="12112" spans="27:27" ht="17.899999999999999" customHeight="1">
      <c r="AA12112"/>
    </row>
    <row r="12113" spans="27:27" ht="17.899999999999999" customHeight="1">
      <c r="AA12113"/>
    </row>
    <row r="12114" spans="27:27" ht="17.899999999999999" customHeight="1">
      <c r="AA12114"/>
    </row>
    <row r="12115" spans="27:27" ht="17.899999999999999" customHeight="1">
      <c r="AA12115"/>
    </row>
    <row r="12116" spans="27:27" ht="17.899999999999999" customHeight="1">
      <c r="AA12116"/>
    </row>
    <row r="12117" spans="27:27" ht="17.899999999999999" customHeight="1">
      <c r="AA12117"/>
    </row>
    <row r="12118" spans="27:27" ht="17.899999999999999" customHeight="1">
      <c r="AA12118"/>
    </row>
    <row r="12119" spans="27:27" ht="17.899999999999999" customHeight="1">
      <c r="AA12119"/>
    </row>
    <row r="12120" spans="27:27" ht="17.899999999999999" customHeight="1">
      <c r="AA12120"/>
    </row>
    <row r="12121" spans="27:27" ht="17.899999999999999" customHeight="1">
      <c r="AA12121"/>
    </row>
    <row r="12122" spans="27:27" ht="17.899999999999999" customHeight="1">
      <c r="AA12122"/>
    </row>
    <row r="12123" spans="27:27" ht="17.899999999999999" customHeight="1">
      <c r="AA12123"/>
    </row>
    <row r="12124" spans="27:27" ht="17.899999999999999" customHeight="1">
      <c r="AA12124"/>
    </row>
    <row r="12125" spans="27:27" ht="17.899999999999999" customHeight="1">
      <c r="AA12125"/>
    </row>
    <row r="12126" spans="27:27" ht="17.899999999999999" customHeight="1">
      <c r="AA12126"/>
    </row>
    <row r="12127" spans="27:27" ht="17.899999999999999" customHeight="1">
      <c r="AA12127"/>
    </row>
    <row r="12128" spans="27:27" ht="17.899999999999999" customHeight="1">
      <c r="AA12128"/>
    </row>
    <row r="12129" spans="27:27" ht="17.899999999999999" customHeight="1">
      <c r="AA12129"/>
    </row>
    <row r="12130" spans="27:27" ht="17.899999999999999" customHeight="1">
      <c r="AA12130"/>
    </row>
    <row r="12131" spans="27:27" ht="17.899999999999999" customHeight="1">
      <c r="AA12131"/>
    </row>
    <row r="12132" spans="27:27" ht="17.899999999999999" customHeight="1">
      <c r="AA12132"/>
    </row>
    <row r="12133" spans="27:27" ht="17.899999999999999" customHeight="1">
      <c r="AA12133"/>
    </row>
    <row r="12134" spans="27:27" ht="17.899999999999999" customHeight="1">
      <c r="AA12134"/>
    </row>
    <row r="12135" spans="27:27" ht="17.899999999999999" customHeight="1">
      <c r="AA12135"/>
    </row>
    <row r="12136" spans="27:27" ht="17.899999999999999" customHeight="1">
      <c r="AA12136"/>
    </row>
    <row r="12137" spans="27:27" ht="17.899999999999999" customHeight="1">
      <c r="AA12137"/>
    </row>
    <row r="12138" spans="27:27" ht="17.899999999999999" customHeight="1">
      <c r="AA12138"/>
    </row>
    <row r="12139" spans="27:27" ht="17.899999999999999" customHeight="1">
      <c r="AA12139"/>
    </row>
    <row r="12140" spans="27:27" ht="17.899999999999999" customHeight="1">
      <c r="AA12140"/>
    </row>
    <row r="12141" spans="27:27" ht="17.899999999999999" customHeight="1">
      <c r="AA12141"/>
    </row>
    <row r="12142" spans="27:27" ht="17.899999999999999" customHeight="1">
      <c r="AA12142"/>
    </row>
    <row r="12143" spans="27:27" ht="17.899999999999999" customHeight="1">
      <c r="AA12143"/>
    </row>
    <row r="12144" spans="27:27" ht="17.899999999999999" customHeight="1">
      <c r="AA12144"/>
    </row>
    <row r="12145" spans="27:27" ht="17.899999999999999" customHeight="1">
      <c r="AA12145"/>
    </row>
    <row r="12146" spans="27:27" ht="17.899999999999999" customHeight="1">
      <c r="AA12146"/>
    </row>
    <row r="12147" spans="27:27" ht="17.899999999999999" customHeight="1">
      <c r="AA12147"/>
    </row>
    <row r="12148" spans="27:27" ht="17.899999999999999" customHeight="1">
      <c r="AA12148"/>
    </row>
    <row r="12149" spans="27:27" ht="17.899999999999999" customHeight="1">
      <c r="AA12149"/>
    </row>
    <row r="12150" spans="27:27" ht="17.899999999999999" customHeight="1">
      <c r="AA12150"/>
    </row>
    <row r="12151" spans="27:27" ht="17.899999999999999" customHeight="1">
      <c r="AA12151"/>
    </row>
    <row r="12152" spans="27:27" ht="17.899999999999999" customHeight="1">
      <c r="AA12152"/>
    </row>
    <row r="12153" spans="27:27" ht="17.899999999999999" customHeight="1">
      <c r="AA12153"/>
    </row>
    <row r="12154" spans="27:27" ht="17.899999999999999" customHeight="1">
      <c r="AA12154"/>
    </row>
    <row r="12155" spans="27:27" ht="17.899999999999999" customHeight="1">
      <c r="AA12155"/>
    </row>
    <row r="12156" spans="27:27" ht="17.899999999999999" customHeight="1">
      <c r="AA12156"/>
    </row>
    <row r="12157" spans="27:27" ht="17.899999999999999" customHeight="1">
      <c r="AA12157"/>
    </row>
    <row r="12158" spans="27:27" ht="17.899999999999999" customHeight="1">
      <c r="AA12158"/>
    </row>
    <row r="12159" spans="27:27" ht="17.899999999999999" customHeight="1">
      <c r="AA12159"/>
    </row>
    <row r="12160" spans="27:27" ht="17.899999999999999" customHeight="1">
      <c r="AA12160"/>
    </row>
    <row r="12161" spans="27:27" ht="17.899999999999999" customHeight="1">
      <c r="AA12161"/>
    </row>
    <row r="12162" spans="27:27" ht="17.899999999999999" customHeight="1">
      <c r="AA12162"/>
    </row>
    <row r="12163" spans="27:27" ht="17.899999999999999" customHeight="1">
      <c r="AA12163"/>
    </row>
    <row r="12164" spans="27:27" ht="17.899999999999999" customHeight="1">
      <c r="AA12164"/>
    </row>
    <row r="12165" spans="27:27" ht="17.899999999999999" customHeight="1">
      <c r="AA12165"/>
    </row>
    <row r="12166" spans="27:27" ht="17.899999999999999" customHeight="1">
      <c r="AA12166"/>
    </row>
    <row r="12167" spans="27:27" ht="17.899999999999999" customHeight="1">
      <c r="AA12167"/>
    </row>
    <row r="12168" spans="27:27" ht="17.899999999999999" customHeight="1">
      <c r="AA12168"/>
    </row>
    <row r="12169" spans="27:27" ht="17.899999999999999" customHeight="1">
      <c r="AA12169"/>
    </row>
    <row r="12170" spans="27:27" ht="17.899999999999999" customHeight="1">
      <c r="AA12170"/>
    </row>
    <row r="12171" spans="27:27" ht="17.899999999999999" customHeight="1">
      <c r="AA12171"/>
    </row>
    <row r="12172" spans="27:27" ht="17.899999999999999" customHeight="1">
      <c r="AA12172"/>
    </row>
    <row r="12173" spans="27:27" ht="17.899999999999999" customHeight="1">
      <c r="AA12173"/>
    </row>
    <row r="12174" spans="27:27" ht="17.899999999999999" customHeight="1">
      <c r="AA12174"/>
    </row>
    <row r="12175" spans="27:27" ht="17.899999999999999" customHeight="1">
      <c r="AA12175"/>
    </row>
    <row r="12176" spans="27:27" ht="17.899999999999999" customHeight="1">
      <c r="AA12176"/>
    </row>
    <row r="12177" spans="27:27" ht="17.899999999999999" customHeight="1">
      <c r="AA12177"/>
    </row>
    <row r="12178" spans="27:27" ht="17.899999999999999" customHeight="1">
      <c r="AA12178"/>
    </row>
    <row r="12179" spans="27:27" ht="17.899999999999999" customHeight="1">
      <c r="AA12179"/>
    </row>
    <row r="12180" spans="27:27" ht="17.899999999999999" customHeight="1">
      <c r="AA12180"/>
    </row>
    <row r="12181" spans="27:27" ht="17.899999999999999" customHeight="1">
      <c r="AA12181"/>
    </row>
    <row r="12182" spans="27:27" ht="17.899999999999999" customHeight="1">
      <c r="AA12182"/>
    </row>
    <row r="12183" spans="27:27" ht="17.899999999999999" customHeight="1">
      <c r="AA12183"/>
    </row>
    <row r="12184" spans="27:27" ht="17.899999999999999" customHeight="1">
      <c r="AA12184"/>
    </row>
    <row r="12185" spans="27:27" ht="17.899999999999999" customHeight="1">
      <c r="AA12185"/>
    </row>
    <row r="12186" spans="27:27" ht="17.899999999999999" customHeight="1">
      <c r="AA12186"/>
    </row>
    <row r="12187" spans="27:27" ht="17.899999999999999" customHeight="1">
      <c r="AA12187"/>
    </row>
    <row r="12188" spans="27:27" ht="17.899999999999999" customHeight="1">
      <c r="AA12188"/>
    </row>
    <row r="12189" spans="27:27" ht="17.899999999999999" customHeight="1">
      <c r="AA12189"/>
    </row>
    <row r="12190" spans="27:27" ht="17.899999999999999" customHeight="1">
      <c r="AA12190"/>
    </row>
    <row r="12191" spans="27:27" ht="17.899999999999999" customHeight="1">
      <c r="AA12191"/>
    </row>
    <row r="12192" spans="27:27" ht="17.899999999999999" customHeight="1">
      <c r="AA12192"/>
    </row>
    <row r="12193" spans="27:27" ht="17.899999999999999" customHeight="1">
      <c r="AA12193"/>
    </row>
    <row r="12194" spans="27:27" ht="17.899999999999999" customHeight="1">
      <c r="AA12194"/>
    </row>
    <row r="12195" spans="27:27" ht="17.899999999999999" customHeight="1">
      <c r="AA12195"/>
    </row>
    <row r="12196" spans="27:27" ht="17.899999999999999" customHeight="1">
      <c r="AA12196"/>
    </row>
    <row r="12197" spans="27:27" ht="17.899999999999999" customHeight="1">
      <c r="AA12197"/>
    </row>
    <row r="12198" spans="27:27" ht="17.899999999999999" customHeight="1">
      <c r="AA12198"/>
    </row>
    <row r="12199" spans="27:27" ht="17.899999999999999" customHeight="1">
      <c r="AA12199"/>
    </row>
    <row r="12200" spans="27:27" ht="17.899999999999999" customHeight="1">
      <c r="AA12200"/>
    </row>
    <row r="12201" spans="27:27" ht="17.899999999999999" customHeight="1">
      <c r="AA12201"/>
    </row>
    <row r="12202" spans="27:27" ht="17.899999999999999" customHeight="1">
      <c r="AA12202"/>
    </row>
    <row r="12203" spans="27:27" ht="17.899999999999999" customHeight="1">
      <c r="AA12203"/>
    </row>
    <row r="12204" spans="27:27" ht="17.899999999999999" customHeight="1">
      <c r="AA12204"/>
    </row>
    <row r="12205" spans="27:27" ht="17.899999999999999" customHeight="1">
      <c r="AA12205"/>
    </row>
    <row r="12206" spans="27:27" ht="17.899999999999999" customHeight="1">
      <c r="AA12206"/>
    </row>
    <row r="12207" spans="27:27" ht="17.899999999999999" customHeight="1">
      <c r="AA12207"/>
    </row>
    <row r="12208" spans="27:27" ht="17.899999999999999" customHeight="1">
      <c r="AA12208"/>
    </row>
    <row r="12209" spans="27:27" ht="17.899999999999999" customHeight="1">
      <c r="AA12209"/>
    </row>
    <row r="12210" spans="27:27" ht="17.899999999999999" customHeight="1">
      <c r="AA12210"/>
    </row>
    <row r="12211" spans="27:27" ht="17.899999999999999" customHeight="1">
      <c r="AA12211"/>
    </row>
    <row r="12212" spans="27:27" ht="17.899999999999999" customHeight="1">
      <c r="AA12212"/>
    </row>
    <row r="12213" spans="27:27" ht="17.899999999999999" customHeight="1">
      <c r="AA12213"/>
    </row>
    <row r="12214" spans="27:27" ht="17.899999999999999" customHeight="1">
      <c r="AA12214"/>
    </row>
    <row r="12215" spans="27:27" ht="17.899999999999999" customHeight="1">
      <c r="AA12215"/>
    </row>
    <row r="12216" spans="27:27" ht="17.899999999999999" customHeight="1">
      <c r="AA12216"/>
    </row>
    <row r="12217" spans="27:27" ht="17.899999999999999" customHeight="1">
      <c r="AA12217"/>
    </row>
    <row r="12218" spans="27:27" ht="17.899999999999999" customHeight="1">
      <c r="AA12218"/>
    </row>
    <row r="12219" spans="27:27" ht="17.899999999999999" customHeight="1">
      <c r="AA12219"/>
    </row>
    <row r="12220" spans="27:27" ht="17.899999999999999" customHeight="1">
      <c r="AA12220"/>
    </row>
    <row r="12221" spans="27:27" ht="17.899999999999999" customHeight="1">
      <c r="AA12221"/>
    </row>
    <row r="12222" spans="27:27" ht="17.899999999999999" customHeight="1">
      <c r="AA12222"/>
    </row>
    <row r="12223" spans="27:27" ht="17.899999999999999" customHeight="1">
      <c r="AA12223"/>
    </row>
    <row r="12224" spans="27:27" ht="17.899999999999999" customHeight="1">
      <c r="AA12224"/>
    </row>
    <row r="12225" spans="27:27" ht="17.899999999999999" customHeight="1">
      <c r="AA12225"/>
    </row>
    <row r="12226" spans="27:27" ht="17.899999999999999" customHeight="1">
      <c r="AA12226"/>
    </row>
    <row r="12227" spans="27:27" ht="17.899999999999999" customHeight="1">
      <c r="AA12227"/>
    </row>
    <row r="12228" spans="27:27" ht="17.899999999999999" customHeight="1">
      <c r="AA12228"/>
    </row>
    <row r="12229" spans="27:27" ht="17.899999999999999" customHeight="1">
      <c r="AA12229"/>
    </row>
    <row r="12230" spans="27:27" ht="17.899999999999999" customHeight="1">
      <c r="AA12230"/>
    </row>
    <row r="12231" spans="27:27" ht="17.899999999999999" customHeight="1">
      <c r="AA12231"/>
    </row>
    <row r="12232" spans="27:27" ht="17.899999999999999" customHeight="1">
      <c r="AA12232"/>
    </row>
    <row r="12233" spans="27:27" ht="17.899999999999999" customHeight="1">
      <c r="AA12233"/>
    </row>
    <row r="12234" spans="27:27" ht="17.899999999999999" customHeight="1">
      <c r="AA12234"/>
    </row>
    <row r="12235" spans="27:27" ht="17.899999999999999" customHeight="1">
      <c r="AA12235"/>
    </row>
    <row r="12236" spans="27:27" ht="17.899999999999999" customHeight="1">
      <c r="AA12236"/>
    </row>
    <row r="12237" spans="27:27" ht="17.899999999999999" customHeight="1">
      <c r="AA12237"/>
    </row>
    <row r="12238" spans="27:27" ht="17.899999999999999" customHeight="1">
      <c r="AA12238"/>
    </row>
    <row r="12239" spans="27:27" ht="17.899999999999999" customHeight="1">
      <c r="AA12239"/>
    </row>
    <row r="12240" spans="27:27" ht="17.899999999999999" customHeight="1">
      <c r="AA12240"/>
    </row>
    <row r="12241" spans="27:27" ht="17.899999999999999" customHeight="1">
      <c r="AA12241"/>
    </row>
    <row r="12242" spans="27:27" ht="17.899999999999999" customHeight="1">
      <c r="AA12242"/>
    </row>
    <row r="12243" spans="27:27" ht="17.899999999999999" customHeight="1">
      <c r="AA12243"/>
    </row>
    <row r="12244" spans="27:27" ht="17.899999999999999" customHeight="1">
      <c r="AA12244"/>
    </row>
    <row r="12245" spans="27:27" ht="17.899999999999999" customHeight="1">
      <c r="AA12245"/>
    </row>
    <row r="12246" spans="27:27" ht="17.899999999999999" customHeight="1">
      <c r="AA12246"/>
    </row>
    <row r="12247" spans="27:27" ht="17.899999999999999" customHeight="1">
      <c r="AA12247"/>
    </row>
    <row r="12248" spans="27:27" ht="17.899999999999999" customHeight="1">
      <c r="AA12248"/>
    </row>
    <row r="12249" spans="27:27" ht="17.899999999999999" customHeight="1">
      <c r="AA12249"/>
    </row>
    <row r="12250" spans="27:27" ht="17.899999999999999" customHeight="1">
      <c r="AA12250"/>
    </row>
    <row r="12251" spans="27:27" ht="17.899999999999999" customHeight="1">
      <c r="AA12251"/>
    </row>
    <row r="12252" spans="27:27" ht="17.899999999999999" customHeight="1">
      <c r="AA12252"/>
    </row>
    <row r="12253" spans="27:27" ht="17.899999999999999" customHeight="1">
      <c r="AA12253"/>
    </row>
    <row r="12254" spans="27:27" ht="17.899999999999999" customHeight="1">
      <c r="AA12254"/>
    </row>
    <row r="12255" spans="27:27" ht="17.899999999999999" customHeight="1">
      <c r="AA12255"/>
    </row>
    <row r="12256" spans="27:27" ht="17.899999999999999" customHeight="1">
      <c r="AA12256"/>
    </row>
    <row r="12257" spans="27:27" ht="17.899999999999999" customHeight="1">
      <c r="AA12257"/>
    </row>
    <row r="12258" spans="27:27" ht="17.899999999999999" customHeight="1">
      <c r="AA12258"/>
    </row>
    <row r="12259" spans="27:27" ht="17.899999999999999" customHeight="1">
      <c r="AA12259"/>
    </row>
    <row r="12260" spans="27:27" ht="17.899999999999999" customHeight="1">
      <c r="AA12260"/>
    </row>
    <row r="12261" spans="27:27" ht="17.899999999999999" customHeight="1">
      <c r="AA12261"/>
    </row>
    <row r="12262" spans="27:27" ht="17.899999999999999" customHeight="1">
      <c r="AA12262"/>
    </row>
    <row r="12263" spans="27:27" ht="17.899999999999999" customHeight="1">
      <c r="AA12263"/>
    </row>
    <row r="12264" spans="27:27" ht="17.899999999999999" customHeight="1">
      <c r="AA12264"/>
    </row>
    <row r="12265" spans="27:27" ht="17.899999999999999" customHeight="1">
      <c r="AA12265"/>
    </row>
    <row r="12266" spans="27:27" ht="17.899999999999999" customHeight="1">
      <c r="AA12266"/>
    </row>
    <row r="12267" spans="27:27" ht="17.899999999999999" customHeight="1">
      <c r="AA12267"/>
    </row>
    <row r="12268" spans="27:27" ht="17.899999999999999" customHeight="1">
      <c r="AA12268"/>
    </row>
    <row r="12269" spans="27:27" ht="17.899999999999999" customHeight="1">
      <c r="AA12269"/>
    </row>
    <row r="12270" spans="27:27" ht="17.899999999999999" customHeight="1">
      <c r="AA12270"/>
    </row>
    <row r="12271" spans="27:27" ht="17.899999999999999" customHeight="1">
      <c r="AA12271"/>
    </row>
    <row r="12272" spans="27:27" ht="17.899999999999999" customHeight="1">
      <c r="AA12272"/>
    </row>
    <row r="12273" spans="27:27" ht="17.899999999999999" customHeight="1">
      <c r="AA12273"/>
    </row>
    <row r="12274" spans="27:27" ht="17.899999999999999" customHeight="1">
      <c r="AA12274"/>
    </row>
    <row r="12275" spans="27:27" ht="17.899999999999999" customHeight="1">
      <c r="AA12275"/>
    </row>
    <row r="12276" spans="27:27" ht="17.899999999999999" customHeight="1">
      <c r="AA12276"/>
    </row>
    <row r="12277" spans="27:27" ht="17.899999999999999" customHeight="1">
      <c r="AA12277"/>
    </row>
    <row r="12278" spans="27:27" ht="17.899999999999999" customHeight="1">
      <c r="AA12278"/>
    </row>
    <row r="12279" spans="27:27" ht="17.899999999999999" customHeight="1">
      <c r="AA12279"/>
    </row>
    <row r="12280" spans="27:27" ht="17.899999999999999" customHeight="1">
      <c r="AA12280"/>
    </row>
    <row r="12281" spans="27:27" ht="17.899999999999999" customHeight="1">
      <c r="AA12281"/>
    </row>
    <row r="12282" spans="27:27" ht="17.899999999999999" customHeight="1">
      <c r="AA12282"/>
    </row>
    <row r="12283" spans="27:27" ht="17.899999999999999" customHeight="1">
      <c r="AA12283"/>
    </row>
    <row r="12284" spans="27:27" ht="17.899999999999999" customHeight="1">
      <c r="AA12284"/>
    </row>
    <row r="12285" spans="27:27" ht="17.899999999999999" customHeight="1">
      <c r="AA12285"/>
    </row>
    <row r="12286" spans="27:27" ht="17.899999999999999" customHeight="1">
      <c r="AA12286"/>
    </row>
    <row r="12287" spans="27:27" ht="17.899999999999999" customHeight="1">
      <c r="AA12287"/>
    </row>
    <row r="12288" spans="27:27" ht="17.899999999999999" customHeight="1">
      <c r="AA12288"/>
    </row>
    <row r="12289" spans="27:27" ht="17.899999999999999" customHeight="1">
      <c r="AA12289"/>
    </row>
    <row r="12290" spans="27:27" ht="17.899999999999999" customHeight="1">
      <c r="AA12290"/>
    </row>
    <row r="12291" spans="27:27" ht="17.899999999999999" customHeight="1">
      <c r="AA12291"/>
    </row>
    <row r="12292" spans="27:27" ht="17.899999999999999" customHeight="1">
      <c r="AA12292"/>
    </row>
    <row r="12293" spans="27:27" ht="17.899999999999999" customHeight="1">
      <c r="AA12293"/>
    </row>
    <row r="12294" spans="27:27" ht="17.899999999999999" customHeight="1">
      <c r="AA12294"/>
    </row>
    <row r="12295" spans="27:27" ht="17.899999999999999" customHeight="1">
      <c r="AA12295"/>
    </row>
    <row r="12296" spans="27:27" ht="17.899999999999999" customHeight="1">
      <c r="AA12296"/>
    </row>
    <row r="12297" spans="27:27" ht="17.899999999999999" customHeight="1">
      <c r="AA12297"/>
    </row>
    <row r="12298" spans="27:27" ht="17.899999999999999" customHeight="1">
      <c r="AA12298"/>
    </row>
    <row r="12299" spans="27:27" ht="17.899999999999999" customHeight="1">
      <c r="AA12299"/>
    </row>
    <row r="12300" spans="27:27" ht="17.899999999999999" customHeight="1">
      <c r="AA12300"/>
    </row>
    <row r="12301" spans="27:27" ht="17.899999999999999" customHeight="1">
      <c r="AA12301"/>
    </row>
    <row r="12302" spans="27:27" ht="17.899999999999999" customHeight="1">
      <c r="AA12302"/>
    </row>
    <row r="12303" spans="27:27" ht="17.899999999999999" customHeight="1">
      <c r="AA12303"/>
    </row>
    <row r="12304" spans="27:27" ht="17.899999999999999" customHeight="1">
      <c r="AA12304"/>
    </row>
    <row r="12305" spans="27:27" ht="17.899999999999999" customHeight="1">
      <c r="AA12305"/>
    </row>
    <row r="12306" spans="27:27" ht="17.899999999999999" customHeight="1">
      <c r="AA12306"/>
    </row>
    <row r="12307" spans="27:27" ht="17.899999999999999" customHeight="1">
      <c r="AA12307"/>
    </row>
    <row r="12308" spans="27:27" ht="17.899999999999999" customHeight="1">
      <c r="AA12308"/>
    </row>
    <row r="12309" spans="27:27" ht="17.899999999999999" customHeight="1">
      <c r="AA12309"/>
    </row>
    <row r="12310" spans="27:27" ht="17.899999999999999" customHeight="1">
      <c r="AA12310"/>
    </row>
    <row r="12311" spans="27:27" ht="17.899999999999999" customHeight="1">
      <c r="AA12311"/>
    </row>
    <row r="12312" spans="27:27" ht="17.899999999999999" customHeight="1">
      <c r="AA12312"/>
    </row>
    <row r="12313" spans="27:27" ht="17.899999999999999" customHeight="1">
      <c r="AA12313"/>
    </row>
    <row r="12314" spans="27:27" ht="17.899999999999999" customHeight="1">
      <c r="AA12314"/>
    </row>
    <row r="12315" spans="27:27" ht="17.899999999999999" customHeight="1">
      <c r="AA12315"/>
    </row>
    <row r="12316" spans="27:27" ht="17.899999999999999" customHeight="1">
      <c r="AA12316"/>
    </row>
    <row r="12317" spans="27:27" ht="17.899999999999999" customHeight="1">
      <c r="AA12317"/>
    </row>
    <row r="12318" spans="27:27" ht="17.899999999999999" customHeight="1">
      <c r="AA12318"/>
    </row>
    <row r="12319" spans="27:27" ht="17.899999999999999" customHeight="1">
      <c r="AA12319"/>
    </row>
    <row r="12320" spans="27:27" ht="17.899999999999999" customHeight="1">
      <c r="AA12320"/>
    </row>
    <row r="12321" spans="27:27" ht="17.899999999999999" customHeight="1">
      <c r="AA12321"/>
    </row>
    <row r="12322" spans="27:27" ht="17.899999999999999" customHeight="1">
      <c r="AA12322"/>
    </row>
    <row r="12323" spans="27:27" ht="17.899999999999999" customHeight="1">
      <c r="AA12323"/>
    </row>
    <row r="12324" spans="27:27" ht="17.899999999999999" customHeight="1">
      <c r="AA12324"/>
    </row>
    <row r="12325" spans="27:27" ht="17.899999999999999" customHeight="1">
      <c r="AA12325"/>
    </row>
    <row r="12326" spans="27:27" ht="17.899999999999999" customHeight="1">
      <c r="AA12326"/>
    </row>
    <row r="12327" spans="27:27" ht="17.899999999999999" customHeight="1">
      <c r="AA12327"/>
    </row>
    <row r="12328" spans="27:27" ht="17.899999999999999" customHeight="1">
      <c r="AA12328"/>
    </row>
    <row r="12329" spans="27:27" ht="17.899999999999999" customHeight="1">
      <c r="AA12329"/>
    </row>
    <row r="12330" spans="27:27" ht="17.899999999999999" customHeight="1">
      <c r="AA12330"/>
    </row>
    <row r="12331" spans="27:27" ht="17.899999999999999" customHeight="1">
      <c r="AA12331"/>
    </row>
    <row r="12332" spans="27:27" ht="17.899999999999999" customHeight="1">
      <c r="AA12332"/>
    </row>
    <row r="12333" spans="27:27" ht="17.899999999999999" customHeight="1">
      <c r="AA12333"/>
    </row>
    <row r="12334" spans="27:27" ht="17.899999999999999" customHeight="1">
      <c r="AA12334"/>
    </row>
    <row r="12335" spans="27:27" ht="17.899999999999999" customHeight="1">
      <c r="AA12335"/>
    </row>
    <row r="12336" spans="27:27" ht="17.899999999999999" customHeight="1">
      <c r="AA12336"/>
    </row>
    <row r="12337" spans="27:27" ht="17.899999999999999" customHeight="1">
      <c r="AA12337"/>
    </row>
    <row r="12338" spans="27:27" ht="17.899999999999999" customHeight="1">
      <c r="AA12338"/>
    </row>
    <row r="12339" spans="27:27" ht="17.899999999999999" customHeight="1">
      <c r="AA12339"/>
    </row>
    <row r="12340" spans="27:27" ht="17.899999999999999" customHeight="1">
      <c r="AA12340"/>
    </row>
    <row r="12341" spans="27:27" ht="17.899999999999999" customHeight="1">
      <c r="AA12341"/>
    </row>
    <row r="12342" spans="27:27" ht="17.899999999999999" customHeight="1">
      <c r="AA12342"/>
    </row>
    <row r="12343" spans="27:27" ht="17.899999999999999" customHeight="1">
      <c r="AA12343"/>
    </row>
    <row r="12344" spans="27:27" ht="17.899999999999999" customHeight="1">
      <c r="AA12344"/>
    </row>
    <row r="12345" spans="27:27" ht="17.899999999999999" customHeight="1">
      <c r="AA12345"/>
    </row>
    <row r="12346" spans="27:27" ht="17.899999999999999" customHeight="1">
      <c r="AA12346"/>
    </row>
    <row r="12347" spans="27:27" ht="17.899999999999999" customHeight="1">
      <c r="AA12347"/>
    </row>
    <row r="12348" spans="27:27" ht="17.899999999999999" customHeight="1">
      <c r="AA12348"/>
    </row>
    <row r="12349" spans="27:27" ht="17.899999999999999" customHeight="1">
      <c r="AA12349"/>
    </row>
    <row r="12350" spans="27:27" ht="17.899999999999999" customHeight="1">
      <c r="AA12350"/>
    </row>
    <row r="12351" spans="27:27" ht="17.899999999999999" customHeight="1">
      <c r="AA12351"/>
    </row>
    <row r="12352" spans="27:27" ht="17.899999999999999" customHeight="1">
      <c r="AA12352"/>
    </row>
    <row r="12353" spans="27:27" ht="17.899999999999999" customHeight="1">
      <c r="AA12353"/>
    </row>
    <row r="12354" spans="27:27" ht="17.899999999999999" customHeight="1">
      <c r="AA12354"/>
    </row>
    <row r="12355" spans="27:27" ht="17.899999999999999" customHeight="1">
      <c r="AA12355"/>
    </row>
    <row r="12356" spans="27:27" ht="17.899999999999999" customHeight="1">
      <c r="AA12356"/>
    </row>
    <row r="12357" spans="27:27" ht="17.899999999999999" customHeight="1">
      <c r="AA12357"/>
    </row>
    <row r="12358" spans="27:27" ht="17.899999999999999" customHeight="1">
      <c r="AA12358"/>
    </row>
    <row r="12359" spans="27:27" ht="17.899999999999999" customHeight="1">
      <c r="AA12359"/>
    </row>
    <row r="12360" spans="27:27" ht="17.899999999999999" customHeight="1">
      <c r="AA12360"/>
    </row>
    <row r="12361" spans="27:27" ht="17.899999999999999" customHeight="1">
      <c r="AA12361"/>
    </row>
    <row r="12362" spans="27:27" ht="17.899999999999999" customHeight="1">
      <c r="AA12362"/>
    </row>
    <row r="12363" spans="27:27" ht="17.899999999999999" customHeight="1">
      <c r="AA12363"/>
    </row>
    <row r="12364" spans="27:27" ht="17.899999999999999" customHeight="1">
      <c r="AA12364"/>
    </row>
    <row r="12365" spans="27:27" ht="17.899999999999999" customHeight="1">
      <c r="AA12365"/>
    </row>
    <row r="12366" spans="27:27" ht="17.899999999999999" customHeight="1">
      <c r="AA12366"/>
    </row>
    <row r="12367" spans="27:27" ht="17.899999999999999" customHeight="1">
      <c r="AA12367"/>
    </row>
    <row r="12368" spans="27:27" ht="17.899999999999999" customHeight="1">
      <c r="AA12368"/>
    </row>
    <row r="12369" spans="27:27" ht="17.899999999999999" customHeight="1">
      <c r="AA12369"/>
    </row>
    <row r="12370" spans="27:27" ht="17.899999999999999" customHeight="1">
      <c r="AA12370"/>
    </row>
    <row r="12371" spans="27:27" ht="17.899999999999999" customHeight="1">
      <c r="AA12371"/>
    </row>
    <row r="12372" spans="27:27" ht="17.899999999999999" customHeight="1">
      <c r="AA12372"/>
    </row>
    <row r="12373" spans="27:27" ht="17.899999999999999" customHeight="1">
      <c r="AA12373"/>
    </row>
    <row r="12374" spans="27:27" ht="17.899999999999999" customHeight="1">
      <c r="AA12374"/>
    </row>
    <row r="12375" spans="27:27" ht="17.899999999999999" customHeight="1">
      <c r="AA12375"/>
    </row>
    <row r="12376" spans="27:27" ht="17.899999999999999" customHeight="1">
      <c r="AA12376"/>
    </row>
    <row r="12377" spans="27:27" ht="17.899999999999999" customHeight="1">
      <c r="AA12377"/>
    </row>
    <row r="12378" spans="27:27" ht="17.899999999999999" customHeight="1">
      <c r="AA12378"/>
    </row>
    <row r="12379" spans="27:27" ht="17.899999999999999" customHeight="1">
      <c r="AA12379"/>
    </row>
    <row r="12380" spans="27:27" ht="17.899999999999999" customHeight="1">
      <c r="AA12380"/>
    </row>
    <row r="12381" spans="27:27" ht="17.899999999999999" customHeight="1">
      <c r="AA12381"/>
    </row>
    <row r="12382" spans="27:27" ht="17.899999999999999" customHeight="1">
      <c r="AA12382"/>
    </row>
    <row r="12383" spans="27:27" ht="17.899999999999999" customHeight="1">
      <c r="AA12383"/>
    </row>
    <row r="12384" spans="27:27" ht="17.899999999999999" customHeight="1">
      <c r="AA12384"/>
    </row>
    <row r="12385" spans="27:27" ht="17.899999999999999" customHeight="1">
      <c r="AA12385"/>
    </row>
    <row r="12386" spans="27:27" ht="17.899999999999999" customHeight="1">
      <c r="AA12386"/>
    </row>
    <row r="12387" spans="27:27" ht="17.899999999999999" customHeight="1">
      <c r="AA12387"/>
    </row>
    <row r="12388" spans="27:27" ht="17.899999999999999" customHeight="1">
      <c r="AA12388"/>
    </row>
    <row r="12389" spans="27:27" ht="17.899999999999999" customHeight="1">
      <c r="AA12389"/>
    </row>
    <row r="12390" spans="27:27" ht="17.899999999999999" customHeight="1">
      <c r="AA12390"/>
    </row>
    <row r="12391" spans="27:27" ht="17.899999999999999" customHeight="1">
      <c r="AA12391"/>
    </row>
    <row r="12392" spans="27:27" ht="17.899999999999999" customHeight="1">
      <c r="AA12392"/>
    </row>
    <row r="12393" spans="27:27" ht="17.899999999999999" customHeight="1">
      <c r="AA12393"/>
    </row>
    <row r="12394" spans="27:27" ht="17.899999999999999" customHeight="1">
      <c r="AA12394"/>
    </row>
    <row r="12395" spans="27:27" ht="17.899999999999999" customHeight="1">
      <c r="AA12395"/>
    </row>
    <row r="12396" spans="27:27" ht="17.899999999999999" customHeight="1">
      <c r="AA12396"/>
    </row>
    <row r="12397" spans="27:27" ht="17.899999999999999" customHeight="1">
      <c r="AA12397"/>
    </row>
    <row r="12398" spans="27:27" ht="17.899999999999999" customHeight="1">
      <c r="AA12398"/>
    </row>
    <row r="12399" spans="27:27" ht="17.899999999999999" customHeight="1">
      <c r="AA12399"/>
    </row>
    <row r="12400" spans="27:27" ht="17.899999999999999" customHeight="1">
      <c r="AA12400"/>
    </row>
    <row r="12401" spans="27:27" ht="17.899999999999999" customHeight="1">
      <c r="AA12401"/>
    </row>
    <row r="12402" spans="27:27" ht="17.899999999999999" customHeight="1">
      <c r="AA12402"/>
    </row>
    <row r="12403" spans="27:27" ht="17.899999999999999" customHeight="1">
      <c r="AA12403"/>
    </row>
    <row r="12404" spans="27:27" ht="17.899999999999999" customHeight="1">
      <c r="AA12404"/>
    </row>
    <row r="12405" spans="27:27" ht="17.899999999999999" customHeight="1">
      <c r="AA12405"/>
    </row>
    <row r="12406" spans="27:27" ht="17.899999999999999" customHeight="1">
      <c r="AA12406"/>
    </row>
    <row r="12407" spans="27:27" ht="17.899999999999999" customHeight="1">
      <c r="AA12407"/>
    </row>
    <row r="12408" spans="27:27" ht="17.899999999999999" customHeight="1">
      <c r="AA12408"/>
    </row>
    <row r="12409" spans="27:27" ht="17.899999999999999" customHeight="1">
      <c r="AA12409"/>
    </row>
    <row r="12410" spans="27:27" ht="17.899999999999999" customHeight="1">
      <c r="AA12410"/>
    </row>
    <row r="12411" spans="27:27" ht="17.899999999999999" customHeight="1">
      <c r="AA12411"/>
    </row>
    <row r="12412" spans="27:27" ht="17.899999999999999" customHeight="1">
      <c r="AA12412"/>
    </row>
    <row r="12413" spans="27:27" ht="17.899999999999999" customHeight="1">
      <c r="AA12413"/>
    </row>
    <row r="12414" spans="27:27" ht="17.899999999999999" customHeight="1">
      <c r="AA12414"/>
    </row>
    <row r="12415" spans="27:27" ht="17.899999999999999" customHeight="1">
      <c r="AA12415"/>
    </row>
    <row r="12416" spans="27:27" ht="17.899999999999999" customHeight="1">
      <c r="AA12416"/>
    </row>
    <row r="12417" spans="27:27" ht="17.899999999999999" customHeight="1">
      <c r="AA12417"/>
    </row>
    <row r="12418" spans="27:27" ht="17.899999999999999" customHeight="1">
      <c r="AA12418"/>
    </row>
    <row r="12419" spans="27:27" ht="17.899999999999999" customHeight="1">
      <c r="AA12419"/>
    </row>
    <row r="12420" spans="27:27" ht="17.899999999999999" customHeight="1">
      <c r="AA12420"/>
    </row>
    <row r="12421" spans="27:27" ht="17.899999999999999" customHeight="1">
      <c r="AA12421"/>
    </row>
    <row r="12422" spans="27:27" ht="17.899999999999999" customHeight="1">
      <c r="AA12422"/>
    </row>
    <row r="12423" spans="27:27" ht="17.899999999999999" customHeight="1">
      <c r="AA12423"/>
    </row>
    <row r="12424" spans="27:27" ht="17.899999999999999" customHeight="1">
      <c r="AA12424"/>
    </row>
    <row r="12425" spans="27:27" ht="17.899999999999999" customHeight="1">
      <c r="AA12425"/>
    </row>
    <row r="12426" spans="27:27" ht="17.899999999999999" customHeight="1">
      <c r="AA12426"/>
    </row>
    <row r="12427" spans="27:27" ht="17.899999999999999" customHeight="1">
      <c r="AA12427"/>
    </row>
    <row r="12428" spans="27:27" ht="17.899999999999999" customHeight="1">
      <c r="AA12428"/>
    </row>
    <row r="12429" spans="27:27" ht="17.899999999999999" customHeight="1">
      <c r="AA12429"/>
    </row>
    <row r="12430" spans="27:27" ht="17.899999999999999" customHeight="1">
      <c r="AA12430"/>
    </row>
    <row r="12431" spans="27:27" ht="17.899999999999999" customHeight="1">
      <c r="AA12431"/>
    </row>
    <row r="12432" spans="27:27" ht="17.899999999999999" customHeight="1">
      <c r="AA12432"/>
    </row>
    <row r="12433" spans="27:27" ht="17.899999999999999" customHeight="1">
      <c r="AA12433"/>
    </row>
    <row r="12434" spans="27:27" ht="17.899999999999999" customHeight="1">
      <c r="AA12434"/>
    </row>
    <row r="12435" spans="27:27" ht="17.899999999999999" customHeight="1">
      <c r="AA12435"/>
    </row>
    <row r="12436" spans="27:27" ht="17.899999999999999" customHeight="1">
      <c r="AA12436"/>
    </row>
    <row r="12437" spans="27:27" ht="17.899999999999999" customHeight="1">
      <c r="AA12437"/>
    </row>
    <row r="12438" spans="27:27" ht="17.899999999999999" customHeight="1">
      <c r="AA12438"/>
    </row>
    <row r="12439" spans="27:27" ht="17.899999999999999" customHeight="1">
      <c r="AA12439"/>
    </row>
    <row r="12440" spans="27:27" ht="17.899999999999999" customHeight="1">
      <c r="AA12440"/>
    </row>
    <row r="12441" spans="27:27" ht="17.899999999999999" customHeight="1">
      <c r="AA12441"/>
    </row>
    <row r="12442" spans="27:27" ht="17.899999999999999" customHeight="1">
      <c r="AA12442"/>
    </row>
    <row r="12443" spans="27:27" ht="17.899999999999999" customHeight="1">
      <c r="AA12443"/>
    </row>
    <row r="12444" spans="27:27" ht="17.899999999999999" customHeight="1">
      <c r="AA12444"/>
    </row>
    <row r="12445" spans="27:27" ht="17.899999999999999" customHeight="1">
      <c r="AA12445"/>
    </row>
    <row r="12446" spans="27:27" ht="17.899999999999999" customHeight="1">
      <c r="AA12446"/>
    </row>
    <row r="12447" spans="27:27" ht="17.899999999999999" customHeight="1">
      <c r="AA12447"/>
    </row>
    <row r="12448" spans="27:27" ht="17.899999999999999" customHeight="1">
      <c r="AA12448"/>
    </row>
    <row r="12449" spans="27:27" ht="17.899999999999999" customHeight="1">
      <c r="AA12449"/>
    </row>
    <row r="12450" spans="27:27" ht="17.899999999999999" customHeight="1">
      <c r="AA12450"/>
    </row>
    <row r="12451" spans="27:27" ht="17.899999999999999" customHeight="1">
      <c r="AA12451"/>
    </row>
    <row r="12452" spans="27:27" ht="17.899999999999999" customHeight="1">
      <c r="AA12452"/>
    </row>
    <row r="12453" spans="27:27" ht="17.899999999999999" customHeight="1">
      <c r="AA12453"/>
    </row>
    <row r="12454" spans="27:27" ht="17.899999999999999" customHeight="1">
      <c r="AA12454"/>
    </row>
    <row r="12455" spans="27:27" ht="17.899999999999999" customHeight="1">
      <c r="AA12455"/>
    </row>
    <row r="12456" spans="27:27" ht="17.899999999999999" customHeight="1">
      <c r="AA12456"/>
    </row>
    <row r="12457" spans="27:27" ht="17.899999999999999" customHeight="1">
      <c r="AA12457"/>
    </row>
    <row r="12458" spans="27:27" ht="17.899999999999999" customHeight="1">
      <c r="AA12458"/>
    </row>
    <row r="12459" spans="27:27" ht="17.899999999999999" customHeight="1">
      <c r="AA12459"/>
    </row>
    <row r="12460" spans="27:27" ht="17.899999999999999" customHeight="1">
      <c r="AA12460"/>
    </row>
    <row r="12461" spans="27:27" ht="17.899999999999999" customHeight="1">
      <c r="AA12461"/>
    </row>
    <row r="12462" spans="27:27" ht="17.899999999999999" customHeight="1">
      <c r="AA12462"/>
    </row>
    <row r="12463" spans="27:27" ht="17.899999999999999" customHeight="1">
      <c r="AA12463"/>
    </row>
    <row r="12464" spans="27:27" ht="17.899999999999999" customHeight="1">
      <c r="AA12464"/>
    </row>
    <row r="12465" spans="27:27" ht="17.899999999999999" customHeight="1">
      <c r="AA12465"/>
    </row>
    <row r="12466" spans="27:27" ht="17.899999999999999" customHeight="1">
      <c r="AA12466"/>
    </row>
    <row r="12467" spans="27:27" ht="17.899999999999999" customHeight="1">
      <c r="AA12467"/>
    </row>
    <row r="12468" spans="27:27" ht="17.899999999999999" customHeight="1">
      <c r="AA12468"/>
    </row>
    <row r="12469" spans="27:27" ht="17.899999999999999" customHeight="1">
      <c r="AA12469"/>
    </row>
    <row r="12470" spans="27:27" ht="17.899999999999999" customHeight="1">
      <c r="AA12470"/>
    </row>
    <row r="12471" spans="27:27" ht="17.899999999999999" customHeight="1">
      <c r="AA12471"/>
    </row>
    <row r="12472" spans="27:27" ht="17.899999999999999" customHeight="1">
      <c r="AA12472"/>
    </row>
    <row r="12473" spans="27:27" ht="17.899999999999999" customHeight="1">
      <c r="AA12473"/>
    </row>
    <row r="12474" spans="27:27" ht="17.899999999999999" customHeight="1">
      <c r="AA12474"/>
    </row>
    <row r="12475" spans="27:27" ht="17.899999999999999" customHeight="1">
      <c r="AA12475"/>
    </row>
    <row r="12476" spans="27:27" ht="17.899999999999999" customHeight="1">
      <c r="AA12476"/>
    </row>
    <row r="12477" spans="27:27" ht="17.899999999999999" customHeight="1">
      <c r="AA12477"/>
    </row>
    <row r="12478" spans="27:27" ht="17.899999999999999" customHeight="1">
      <c r="AA12478"/>
    </row>
    <row r="12479" spans="27:27" ht="17.899999999999999" customHeight="1">
      <c r="AA12479"/>
    </row>
    <row r="12480" spans="27:27" ht="17.899999999999999" customHeight="1">
      <c r="AA12480"/>
    </row>
    <row r="12481" spans="27:27" ht="17.899999999999999" customHeight="1">
      <c r="AA12481"/>
    </row>
    <row r="12482" spans="27:27" ht="17.899999999999999" customHeight="1">
      <c r="AA12482"/>
    </row>
    <row r="12483" spans="27:27" ht="17.899999999999999" customHeight="1">
      <c r="AA12483"/>
    </row>
    <row r="12484" spans="27:27" ht="17.899999999999999" customHeight="1">
      <c r="AA12484"/>
    </row>
    <row r="12485" spans="27:27" ht="17.899999999999999" customHeight="1">
      <c r="AA12485"/>
    </row>
    <row r="12486" spans="27:27" ht="17.899999999999999" customHeight="1">
      <c r="AA12486"/>
    </row>
    <row r="12487" spans="27:27" ht="17.899999999999999" customHeight="1">
      <c r="AA12487"/>
    </row>
    <row r="12488" spans="27:27" ht="17.899999999999999" customHeight="1">
      <c r="AA12488"/>
    </row>
    <row r="12489" spans="27:27" ht="17.899999999999999" customHeight="1">
      <c r="AA12489"/>
    </row>
    <row r="12490" spans="27:27" ht="17.899999999999999" customHeight="1">
      <c r="AA12490"/>
    </row>
    <row r="12491" spans="27:27" ht="17.899999999999999" customHeight="1">
      <c r="AA12491"/>
    </row>
    <row r="12492" spans="27:27" ht="17.899999999999999" customHeight="1">
      <c r="AA12492"/>
    </row>
    <row r="12493" spans="27:27" ht="17.899999999999999" customHeight="1">
      <c r="AA12493"/>
    </row>
    <row r="12494" spans="27:27" ht="17.899999999999999" customHeight="1">
      <c r="AA12494"/>
    </row>
    <row r="12495" spans="27:27" ht="17.899999999999999" customHeight="1">
      <c r="AA12495"/>
    </row>
    <row r="12496" spans="27:27" ht="17.899999999999999" customHeight="1">
      <c r="AA12496"/>
    </row>
    <row r="12497" spans="27:27" ht="17.899999999999999" customHeight="1">
      <c r="AA12497"/>
    </row>
    <row r="12498" spans="27:27" ht="17.899999999999999" customHeight="1">
      <c r="AA12498"/>
    </row>
    <row r="12499" spans="27:27" ht="17.899999999999999" customHeight="1">
      <c r="AA12499"/>
    </row>
    <row r="12500" spans="27:27" ht="17.899999999999999" customHeight="1">
      <c r="AA12500"/>
    </row>
    <row r="12501" spans="27:27" ht="17.899999999999999" customHeight="1">
      <c r="AA12501"/>
    </row>
    <row r="12502" spans="27:27" ht="17.899999999999999" customHeight="1">
      <c r="AA12502"/>
    </row>
    <row r="12503" spans="27:27" ht="17.899999999999999" customHeight="1">
      <c r="AA12503"/>
    </row>
    <row r="12504" spans="27:27" ht="17.899999999999999" customHeight="1">
      <c r="AA12504"/>
    </row>
    <row r="12505" spans="27:27" ht="17.899999999999999" customHeight="1">
      <c r="AA12505"/>
    </row>
    <row r="12506" spans="27:27" ht="17.899999999999999" customHeight="1">
      <c r="AA12506"/>
    </row>
    <row r="12507" spans="27:27" ht="17.899999999999999" customHeight="1">
      <c r="AA12507"/>
    </row>
    <row r="12508" spans="27:27" ht="17.899999999999999" customHeight="1">
      <c r="AA12508"/>
    </row>
    <row r="12509" spans="27:27" ht="17.899999999999999" customHeight="1">
      <c r="AA12509"/>
    </row>
    <row r="12510" spans="27:27" ht="17.899999999999999" customHeight="1">
      <c r="AA12510"/>
    </row>
    <row r="12511" spans="27:27" ht="17.899999999999999" customHeight="1">
      <c r="AA12511"/>
    </row>
    <row r="12512" spans="27:27" ht="17.899999999999999" customHeight="1">
      <c r="AA12512"/>
    </row>
    <row r="12513" spans="27:27" ht="17.899999999999999" customHeight="1">
      <c r="AA12513"/>
    </row>
    <row r="12514" spans="27:27" ht="17.899999999999999" customHeight="1">
      <c r="AA12514"/>
    </row>
    <row r="12515" spans="27:27" ht="17.899999999999999" customHeight="1">
      <c r="AA12515"/>
    </row>
    <row r="12516" spans="27:27" ht="17.899999999999999" customHeight="1">
      <c r="AA12516"/>
    </row>
    <row r="12517" spans="27:27" ht="17.899999999999999" customHeight="1">
      <c r="AA12517"/>
    </row>
    <row r="12518" spans="27:27" ht="17.899999999999999" customHeight="1">
      <c r="AA12518"/>
    </row>
    <row r="12519" spans="27:27" ht="17.899999999999999" customHeight="1">
      <c r="AA12519"/>
    </row>
    <row r="12520" spans="27:27" ht="17.899999999999999" customHeight="1">
      <c r="AA12520"/>
    </row>
    <row r="12521" spans="27:27" ht="17.899999999999999" customHeight="1">
      <c r="AA12521"/>
    </row>
    <row r="12522" spans="27:27" ht="17.899999999999999" customHeight="1">
      <c r="AA12522"/>
    </row>
    <row r="12523" spans="27:27" ht="17.899999999999999" customHeight="1">
      <c r="AA12523"/>
    </row>
    <row r="12524" spans="27:27" ht="17.899999999999999" customHeight="1">
      <c r="AA12524"/>
    </row>
    <row r="12525" spans="27:27" ht="17.899999999999999" customHeight="1">
      <c r="AA12525"/>
    </row>
    <row r="12526" spans="27:27" ht="17.899999999999999" customHeight="1">
      <c r="AA12526"/>
    </row>
    <row r="12527" spans="27:27" ht="17.899999999999999" customHeight="1">
      <c r="AA12527"/>
    </row>
    <row r="12528" spans="27:27" ht="17.899999999999999" customHeight="1">
      <c r="AA12528"/>
    </row>
    <row r="12529" spans="27:27" ht="17.899999999999999" customHeight="1">
      <c r="AA12529"/>
    </row>
    <row r="12530" spans="27:27" ht="17.899999999999999" customHeight="1">
      <c r="AA12530"/>
    </row>
    <row r="12531" spans="27:27" ht="17.899999999999999" customHeight="1">
      <c r="AA12531"/>
    </row>
    <row r="12532" spans="27:27" ht="17.899999999999999" customHeight="1">
      <c r="AA12532"/>
    </row>
    <row r="12533" spans="27:27" ht="17.899999999999999" customHeight="1">
      <c r="AA12533"/>
    </row>
    <row r="12534" spans="27:27" ht="17.899999999999999" customHeight="1">
      <c r="AA12534"/>
    </row>
    <row r="12535" spans="27:27" ht="17.899999999999999" customHeight="1">
      <c r="AA12535"/>
    </row>
    <row r="12536" spans="27:27" ht="17.899999999999999" customHeight="1">
      <c r="AA12536"/>
    </row>
    <row r="12537" spans="27:27" ht="17.899999999999999" customHeight="1">
      <c r="AA12537"/>
    </row>
    <row r="12538" spans="27:27" ht="17.899999999999999" customHeight="1">
      <c r="AA12538"/>
    </row>
    <row r="12539" spans="27:27" ht="17.899999999999999" customHeight="1">
      <c r="AA12539"/>
    </row>
    <row r="12540" spans="27:27" ht="17.899999999999999" customHeight="1">
      <c r="AA12540"/>
    </row>
    <row r="12541" spans="27:27" ht="17.899999999999999" customHeight="1">
      <c r="AA12541"/>
    </row>
    <row r="12542" spans="27:27" ht="17.899999999999999" customHeight="1">
      <c r="AA12542"/>
    </row>
    <row r="12543" spans="27:27" ht="17.899999999999999" customHeight="1">
      <c r="AA12543"/>
    </row>
    <row r="12544" spans="27:27" ht="17.899999999999999" customHeight="1">
      <c r="AA12544"/>
    </row>
    <row r="12545" spans="27:27" ht="17.899999999999999" customHeight="1">
      <c r="AA12545"/>
    </row>
    <row r="12546" spans="27:27" ht="17.899999999999999" customHeight="1">
      <c r="AA12546"/>
    </row>
    <row r="12547" spans="27:27" ht="17.899999999999999" customHeight="1">
      <c r="AA12547"/>
    </row>
    <row r="12548" spans="27:27" ht="17.899999999999999" customHeight="1">
      <c r="AA12548"/>
    </row>
    <row r="12549" spans="27:27" ht="17.899999999999999" customHeight="1">
      <c r="AA12549"/>
    </row>
    <row r="12550" spans="27:27" ht="17.899999999999999" customHeight="1">
      <c r="AA12550"/>
    </row>
    <row r="12551" spans="27:27" ht="17.899999999999999" customHeight="1">
      <c r="AA12551"/>
    </row>
    <row r="12552" spans="27:27" ht="17.899999999999999" customHeight="1">
      <c r="AA12552"/>
    </row>
    <row r="12553" spans="27:27" ht="17.899999999999999" customHeight="1">
      <c r="AA12553"/>
    </row>
    <row r="12554" spans="27:27" ht="17.899999999999999" customHeight="1">
      <c r="AA12554"/>
    </row>
    <row r="12555" spans="27:27" ht="17.899999999999999" customHeight="1">
      <c r="AA12555"/>
    </row>
    <row r="12556" spans="27:27" ht="17.899999999999999" customHeight="1">
      <c r="AA12556"/>
    </row>
    <row r="12557" spans="27:27" ht="17.899999999999999" customHeight="1">
      <c r="AA12557"/>
    </row>
    <row r="12558" spans="27:27" ht="17.899999999999999" customHeight="1">
      <c r="AA12558"/>
    </row>
    <row r="12559" spans="27:27" ht="17.899999999999999" customHeight="1">
      <c r="AA12559"/>
    </row>
    <row r="12560" spans="27:27" ht="17.899999999999999" customHeight="1">
      <c r="AA12560"/>
    </row>
    <row r="12561" spans="27:27" ht="17.899999999999999" customHeight="1">
      <c r="AA12561"/>
    </row>
    <row r="12562" spans="27:27" ht="17.899999999999999" customHeight="1">
      <c r="AA12562"/>
    </row>
    <row r="12563" spans="27:27" ht="17.899999999999999" customHeight="1">
      <c r="AA12563"/>
    </row>
    <row r="12564" spans="27:27" ht="17.899999999999999" customHeight="1">
      <c r="AA12564"/>
    </row>
    <row r="12565" spans="27:27" ht="17.899999999999999" customHeight="1">
      <c r="AA12565"/>
    </row>
    <row r="12566" spans="27:27" ht="17.899999999999999" customHeight="1">
      <c r="AA12566"/>
    </row>
    <row r="12567" spans="27:27" ht="17.899999999999999" customHeight="1">
      <c r="AA12567"/>
    </row>
    <row r="12568" spans="27:27" ht="17.899999999999999" customHeight="1">
      <c r="AA12568"/>
    </row>
    <row r="12569" spans="27:27" ht="17.899999999999999" customHeight="1">
      <c r="AA12569"/>
    </row>
    <row r="12570" spans="27:27" ht="17.899999999999999" customHeight="1">
      <c r="AA12570"/>
    </row>
    <row r="12571" spans="27:27" ht="17.899999999999999" customHeight="1">
      <c r="AA12571"/>
    </row>
    <row r="12572" spans="27:27" ht="17.899999999999999" customHeight="1">
      <c r="AA12572"/>
    </row>
    <row r="12573" spans="27:27" ht="17.899999999999999" customHeight="1">
      <c r="AA12573"/>
    </row>
    <row r="12574" spans="27:27" ht="17.899999999999999" customHeight="1">
      <c r="AA12574"/>
    </row>
    <row r="12575" spans="27:27" ht="17.899999999999999" customHeight="1">
      <c r="AA12575"/>
    </row>
    <row r="12576" spans="27:27" ht="17.899999999999999" customHeight="1">
      <c r="AA12576"/>
    </row>
    <row r="12577" spans="27:27" ht="17.899999999999999" customHeight="1">
      <c r="AA12577"/>
    </row>
    <row r="12578" spans="27:27" ht="17.899999999999999" customHeight="1">
      <c r="AA12578"/>
    </row>
    <row r="12579" spans="27:27" ht="17.899999999999999" customHeight="1">
      <c r="AA12579"/>
    </row>
    <row r="12580" spans="27:27" ht="17.899999999999999" customHeight="1">
      <c r="AA12580"/>
    </row>
    <row r="12581" spans="27:27" ht="17.899999999999999" customHeight="1">
      <c r="AA12581"/>
    </row>
    <row r="12582" spans="27:27" ht="17.899999999999999" customHeight="1">
      <c r="AA12582"/>
    </row>
    <row r="12583" spans="27:27" ht="17.899999999999999" customHeight="1">
      <c r="AA12583"/>
    </row>
    <row r="12584" spans="27:27" ht="17.899999999999999" customHeight="1">
      <c r="AA12584"/>
    </row>
    <row r="12585" spans="27:27" ht="17.899999999999999" customHeight="1">
      <c r="AA12585"/>
    </row>
    <row r="12586" spans="27:27" ht="17.899999999999999" customHeight="1">
      <c r="AA12586"/>
    </row>
    <row r="12587" spans="27:27" ht="17.899999999999999" customHeight="1">
      <c r="AA12587"/>
    </row>
    <row r="12588" spans="27:27" ht="17.899999999999999" customHeight="1">
      <c r="AA12588"/>
    </row>
    <row r="12589" spans="27:27" ht="17.899999999999999" customHeight="1">
      <c r="AA12589"/>
    </row>
    <row r="12590" spans="27:27" ht="17.899999999999999" customHeight="1">
      <c r="AA12590"/>
    </row>
    <row r="12591" spans="27:27" ht="17.899999999999999" customHeight="1">
      <c r="AA12591"/>
    </row>
    <row r="12592" spans="27:27" ht="17.899999999999999" customHeight="1">
      <c r="AA12592"/>
    </row>
    <row r="12593" spans="27:27" ht="17.899999999999999" customHeight="1">
      <c r="AA12593"/>
    </row>
    <row r="12594" spans="27:27" ht="17.899999999999999" customHeight="1">
      <c r="AA12594"/>
    </row>
    <row r="12595" spans="27:27" ht="17.899999999999999" customHeight="1">
      <c r="AA12595"/>
    </row>
    <row r="12596" spans="27:27" ht="17.899999999999999" customHeight="1">
      <c r="AA12596"/>
    </row>
    <row r="12597" spans="27:27" ht="17.899999999999999" customHeight="1">
      <c r="AA12597"/>
    </row>
    <row r="12598" spans="27:27" ht="17.899999999999999" customHeight="1">
      <c r="AA12598"/>
    </row>
    <row r="12599" spans="27:27" ht="17.899999999999999" customHeight="1">
      <c r="AA12599"/>
    </row>
    <row r="12600" spans="27:27" ht="17.899999999999999" customHeight="1">
      <c r="AA12600"/>
    </row>
    <row r="12601" spans="27:27" ht="17.899999999999999" customHeight="1">
      <c r="AA12601"/>
    </row>
    <row r="12602" spans="27:27" ht="17.899999999999999" customHeight="1">
      <c r="AA12602"/>
    </row>
    <row r="12603" spans="27:27" ht="17.899999999999999" customHeight="1">
      <c r="AA12603"/>
    </row>
    <row r="12604" spans="27:27" ht="17.899999999999999" customHeight="1">
      <c r="AA12604"/>
    </row>
    <row r="12605" spans="27:27" ht="17.899999999999999" customHeight="1">
      <c r="AA12605"/>
    </row>
    <row r="12606" spans="27:27" ht="17.899999999999999" customHeight="1">
      <c r="AA12606"/>
    </row>
    <row r="12607" spans="27:27" ht="17.899999999999999" customHeight="1">
      <c r="AA12607"/>
    </row>
    <row r="12608" spans="27:27" ht="17.899999999999999" customHeight="1">
      <c r="AA12608"/>
    </row>
    <row r="12609" spans="27:27" ht="17.899999999999999" customHeight="1">
      <c r="AA12609"/>
    </row>
    <row r="12610" spans="27:27" ht="17.899999999999999" customHeight="1">
      <c r="AA12610"/>
    </row>
    <row r="12611" spans="27:27" ht="17.899999999999999" customHeight="1">
      <c r="AA12611"/>
    </row>
    <row r="12612" spans="27:27" ht="17.899999999999999" customHeight="1">
      <c r="AA12612"/>
    </row>
    <row r="12613" spans="27:27" ht="17.899999999999999" customHeight="1">
      <c r="AA12613"/>
    </row>
    <row r="12614" spans="27:27" ht="17.899999999999999" customHeight="1">
      <c r="AA12614"/>
    </row>
    <row r="12615" spans="27:27" ht="17.899999999999999" customHeight="1">
      <c r="AA12615"/>
    </row>
    <row r="12616" spans="27:27" ht="17.899999999999999" customHeight="1">
      <c r="AA12616"/>
    </row>
    <row r="12617" spans="27:27" ht="17.899999999999999" customHeight="1">
      <c r="AA12617"/>
    </row>
    <row r="12618" spans="27:27" ht="17.899999999999999" customHeight="1">
      <c r="AA12618"/>
    </row>
    <row r="12619" spans="27:27" ht="17.899999999999999" customHeight="1">
      <c r="AA12619"/>
    </row>
    <row r="12620" spans="27:27" ht="17.899999999999999" customHeight="1">
      <c r="AA12620"/>
    </row>
    <row r="12621" spans="27:27" ht="17.899999999999999" customHeight="1">
      <c r="AA12621"/>
    </row>
    <row r="12622" spans="27:27" ht="17.899999999999999" customHeight="1">
      <c r="AA12622"/>
    </row>
    <row r="12623" spans="27:27" ht="17.899999999999999" customHeight="1">
      <c r="AA12623"/>
    </row>
    <row r="12624" spans="27:27" ht="17.899999999999999" customHeight="1">
      <c r="AA12624"/>
    </row>
    <row r="12625" spans="27:27" ht="17.899999999999999" customHeight="1">
      <c r="AA12625"/>
    </row>
    <row r="12626" spans="27:27" ht="17.899999999999999" customHeight="1">
      <c r="AA12626"/>
    </row>
    <row r="12627" spans="27:27" ht="17.899999999999999" customHeight="1">
      <c r="AA12627"/>
    </row>
    <row r="12628" spans="27:27" ht="17.899999999999999" customHeight="1">
      <c r="AA12628"/>
    </row>
    <row r="12629" spans="27:27" ht="17.899999999999999" customHeight="1">
      <c r="AA12629"/>
    </row>
    <row r="12630" spans="27:27" ht="17.899999999999999" customHeight="1">
      <c r="AA12630"/>
    </row>
    <row r="12631" spans="27:27" ht="17.899999999999999" customHeight="1">
      <c r="AA12631"/>
    </row>
    <row r="12632" spans="27:27" ht="17.899999999999999" customHeight="1">
      <c r="AA12632"/>
    </row>
    <row r="12633" spans="27:27" ht="17.899999999999999" customHeight="1">
      <c r="AA12633"/>
    </row>
    <row r="12634" spans="27:27" ht="17.899999999999999" customHeight="1">
      <c r="AA12634"/>
    </row>
    <row r="12635" spans="27:27" ht="17.899999999999999" customHeight="1">
      <c r="AA12635"/>
    </row>
    <row r="12636" spans="27:27" ht="17.899999999999999" customHeight="1">
      <c r="AA12636"/>
    </row>
    <row r="12637" spans="27:27" ht="17.899999999999999" customHeight="1">
      <c r="AA12637"/>
    </row>
    <row r="12638" spans="27:27" ht="17.899999999999999" customHeight="1">
      <c r="AA12638"/>
    </row>
    <row r="12639" spans="27:27" ht="17.899999999999999" customHeight="1">
      <c r="AA12639"/>
    </row>
    <row r="12640" spans="27:27" ht="17.899999999999999" customHeight="1">
      <c r="AA12640"/>
    </row>
    <row r="12641" spans="27:27" ht="17.899999999999999" customHeight="1">
      <c r="AA12641"/>
    </row>
    <row r="12642" spans="27:27" ht="17.899999999999999" customHeight="1">
      <c r="AA12642"/>
    </row>
    <row r="12643" spans="27:27" ht="17.899999999999999" customHeight="1">
      <c r="AA12643"/>
    </row>
    <row r="12644" spans="27:27" ht="17.899999999999999" customHeight="1">
      <c r="AA12644"/>
    </row>
    <row r="12645" spans="27:27" ht="17.899999999999999" customHeight="1">
      <c r="AA12645"/>
    </row>
    <row r="12646" spans="27:27" ht="17.899999999999999" customHeight="1">
      <c r="AA12646"/>
    </row>
    <row r="12647" spans="27:27" ht="17.899999999999999" customHeight="1">
      <c r="AA12647"/>
    </row>
    <row r="12648" spans="27:27" ht="17.899999999999999" customHeight="1">
      <c r="AA12648"/>
    </row>
    <row r="12649" spans="27:27" ht="17.899999999999999" customHeight="1">
      <c r="AA12649"/>
    </row>
    <row r="12650" spans="27:27" ht="17.899999999999999" customHeight="1">
      <c r="AA12650"/>
    </row>
    <row r="12651" spans="27:27" ht="17.899999999999999" customHeight="1">
      <c r="AA12651"/>
    </row>
    <row r="12652" spans="27:27" ht="17.899999999999999" customHeight="1">
      <c r="AA12652"/>
    </row>
    <row r="12653" spans="27:27" ht="17.899999999999999" customHeight="1">
      <c r="AA12653"/>
    </row>
    <row r="12654" spans="27:27" ht="17.899999999999999" customHeight="1">
      <c r="AA12654"/>
    </row>
    <row r="12655" spans="27:27" ht="17.899999999999999" customHeight="1">
      <c r="AA12655"/>
    </row>
    <row r="12656" spans="27:27" ht="17.899999999999999" customHeight="1">
      <c r="AA12656"/>
    </row>
    <row r="12657" spans="27:27" ht="17.899999999999999" customHeight="1">
      <c r="AA12657"/>
    </row>
    <row r="12658" spans="27:27" ht="17.899999999999999" customHeight="1">
      <c r="AA12658"/>
    </row>
    <row r="12659" spans="27:27" ht="17.899999999999999" customHeight="1">
      <c r="AA12659"/>
    </row>
    <row r="12660" spans="27:27" ht="17.899999999999999" customHeight="1">
      <c r="AA12660"/>
    </row>
    <row r="12661" spans="27:27" ht="17.899999999999999" customHeight="1">
      <c r="AA12661"/>
    </row>
    <row r="12662" spans="27:27" ht="17.899999999999999" customHeight="1">
      <c r="AA12662"/>
    </row>
    <row r="12663" spans="27:27" ht="17.899999999999999" customHeight="1">
      <c r="AA12663"/>
    </row>
    <row r="12664" spans="27:27" ht="17.899999999999999" customHeight="1">
      <c r="AA12664"/>
    </row>
    <row r="12665" spans="27:27" ht="17.899999999999999" customHeight="1">
      <c r="AA12665"/>
    </row>
    <row r="12666" spans="27:27" ht="17.899999999999999" customHeight="1">
      <c r="AA12666"/>
    </row>
    <row r="12667" spans="27:27" ht="17.899999999999999" customHeight="1">
      <c r="AA12667"/>
    </row>
    <row r="12668" spans="27:27" ht="17.899999999999999" customHeight="1">
      <c r="AA12668"/>
    </row>
    <row r="12669" spans="27:27" ht="17.899999999999999" customHeight="1">
      <c r="AA12669"/>
    </row>
    <row r="12670" spans="27:27" ht="17.899999999999999" customHeight="1">
      <c r="AA12670"/>
    </row>
    <row r="12671" spans="27:27" ht="17.899999999999999" customHeight="1">
      <c r="AA12671"/>
    </row>
    <row r="12672" spans="27:27" ht="17.899999999999999" customHeight="1">
      <c r="AA12672"/>
    </row>
    <row r="12673" spans="27:27" ht="17.899999999999999" customHeight="1">
      <c r="AA12673"/>
    </row>
    <row r="12674" spans="27:27" ht="17.899999999999999" customHeight="1">
      <c r="AA12674"/>
    </row>
    <row r="12675" spans="27:27" ht="17.899999999999999" customHeight="1">
      <c r="AA12675"/>
    </row>
    <row r="12676" spans="27:27" ht="17.899999999999999" customHeight="1">
      <c r="AA12676"/>
    </row>
    <row r="12677" spans="27:27" ht="17.899999999999999" customHeight="1">
      <c r="AA12677"/>
    </row>
    <row r="12678" spans="27:27" ht="17.899999999999999" customHeight="1">
      <c r="AA12678"/>
    </row>
    <row r="12679" spans="27:27" ht="17.899999999999999" customHeight="1">
      <c r="AA12679"/>
    </row>
    <row r="12680" spans="27:27" ht="17.899999999999999" customHeight="1">
      <c r="AA12680"/>
    </row>
    <row r="12681" spans="27:27" ht="17.899999999999999" customHeight="1">
      <c r="AA12681"/>
    </row>
    <row r="12682" spans="27:27" ht="17.899999999999999" customHeight="1">
      <c r="AA12682"/>
    </row>
    <row r="12683" spans="27:27" ht="17.899999999999999" customHeight="1">
      <c r="AA12683"/>
    </row>
    <row r="12684" spans="27:27" ht="17.899999999999999" customHeight="1">
      <c r="AA12684"/>
    </row>
    <row r="12685" spans="27:27" ht="17.899999999999999" customHeight="1">
      <c r="AA12685"/>
    </row>
    <row r="12686" spans="27:27" ht="17.899999999999999" customHeight="1">
      <c r="AA12686"/>
    </row>
    <row r="12687" spans="27:27" ht="17.899999999999999" customHeight="1">
      <c r="AA12687"/>
    </row>
    <row r="12688" spans="27:27" ht="17.899999999999999" customHeight="1">
      <c r="AA12688"/>
    </row>
    <row r="12689" spans="27:27" ht="17.899999999999999" customHeight="1">
      <c r="AA12689"/>
    </row>
    <row r="12690" spans="27:27" ht="17.899999999999999" customHeight="1">
      <c r="AA12690"/>
    </row>
    <row r="12691" spans="27:27" ht="17.899999999999999" customHeight="1">
      <c r="AA12691"/>
    </row>
    <row r="12692" spans="27:27" ht="17.899999999999999" customHeight="1">
      <c r="AA12692"/>
    </row>
    <row r="12693" spans="27:27" ht="17.899999999999999" customHeight="1">
      <c r="AA12693"/>
    </row>
    <row r="12694" spans="27:27" ht="17.899999999999999" customHeight="1">
      <c r="AA12694"/>
    </row>
    <row r="12695" spans="27:27" ht="17.899999999999999" customHeight="1">
      <c r="AA12695"/>
    </row>
    <row r="12696" spans="27:27" ht="17.899999999999999" customHeight="1">
      <c r="AA12696"/>
    </row>
    <row r="12697" spans="27:27" ht="17.899999999999999" customHeight="1">
      <c r="AA12697"/>
    </row>
    <row r="12698" spans="27:27" ht="17.899999999999999" customHeight="1">
      <c r="AA12698"/>
    </row>
    <row r="12699" spans="27:27" ht="17.899999999999999" customHeight="1">
      <c r="AA12699"/>
    </row>
    <row r="12700" spans="27:27" ht="17.899999999999999" customHeight="1">
      <c r="AA12700"/>
    </row>
    <row r="12701" spans="27:27" ht="17.899999999999999" customHeight="1">
      <c r="AA12701"/>
    </row>
    <row r="12702" spans="27:27" ht="17.899999999999999" customHeight="1">
      <c r="AA12702"/>
    </row>
    <row r="12703" spans="27:27" ht="17.899999999999999" customHeight="1">
      <c r="AA12703"/>
    </row>
    <row r="12704" spans="27:27" ht="17.899999999999999" customHeight="1">
      <c r="AA12704"/>
    </row>
    <row r="12705" spans="27:27" ht="17.899999999999999" customHeight="1">
      <c r="AA12705"/>
    </row>
    <row r="12706" spans="27:27" ht="17.899999999999999" customHeight="1">
      <c r="AA12706"/>
    </row>
    <row r="12707" spans="27:27" ht="17.899999999999999" customHeight="1">
      <c r="AA12707"/>
    </row>
    <row r="12708" spans="27:27" ht="17.899999999999999" customHeight="1">
      <c r="AA12708"/>
    </row>
    <row r="12709" spans="27:27" ht="17.899999999999999" customHeight="1">
      <c r="AA12709"/>
    </row>
    <row r="12710" spans="27:27" ht="17.899999999999999" customHeight="1">
      <c r="AA12710"/>
    </row>
    <row r="12711" spans="27:27" ht="17.899999999999999" customHeight="1">
      <c r="AA12711"/>
    </row>
    <row r="12712" spans="27:27" ht="17.899999999999999" customHeight="1">
      <c r="AA12712"/>
    </row>
    <row r="12713" spans="27:27" ht="17.899999999999999" customHeight="1">
      <c r="AA12713"/>
    </row>
    <row r="12714" spans="27:27" ht="17.899999999999999" customHeight="1">
      <c r="AA12714"/>
    </row>
    <row r="12715" spans="27:27" ht="17.899999999999999" customHeight="1">
      <c r="AA12715"/>
    </row>
    <row r="12716" spans="27:27" ht="17.899999999999999" customHeight="1">
      <c r="AA12716"/>
    </row>
    <row r="12717" spans="27:27" ht="17.899999999999999" customHeight="1">
      <c r="AA12717"/>
    </row>
    <row r="12718" spans="27:27" ht="17.899999999999999" customHeight="1">
      <c r="AA12718"/>
    </row>
    <row r="12719" spans="27:27" ht="17.899999999999999" customHeight="1">
      <c r="AA12719"/>
    </row>
    <row r="12720" spans="27:27" ht="17.899999999999999" customHeight="1">
      <c r="AA12720"/>
    </row>
    <row r="12721" spans="27:27" ht="17.899999999999999" customHeight="1">
      <c r="AA12721"/>
    </row>
    <row r="12722" spans="27:27" ht="17.899999999999999" customHeight="1">
      <c r="AA12722"/>
    </row>
    <row r="12723" spans="27:27" ht="17.899999999999999" customHeight="1">
      <c r="AA12723"/>
    </row>
    <row r="12724" spans="27:27" ht="17.899999999999999" customHeight="1">
      <c r="AA12724"/>
    </row>
    <row r="12725" spans="27:27" ht="17.899999999999999" customHeight="1">
      <c r="AA12725"/>
    </row>
    <row r="12726" spans="27:27" ht="17.899999999999999" customHeight="1">
      <c r="AA12726"/>
    </row>
    <row r="12727" spans="27:27" ht="17.899999999999999" customHeight="1">
      <c r="AA12727"/>
    </row>
    <row r="12728" spans="27:27" ht="17.899999999999999" customHeight="1">
      <c r="AA12728"/>
    </row>
    <row r="12729" spans="27:27" ht="17.899999999999999" customHeight="1">
      <c r="AA12729"/>
    </row>
    <row r="12730" spans="27:27" ht="17.899999999999999" customHeight="1">
      <c r="AA12730"/>
    </row>
    <row r="12731" spans="27:27" ht="17.899999999999999" customHeight="1">
      <c r="AA12731"/>
    </row>
    <row r="12732" spans="27:27" ht="17.899999999999999" customHeight="1">
      <c r="AA12732"/>
    </row>
    <row r="12733" spans="27:27" ht="17.899999999999999" customHeight="1">
      <c r="AA12733"/>
    </row>
    <row r="12734" spans="27:27" ht="17.899999999999999" customHeight="1">
      <c r="AA12734"/>
    </row>
    <row r="12735" spans="27:27" ht="17.899999999999999" customHeight="1">
      <c r="AA12735"/>
    </row>
    <row r="12736" spans="27:27" ht="17.899999999999999" customHeight="1">
      <c r="AA12736"/>
    </row>
    <row r="12737" spans="27:27" ht="17.899999999999999" customHeight="1">
      <c r="AA12737"/>
    </row>
    <row r="12738" spans="27:27" ht="17.899999999999999" customHeight="1">
      <c r="AA12738"/>
    </row>
    <row r="12739" spans="27:27" ht="17.899999999999999" customHeight="1">
      <c r="AA12739"/>
    </row>
    <row r="12740" spans="27:27" ht="17.899999999999999" customHeight="1">
      <c r="AA12740"/>
    </row>
    <row r="12741" spans="27:27" ht="17.899999999999999" customHeight="1">
      <c r="AA12741"/>
    </row>
    <row r="12742" spans="27:27" ht="17.899999999999999" customHeight="1">
      <c r="AA12742"/>
    </row>
    <row r="12743" spans="27:27" ht="17.899999999999999" customHeight="1">
      <c r="AA12743"/>
    </row>
    <row r="12744" spans="27:27" ht="17.899999999999999" customHeight="1">
      <c r="AA12744"/>
    </row>
    <row r="12745" spans="27:27" ht="17.899999999999999" customHeight="1">
      <c r="AA12745"/>
    </row>
    <row r="12746" spans="27:27" ht="17.899999999999999" customHeight="1">
      <c r="AA12746"/>
    </row>
    <row r="12747" spans="27:27" ht="17.899999999999999" customHeight="1">
      <c r="AA12747"/>
    </row>
    <row r="12748" spans="27:27" ht="17.899999999999999" customHeight="1">
      <c r="AA12748"/>
    </row>
    <row r="12749" spans="27:27" ht="17.899999999999999" customHeight="1">
      <c r="AA12749"/>
    </row>
    <row r="12750" spans="27:27" ht="17.899999999999999" customHeight="1">
      <c r="AA12750"/>
    </row>
    <row r="12751" spans="27:27" ht="17.899999999999999" customHeight="1">
      <c r="AA12751"/>
    </row>
    <row r="12752" spans="27:27" ht="17.899999999999999" customHeight="1">
      <c r="AA12752"/>
    </row>
    <row r="12753" spans="27:27" ht="17.899999999999999" customHeight="1">
      <c r="AA12753"/>
    </row>
    <row r="12754" spans="27:27" ht="17.899999999999999" customHeight="1">
      <c r="AA12754"/>
    </row>
    <row r="12755" spans="27:27" ht="17.899999999999999" customHeight="1">
      <c r="AA12755"/>
    </row>
    <row r="12756" spans="27:27" ht="17.899999999999999" customHeight="1">
      <c r="AA12756"/>
    </row>
    <row r="12757" spans="27:27" ht="17.899999999999999" customHeight="1">
      <c r="AA12757"/>
    </row>
    <row r="12758" spans="27:27" ht="17.899999999999999" customHeight="1">
      <c r="AA12758"/>
    </row>
    <row r="12759" spans="27:27" ht="17.899999999999999" customHeight="1">
      <c r="AA12759"/>
    </row>
    <row r="12760" spans="27:27" ht="17.899999999999999" customHeight="1">
      <c r="AA12760"/>
    </row>
    <row r="12761" spans="27:27" ht="17.899999999999999" customHeight="1">
      <c r="AA12761"/>
    </row>
    <row r="12762" spans="27:27" ht="17.899999999999999" customHeight="1">
      <c r="AA12762"/>
    </row>
    <row r="12763" spans="27:27" ht="17.899999999999999" customHeight="1">
      <c r="AA12763"/>
    </row>
    <row r="12764" spans="27:27" ht="17.899999999999999" customHeight="1">
      <c r="AA12764"/>
    </row>
    <row r="12765" spans="27:27" ht="17.899999999999999" customHeight="1">
      <c r="AA12765"/>
    </row>
    <row r="12766" spans="27:27" ht="17.899999999999999" customHeight="1">
      <c r="AA12766"/>
    </row>
    <row r="12767" spans="27:27" ht="17.899999999999999" customHeight="1">
      <c r="AA12767"/>
    </row>
    <row r="12768" spans="27:27" ht="17.899999999999999" customHeight="1">
      <c r="AA12768"/>
    </row>
    <row r="12769" spans="27:27" ht="17.899999999999999" customHeight="1">
      <c r="AA12769"/>
    </row>
    <row r="12770" spans="27:27" ht="17.899999999999999" customHeight="1">
      <c r="AA12770"/>
    </row>
    <row r="12771" spans="27:27" ht="17.899999999999999" customHeight="1">
      <c r="AA12771"/>
    </row>
    <row r="12772" spans="27:27" ht="17.899999999999999" customHeight="1">
      <c r="AA12772"/>
    </row>
    <row r="12773" spans="27:27" ht="17.899999999999999" customHeight="1">
      <c r="AA12773"/>
    </row>
    <row r="12774" spans="27:27" ht="17.899999999999999" customHeight="1">
      <c r="AA12774"/>
    </row>
    <row r="12775" spans="27:27" ht="17.899999999999999" customHeight="1">
      <c r="AA12775"/>
    </row>
    <row r="12776" spans="27:27" ht="17.899999999999999" customHeight="1">
      <c r="AA12776"/>
    </row>
    <row r="12777" spans="27:27" ht="17.899999999999999" customHeight="1">
      <c r="AA12777"/>
    </row>
    <row r="12778" spans="27:27" ht="17.899999999999999" customHeight="1">
      <c r="AA12778"/>
    </row>
    <row r="12779" spans="27:27" ht="17.899999999999999" customHeight="1">
      <c r="AA12779"/>
    </row>
    <row r="12780" spans="27:27" ht="17.899999999999999" customHeight="1">
      <c r="AA12780"/>
    </row>
    <row r="12781" spans="27:27" ht="17.899999999999999" customHeight="1">
      <c r="AA12781"/>
    </row>
    <row r="12782" spans="27:27" ht="17.899999999999999" customHeight="1">
      <c r="AA12782"/>
    </row>
    <row r="12783" spans="27:27" ht="17.899999999999999" customHeight="1">
      <c r="AA12783"/>
    </row>
    <row r="12784" spans="27:27" ht="17.899999999999999" customHeight="1">
      <c r="AA12784"/>
    </row>
    <row r="12785" spans="27:27" ht="17.899999999999999" customHeight="1">
      <c r="AA12785"/>
    </row>
    <row r="12786" spans="27:27" ht="17.899999999999999" customHeight="1">
      <c r="AA12786"/>
    </row>
    <row r="12787" spans="27:27" ht="17.899999999999999" customHeight="1">
      <c r="AA12787"/>
    </row>
    <row r="12788" spans="27:27" ht="17.899999999999999" customHeight="1">
      <c r="AA12788"/>
    </row>
    <row r="12789" spans="27:27" ht="17.899999999999999" customHeight="1">
      <c r="AA12789"/>
    </row>
    <row r="12790" spans="27:27" ht="17.899999999999999" customHeight="1">
      <c r="AA12790"/>
    </row>
    <row r="12791" spans="27:27" ht="17.899999999999999" customHeight="1">
      <c r="AA12791"/>
    </row>
    <row r="12792" spans="27:27" ht="17.899999999999999" customHeight="1">
      <c r="AA12792"/>
    </row>
    <row r="12793" spans="27:27" ht="17.899999999999999" customHeight="1">
      <c r="AA12793"/>
    </row>
    <row r="12794" spans="27:27" ht="17.899999999999999" customHeight="1">
      <c r="AA12794"/>
    </row>
    <row r="12795" spans="27:27" ht="17.899999999999999" customHeight="1">
      <c r="AA12795"/>
    </row>
    <row r="12796" spans="27:27" ht="17.899999999999999" customHeight="1">
      <c r="AA12796"/>
    </row>
    <row r="12797" spans="27:27" ht="17.899999999999999" customHeight="1">
      <c r="AA12797"/>
    </row>
    <row r="12798" spans="27:27" ht="17.899999999999999" customHeight="1">
      <c r="AA12798"/>
    </row>
    <row r="12799" spans="27:27" ht="17.899999999999999" customHeight="1">
      <c r="AA12799"/>
    </row>
    <row r="12800" spans="27:27" ht="17.899999999999999" customHeight="1">
      <c r="AA12800"/>
    </row>
    <row r="12801" spans="27:27" ht="17.899999999999999" customHeight="1">
      <c r="AA12801"/>
    </row>
    <row r="12802" spans="27:27" ht="17.899999999999999" customHeight="1">
      <c r="AA12802"/>
    </row>
    <row r="12803" spans="27:27" ht="17.899999999999999" customHeight="1">
      <c r="AA12803"/>
    </row>
    <row r="12804" spans="27:27" ht="17.899999999999999" customHeight="1">
      <c r="AA12804"/>
    </row>
    <row r="12805" spans="27:27" ht="17.899999999999999" customHeight="1">
      <c r="AA12805"/>
    </row>
    <row r="12806" spans="27:27" ht="17.899999999999999" customHeight="1">
      <c r="AA12806"/>
    </row>
    <row r="12807" spans="27:27" ht="17.899999999999999" customHeight="1">
      <c r="AA12807"/>
    </row>
    <row r="12808" spans="27:27" ht="17.899999999999999" customHeight="1">
      <c r="AA12808"/>
    </row>
    <row r="12809" spans="27:27" ht="17.899999999999999" customHeight="1">
      <c r="AA12809"/>
    </row>
    <row r="12810" spans="27:27" ht="17.899999999999999" customHeight="1">
      <c r="AA12810"/>
    </row>
    <row r="12811" spans="27:27" ht="17.899999999999999" customHeight="1">
      <c r="AA12811"/>
    </row>
    <row r="12812" spans="27:27" ht="17.899999999999999" customHeight="1">
      <c r="AA12812"/>
    </row>
    <row r="12813" spans="27:27" ht="17.899999999999999" customHeight="1">
      <c r="AA12813"/>
    </row>
    <row r="12814" spans="27:27" ht="17.899999999999999" customHeight="1">
      <c r="AA12814"/>
    </row>
    <row r="12815" spans="27:27" ht="17.899999999999999" customHeight="1">
      <c r="AA12815"/>
    </row>
    <row r="12816" spans="27:27" ht="17.899999999999999" customHeight="1">
      <c r="AA12816"/>
    </row>
    <row r="12817" spans="27:27" ht="17.899999999999999" customHeight="1">
      <c r="AA12817"/>
    </row>
    <row r="12818" spans="27:27" ht="17.899999999999999" customHeight="1">
      <c r="AA12818"/>
    </row>
    <row r="12819" spans="27:27" ht="17.899999999999999" customHeight="1">
      <c r="AA12819"/>
    </row>
    <row r="12820" spans="27:27" ht="17.899999999999999" customHeight="1">
      <c r="AA12820"/>
    </row>
    <row r="12821" spans="27:27" ht="17.899999999999999" customHeight="1">
      <c r="AA12821"/>
    </row>
    <row r="12822" spans="27:27" ht="17.899999999999999" customHeight="1">
      <c r="AA12822"/>
    </row>
    <row r="12823" spans="27:27" ht="17.899999999999999" customHeight="1">
      <c r="AA12823"/>
    </row>
    <row r="12824" spans="27:27" ht="17.899999999999999" customHeight="1">
      <c r="AA12824"/>
    </row>
    <row r="12825" spans="27:27" ht="17.899999999999999" customHeight="1">
      <c r="AA12825"/>
    </row>
    <row r="12826" spans="27:27" ht="17.899999999999999" customHeight="1">
      <c r="AA12826"/>
    </row>
    <row r="12827" spans="27:27" ht="17.899999999999999" customHeight="1">
      <c r="AA12827"/>
    </row>
    <row r="12828" spans="27:27" ht="17.899999999999999" customHeight="1">
      <c r="AA12828"/>
    </row>
    <row r="12829" spans="27:27" ht="17.899999999999999" customHeight="1">
      <c r="AA12829"/>
    </row>
    <row r="12830" spans="27:27" ht="17.899999999999999" customHeight="1">
      <c r="AA12830"/>
    </row>
    <row r="12831" spans="27:27" ht="17.899999999999999" customHeight="1">
      <c r="AA12831"/>
    </row>
    <row r="12832" spans="27:27" ht="17.899999999999999" customHeight="1">
      <c r="AA12832"/>
    </row>
    <row r="12833" spans="27:27" ht="17.899999999999999" customHeight="1">
      <c r="AA12833"/>
    </row>
    <row r="12834" spans="27:27" ht="17.899999999999999" customHeight="1">
      <c r="AA12834"/>
    </row>
    <row r="12835" spans="27:27" ht="17.899999999999999" customHeight="1">
      <c r="AA12835"/>
    </row>
    <row r="12836" spans="27:27" ht="17.899999999999999" customHeight="1">
      <c r="AA12836"/>
    </row>
    <row r="12837" spans="27:27" ht="17.899999999999999" customHeight="1">
      <c r="AA12837"/>
    </row>
    <row r="12838" spans="27:27" ht="17.899999999999999" customHeight="1">
      <c r="AA12838"/>
    </row>
    <row r="12839" spans="27:27" ht="17.899999999999999" customHeight="1">
      <c r="AA12839"/>
    </row>
    <row r="12840" spans="27:27" ht="17.899999999999999" customHeight="1">
      <c r="AA12840"/>
    </row>
    <row r="12841" spans="27:27" ht="17.899999999999999" customHeight="1">
      <c r="AA12841"/>
    </row>
    <row r="12842" spans="27:27" ht="17.899999999999999" customHeight="1">
      <c r="AA12842"/>
    </row>
    <row r="12843" spans="27:27" ht="17.899999999999999" customHeight="1">
      <c r="AA12843"/>
    </row>
    <row r="12844" spans="27:27" ht="17.899999999999999" customHeight="1">
      <c r="AA12844"/>
    </row>
    <row r="12845" spans="27:27" ht="17.899999999999999" customHeight="1">
      <c r="AA12845"/>
    </row>
    <row r="12846" spans="27:27" ht="17.899999999999999" customHeight="1">
      <c r="AA12846"/>
    </row>
    <row r="12847" spans="27:27" ht="17.899999999999999" customHeight="1">
      <c r="AA12847"/>
    </row>
    <row r="12848" spans="27:27" ht="17.899999999999999" customHeight="1">
      <c r="AA12848"/>
    </row>
    <row r="12849" spans="27:27" ht="17.899999999999999" customHeight="1">
      <c r="AA12849"/>
    </row>
    <row r="12850" spans="27:27" ht="17.899999999999999" customHeight="1">
      <c r="AA12850"/>
    </row>
    <row r="12851" spans="27:27" ht="17.899999999999999" customHeight="1">
      <c r="AA12851"/>
    </row>
    <row r="12852" spans="27:27" ht="17.899999999999999" customHeight="1">
      <c r="AA12852"/>
    </row>
    <row r="12853" spans="27:27" ht="17.899999999999999" customHeight="1">
      <c r="AA12853"/>
    </row>
    <row r="12854" spans="27:27" ht="17.899999999999999" customHeight="1">
      <c r="AA12854"/>
    </row>
    <row r="12855" spans="27:27" ht="17.899999999999999" customHeight="1">
      <c r="AA12855"/>
    </row>
    <row r="12856" spans="27:27" ht="17.899999999999999" customHeight="1">
      <c r="AA12856"/>
    </row>
    <row r="12857" spans="27:27" ht="17.899999999999999" customHeight="1">
      <c r="AA12857"/>
    </row>
    <row r="12858" spans="27:27" ht="17.899999999999999" customHeight="1">
      <c r="AA12858"/>
    </row>
    <row r="12859" spans="27:27" ht="17.899999999999999" customHeight="1">
      <c r="AA12859"/>
    </row>
    <row r="12860" spans="27:27" ht="17.899999999999999" customHeight="1">
      <c r="AA12860"/>
    </row>
    <row r="12861" spans="27:27" ht="17.899999999999999" customHeight="1">
      <c r="AA12861"/>
    </row>
    <row r="12862" spans="27:27" ht="17.899999999999999" customHeight="1">
      <c r="AA12862"/>
    </row>
    <row r="12863" spans="27:27" ht="17.899999999999999" customHeight="1">
      <c r="AA12863"/>
    </row>
    <row r="12864" spans="27:27" ht="17.899999999999999" customHeight="1">
      <c r="AA12864"/>
    </row>
    <row r="12865" spans="27:27" ht="17.899999999999999" customHeight="1">
      <c r="AA12865"/>
    </row>
    <row r="12866" spans="27:27" ht="17.899999999999999" customHeight="1">
      <c r="AA12866"/>
    </row>
    <row r="12867" spans="27:27" ht="17.899999999999999" customHeight="1">
      <c r="AA12867"/>
    </row>
    <row r="12868" spans="27:27" ht="17.899999999999999" customHeight="1">
      <c r="AA12868"/>
    </row>
    <row r="12869" spans="27:27" ht="17.899999999999999" customHeight="1">
      <c r="AA12869"/>
    </row>
    <row r="12870" spans="27:27" ht="17.899999999999999" customHeight="1">
      <c r="AA12870"/>
    </row>
    <row r="12871" spans="27:27" ht="17.899999999999999" customHeight="1">
      <c r="AA12871"/>
    </row>
    <row r="12872" spans="27:27" ht="17.899999999999999" customHeight="1">
      <c r="AA12872"/>
    </row>
    <row r="12873" spans="27:27" ht="17.899999999999999" customHeight="1">
      <c r="AA12873"/>
    </row>
    <row r="12874" spans="27:27" ht="17.899999999999999" customHeight="1">
      <c r="AA12874"/>
    </row>
    <row r="12875" spans="27:27" ht="17.899999999999999" customHeight="1">
      <c r="AA12875"/>
    </row>
    <row r="12876" spans="27:27" ht="17.899999999999999" customHeight="1">
      <c r="AA12876"/>
    </row>
    <row r="12877" spans="27:27" ht="17.899999999999999" customHeight="1">
      <c r="AA12877"/>
    </row>
    <row r="12878" spans="27:27" ht="17.899999999999999" customHeight="1">
      <c r="AA12878"/>
    </row>
    <row r="12879" spans="27:27" ht="17.899999999999999" customHeight="1">
      <c r="AA12879"/>
    </row>
    <row r="12880" spans="27:27" ht="17.899999999999999" customHeight="1">
      <c r="AA12880"/>
    </row>
    <row r="12881" spans="27:27" ht="17.899999999999999" customHeight="1">
      <c r="AA12881"/>
    </row>
    <row r="12882" spans="27:27" ht="17.899999999999999" customHeight="1">
      <c r="AA12882"/>
    </row>
    <row r="12883" spans="27:27" ht="17.899999999999999" customHeight="1">
      <c r="AA12883"/>
    </row>
    <row r="12884" spans="27:27" ht="17.899999999999999" customHeight="1">
      <c r="AA12884"/>
    </row>
    <row r="12885" spans="27:27" ht="17.899999999999999" customHeight="1">
      <c r="AA12885"/>
    </row>
    <row r="12886" spans="27:27" ht="17.899999999999999" customHeight="1">
      <c r="AA12886"/>
    </row>
    <row r="12887" spans="27:27" ht="17.899999999999999" customHeight="1">
      <c r="AA12887"/>
    </row>
    <row r="12888" spans="27:27" ht="17.899999999999999" customHeight="1">
      <c r="AA12888"/>
    </row>
    <row r="12889" spans="27:27" ht="17.899999999999999" customHeight="1">
      <c r="AA12889"/>
    </row>
    <row r="12890" spans="27:27" ht="17.899999999999999" customHeight="1">
      <c r="AA12890"/>
    </row>
    <row r="12891" spans="27:27" ht="17.899999999999999" customHeight="1">
      <c r="AA12891"/>
    </row>
    <row r="12892" spans="27:27" ht="17.899999999999999" customHeight="1">
      <c r="AA12892"/>
    </row>
    <row r="12893" spans="27:27" ht="17.899999999999999" customHeight="1">
      <c r="AA12893"/>
    </row>
    <row r="12894" spans="27:27" ht="17.899999999999999" customHeight="1">
      <c r="AA12894"/>
    </row>
    <row r="12895" spans="27:27" ht="17.899999999999999" customHeight="1">
      <c r="AA12895"/>
    </row>
    <row r="12896" spans="27:27" ht="17.899999999999999" customHeight="1">
      <c r="AA12896"/>
    </row>
    <row r="12897" spans="27:27" ht="17.899999999999999" customHeight="1">
      <c r="AA12897"/>
    </row>
    <row r="12898" spans="27:27" ht="17.899999999999999" customHeight="1">
      <c r="AA12898"/>
    </row>
    <row r="12899" spans="27:27" ht="17.899999999999999" customHeight="1">
      <c r="AA12899"/>
    </row>
    <row r="12900" spans="27:27" ht="17.899999999999999" customHeight="1">
      <c r="AA12900"/>
    </row>
    <row r="12901" spans="27:27" ht="17.899999999999999" customHeight="1">
      <c r="AA12901"/>
    </row>
    <row r="12902" spans="27:27" ht="17.899999999999999" customHeight="1">
      <c r="AA12902"/>
    </row>
    <row r="12903" spans="27:27" ht="17.899999999999999" customHeight="1">
      <c r="AA12903"/>
    </row>
    <row r="12904" spans="27:27" ht="17.899999999999999" customHeight="1">
      <c r="AA12904"/>
    </row>
    <row r="12905" spans="27:27" ht="17.899999999999999" customHeight="1">
      <c r="AA12905"/>
    </row>
    <row r="12906" spans="27:27" ht="17.899999999999999" customHeight="1">
      <c r="AA12906"/>
    </row>
    <row r="12907" spans="27:27" ht="17.899999999999999" customHeight="1">
      <c r="AA12907"/>
    </row>
    <row r="12908" spans="27:27" ht="17.899999999999999" customHeight="1">
      <c r="AA12908"/>
    </row>
    <row r="12909" spans="27:27" ht="17.899999999999999" customHeight="1">
      <c r="AA12909"/>
    </row>
    <row r="12910" spans="27:27" ht="17.899999999999999" customHeight="1">
      <c r="AA12910"/>
    </row>
    <row r="12911" spans="27:27" ht="17.899999999999999" customHeight="1">
      <c r="AA12911"/>
    </row>
    <row r="12912" spans="27:27" ht="17.899999999999999" customHeight="1">
      <c r="AA12912"/>
    </row>
    <row r="12913" spans="27:27" ht="17.899999999999999" customHeight="1">
      <c r="AA12913"/>
    </row>
    <row r="12914" spans="27:27" ht="17.899999999999999" customHeight="1">
      <c r="AA12914"/>
    </row>
    <row r="12915" spans="27:27" ht="17.899999999999999" customHeight="1">
      <c r="AA12915"/>
    </row>
    <row r="12916" spans="27:27" ht="17.899999999999999" customHeight="1">
      <c r="AA12916"/>
    </row>
    <row r="12917" spans="27:27" ht="17.899999999999999" customHeight="1">
      <c r="AA12917"/>
    </row>
    <row r="12918" spans="27:27" ht="17.899999999999999" customHeight="1">
      <c r="AA12918"/>
    </row>
    <row r="12919" spans="27:27" ht="17.899999999999999" customHeight="1">
      <c r="AA12919"/>
    </row>
    <row r="12920" spans="27:27" ht="17.899999999999999" customHeight="1">
      <c r="AA12920"/>
    </row>
    <row r="12921" spans="27:27" ht="17.899999999999999" customHeight="1">
      <c r="AA12921"/>
    </row>
    <row r="12922" spans="27:27" ht="17.899999999999999" customHeight="1">
      <c r="AA12922"/>
    </row>
    <row r="12923" spans="27:27" ht="17.899999999999999" customHeight="1">
      <c r="AA12923"/>
    </row>
    <row r="12924" spans="27:27" ht="17.899999999999999" customHeight="1">
      <c r="AA12924"/>
    </row>
    <row r="12925" spans="27:27" ht="17.899999999999999" customHeight="1">
      <c r="AA12925"/>
    </row>
    <row r="12926" spans="27:27" ht="17.899999999999999" customHeight="1">
      <c r="AA12926"/>
    </row>
    <row r="12927" spans="27:27" ht="17.899999999999999" customHeight="1">
      <c r="AA12927"/>
    </row>
    <row r="12928" spans="27:27" ht="17.899999999999999" customHeight="1">
      <c r="AA12928"/>
    </row>
    <row r="12929" spans="27:27" ht="17.899999999999999" customHeight="1">
      <c r="AA12929"/>
    </row>
    <row r="12930" spans="27:27" ht="17.899999999999999" customHeight="1">
      <c r="AA12930"/>
    </row>
    <row r="12931" spans="27:27" ht="17.899999999999999" customHeight="1">
      <c r="AA12931"/>
    </row>
    <row r="12932" spans="27:27" ht="17.899999999999999" customHeight="1">
      <c r="AA12932"/>
    </row>
    <row r="12933" spans="27:27" ht="17.899999999999999" customHeight="1">
      <c r="AA12933"/>
    </row>
    <row r="12934" spans="27:27" ht="17.899999999999999" customHeight="1">
      <c r="AA12934"/>
    </row>
    <row r="12935" spans="27:27" ht="17.899999999999999" customHeight="1">
      <c r="AA12935"/>
    </row>
    <row r="12936" spans="27:27" ht="17.899999999999999" customHeight="1">
      <c r="AA12936"/>
    </row>
    <row r="12937" spans="27:27" ht="17.899999999999999" customHeight="1">
      <c r="AA12937"/>
    </row>
    <row r="12938" spans="27:27" ht="17.899999999999999" customHeight="1">
      <c r="AA12938"/>
    </row>
    <row r="12939" spans="27:27" ht="17.899999999999999" customHeight="1">
      <c r="AA12939"/>
    </row>
    <row r="12940" spans="27:27" ht="17.899999999999999" customHeight="1">
      <c r="AA12940"/>
    </row>
    <row r="12941" spans="27:27" ht="17.899999999999999" customHeight="1">
      <c r="AA12941"/>
    </row>
    <row r="12942" spans="27:27" ht="17.899999999999999" customHeight="1">
      <c r="AA12942"/>
    </row>
    <row r="12943" spans="27:27" ht="17.899999999999999" customHeight="1">
      <c r="AA12943"/>
    </row>
    <row r="12944" spans="27:27" ht="17.899999999999999" customHeight="1">
      <c r="AA12944"/>
    </row>
    <row r="12945" spans="27:27" ht="17.899999999999999" customHeight="1">
      <c r="AA12945"/>
    </row>
    <row r="12946" spans="27:27" ht="17.899999999999999" customHeight="1">
      <c r="AA12946"/>
    </row>
    <row r="12947" spans="27:27" ht="17.899999999999999" customHeight="1">
      <c r="AA12947"/>
    </row>
    <row r="12948" spans="27:27" ht="17.899999999999999" customHeight="1">
      <c r="AA12948"/>
    </row>
    <row r="12949" spans="27:27" ht="17.899999999999999" customHeight="1">
      <c r="AA12949"/>
    </row>
    <row r="12950" spans="27:27" ht="17.899999999999999" customHeight="1">
      <c r="AA12950"/>
    </row>
    <row r="12951" spans="27:27" ht="17.899999999999999" customHeight="1">
      <c r="AA12951"/>
    </row>
    <row r="12952" spans="27:27" ht="17.899999999999999" customHeight="1">
      <c r="AA12952"/>
    </row>
    <row r="12953" spans="27:27" ht="17.899999999999999" customHeight="1">
      <c r="AA12953"/>
    </row>
    <row r="12954" spans="27:27" ht="17.899999999999999" customHeight="1">
      <c r="AA12954"/>
    </row>
    <row r="12955" spans="27:27" ht="17.899999999999999" customHeight="1">
      <c r="AA12955"/>
    </row>
    <row r="12956" spans="27:27" ht="17.899999999999999" customHeight="1">
      <c r="AA12956"/>
    </row>
    <row r="12957" spans="27:27" ht="17.899999999999999" customHeight="1">
      <c r="AA12957"/>
    </row>
    <row r="12958" spans="27:27" ht="17.899999999999999" customHeight="1">
      <c r="AA12958"/>
    </row>
    <row r="12959" spans="27:27" ht="17.899999999999999" customHeight="1">
      <c r="AA12959"/>
    </row>
    <row r="12960" spans="27:27" ht="17.899999999999999" customHeight="1">
      <c r="AA12960"/>
    </row>
    <row r="12961" spans="27:27" ht="17.899999999999999" customHeight="1">
      <c r="AA12961"/>
    </row>
    <row r="12962" spans="27:27" ht="17.899999999999999" customHeight="1">
      <c r="AA12962"/>
    </row>
    <row r="12963" spans="27:27" ht="17.899999999999999" customHeight="1">
      <c r="AA12963"/>
    </row>
    <row r="12964" spans="27:27" ht="17.899999999999999" customHeight="1">
      <c r="AA12964"/>
    </row>
    <row r="12965" spans="27:27" ht="17.899999999999999" customHeight="1">
      <c r="AA12965"/>
    </row>
    <row r="12966" spans="27:27" ht="17.899999999999999" customHeight="1">
      <c r="AA12966"/>
    </row>
    <row r="12967" spans="27:27" ht="17.899999999999999" customHeight="1">
      <c r="AA12967"/>
    </row>
    <row r="12968" spans="27:27" ht="17.899999999999999" customHeight="1">
      <c r="AA12968"/>
    </row>
    <row r="12969" spans="27:27" ht="17.899999999999999" customHeight="1">
      <c r="AA12969"/>
    </row>
    <row r="12970" spans="27:27" ht="17.899999999999999" customHeight="1">
      <c r="AA12970"/>
    </row>
    <row r="12971" spans="27:27" ht="17.899999999999999" customHeight="1">
      <c r="AA12971"/>
    </row>
    <row r="12972" spans="27:27" ht="17.899999999999999" customHeight="1">
      <c r="AA12972"/>
    </row>
    <row r="12973" spans="27:27" ht="17.899999999999999" customHeight="1">
      <c r="AA12973"/>
    </row>
    <row r="12974" spans="27:27" ht="17.899999999999999" customHeight="1">
      <c r="AA12974"/>
    </row>
    <row r="12975" spans="27:27" ht="17.899999999999999" customHeight="1">
      <c r="AA12975"/>
    </row>
    <row r="12976" spans="27:27" ht="17.899999999999999" customHeight="1">
      <c r="AA12976"/>
    </row>
    <row r="12977" spans="27:27" ht="17.899999999999999" customHeight="1">
      <c r="AA12977"/>
    </row>
    <row r="12978" spans="27:27" ht="17.899999999999999" customHeight="1">
      <c r="AA12978"/>
    </row>
    <row r="12979" spans="27:27" ht="17.899999999999999" customHeight="1">
      <c r="AA12979"/>
    </row>
    <row r="12980" spans="27:27" ht="17.899999999999999" customHeight="1">
      <c r="AA12980"/>
    </row>
    <row r="12981" spans="27:27" ht="17.899999999999999" customHeight="1">
      <c r="AA12981"/>
    </row>
    <row r="12982" spans="27:27" ht="17.899999999999999" customHeight="1">
      <c r="AA12982"/>
    </row>
    <row r="12983" spans="27:27" ht="17.899999999999999" customHeight="1">
      <c r="AA12983"/>
    </row>
    <row r="12984" spans="27:27" ht="17.899999999999999" customHeight="1">
      <c r="AA12984"/>
    </row>
    <row r="12985" spans="27:27" ht="17.899999999999999" customHeight="1">
      <c r="AA12985"/>
    </row>
    <row r="12986" spans="27:27" ht="17.899999999999999" customHeight="1">
      <c r="AA12986"/>
    </row>
    <row r="12987" spans="27:27" ht="17.899999999999999" customHeight="1">
      <c r="AA12987"/>
    </row>
    <row r="12988" spans="27:27" ht="17.899999999999999" customHeight="1">
      <c r="AA12988"/>
    </row>
    <row r="12989" spans="27:27" ht="17.899999999999999" customHeight="1">
      <c r="AA12989"/>
    </row>
    <row r="12990" spans="27:27" ht="17.899999999999999" customHeight="1">
      <c r="AA12990"/>
    </row>
    <row r="12991" spans="27:27" ht="17.899999999999999" customHeight="1">
      <c r="AA12991"/>
    </row>
    <row r="12992" spans="27:27" ht="17.899999999999999" customHeight="1">
      <c r="AA12992"/>
    </row>
    <row r="12993" spans="27:27" ht="17.899999999999999" customHeight="1">
      <c r="AA12993"/>
    </row>
    <row r="12994" spans="27:27" ht="17.899999999999999" customHeight="1">
      <c r="AA12994"/>
    </row>
    <row r="12995" spans="27:27" ht="17.899999999999999" customHeight="1">
      <c r="AA12995"/>
    </row>
    <row r="12996" spans="27:27" ht="17.899999999999999" customHeight="1">
      <c r="AA12996"/>
    </row>
    <row r="12997" spans="27:27" ht="17.899999999999999" customHeight="1">
      <c r="AA12997"/>
    </row>
    <row r="12998" spans="27:27" ht="17.899999999999999" customHeight="1">
      <c r="AA12998"/>
    </row>
    <row r="12999" spans="27:27" ht="17.899999999999999" customHeight="1">
      <c r="AA12999"/>
    </row>
    <row r="13000" spans="27:27" ht="17.899999999999999" customHeight="1">
      <c r="AA13000"/>
    </row>
    <row r="13001" spans="27:27" ht="17.899999999999999" customHeight="1">
      <c r="AA13001"/>
    </row>
    <row r="13002" spans="27:27" ht="17.899999999999999" customHeight="1">
      <c r="AA13002"/>
    </row>
    <row r="13003" spans="27:27" ht="17.899999999999999" customHeight="1">
      <c r="AA13003"/>
    </row>
    <row r="13004" spans="27:27" ht="17.899999999999999" customHeight="1">
      <c r="AA13004"/>
    </row>
    <row r="13005" spans="27:27" ht="17.899999999999999" customHeight="1">
      <c r="AA13005"/>
    </row>
    <row r="13006" spans="27:27" ht="17.899999999999999" customHeight="1">
      <c r="AA13006"/>
    </row>
    <row r="13007" spans="27:27" ht="17.899999999999999" customHeight="1">
      <c r="AA13007"/>
    </row>
    <row r="13008" spans="27:27" ht="17.899999999999999" customHeight="1">
      <c r="AA13008"/>
    </row>
    <row r="13009" spans="27:27" ht="17.899999999999999" customHeight="1">
      <c r="AA13009"/>
    </row>
    <row r="13010" spans="27:27" ht="17.899999999999999" customHeight="1">
      <c r="AA13010"/>
    </row>
    <row r="13011" spans="27:27" ht="17.899999999999999" customHeight="1">
      <c r="AA13011"/>
    </row>
    <row r="13012" spans="27:27" ht="17.899999999999999" customHeight="1">
      <c r="AA13012"/>
    </row>
    <row r="13013" spans="27:27" ht="17.899999999999999" customHeight="1">
      <c r="AA13013"/>
    </row>
    <row r="13014" spans="27:27" ht="17.899999999999999" customHeight="1">
      <c r="AA13014"/>
    </row>
    <row r="13015" spans="27:27" ht="17.899999999999999" customHeight="1">
      <c r="AA13015"/>
    </row>
    <row r="13016" spans="27:27" ht="17.899999999999999" customHeight="1">
      <c r="AA13016"/>
    </row>
    <row r="13017" spans="27:27" ht="17.899999999999999" customHeight="1">
      <c r="AA13017"/>
    </row>
    <row r="13018" spans="27:27" ht="17.899999999999999" customHeight="1">
      <c r="AA13018"/>
    </row>
    <row r="13019" spans="27:27" ht="17.899999999999999" customHeight="1">
      <c r="AA13019"/>
    </row>
    <row r="13020" spans="27:27" ht="17.899999999999999" customHeight="1">
      <c r="AA13020"/>
    </row>
    <row r="13021" spans="27:27" ht="17.899999999999999" customHeight="1">
      <c r="AA13021"/>
    </row>
    <row r="13022" spans="27:27" ht="17.899999999999999" customHeight="1">
      <c r="AA13022"/>
    </row>
    <row r="13023" spans="27:27" ht="17.899999999999999" customHeight="1">
      <c r="AA13023"/>
    </row>
    <row r="13024" spans="27:27" ht="17.899999999999999" customHeight="1">
      <c r="AA13024"/>
    </row>
    <row r="13025" spans="27:27" ht="17.899999999999999" customHeight="1">
      <c r="AA13025"/>
    </row>
    <row r="13026" spans="27:27" ht="17.899999999999999" customHeight="1">
      <c r="AA13026"/>
    </row>
    <row r="13027" spans="27:27" ht="17.899999999999999" customHeight="1">
      <c r="AA13027"/>
    </row>
    <row r="13028" spans="27:27" ht="17.899999999999999" customHeight="1">
      <c r="AA13028"/>
    </row>
    <row r="13029" spans="27:27" ht="17.899999999999999" customHeight="1">
      <c r="AA13029"/>
    </row>
    <row r="13030" spans="27:27" ht="17.899999999999999" customHeight="1">
      <c r="AA13030"/>
    </row>
    <row r="13031" spans="27:27" ht="17.899999999999999" customHeight="1">
      <c r="AA13031"/>
    </row>
    <row r="13032" spans="27:27" ht="17.899999999999999" customHeight="1">
      <c r="AA13032"/>
    </row>
    <row r="13033" spans="27:27" ht="17.899999999999999" customHeight="1">
      <c r="AA13033"/>
    </row>
    <row r="13034" spans="27:27" ht="17.899999999999999" customHeight="1">
      <c r="AA13034"/>
    </row>
    <row r="13035" spans="27:27" ht="17.899999999999999" customHeight="1">
      <c r="AA13035"/>
    </row>
    <row r="13036" spans="27:27" ht="17.899999999999999" customHeight="1">
      <c r="AA13036"/>
    </row>
    <row r="13037" spans="27:27" ht="17.899999999999999" customHeight="1">
      <c r="AA13037"/>
    </row>
    <row r="13038" spans="27:27" ht="17.899999999999999" customHeight="1">
      <c r="AA13038"/>
    </row>
    <row r="13039" spans="27:27" ht="17.899999999999999" customHeight="1">
      <c r="AA13039"/>
    </row>
    <row r="13040" spans="27:27" ht="17.899999999999999" customHeight="1">
      <c r="AA13040"/>
    </row>
    <row r="13041" spans="27:27" ht="17.899999999999999" customHeight="1">
      <c r="AA13041"/>
    </row>
    <row r="13042" spans="27:27" ht="17.899999999999999" customHeight="1">
      <c r="AA13042"/>
    </row>
    <row r="13043" spans="27:27" ht="17.899999999999999" customHeight="1">
      <c r="AA13043"/>
    </row>
    <row r="13044" spans="27:27" ht="17.899999999999999" customHeight="1">
      <c r="AA13044"/>
    </row>
    <row r="13045" spans="27:27" ht="17.899999999999999" customHeight="1">
      <c r="AA13045"/>
    </row>
    <row r="13046" spans="27:27" ht="17.899999999999999" customHeight="1">
      <c r="AA13046"/>
    </row>
    <row r="13047" spans="27:27" ht="17.899999999999999" customHeight="1">
      <c r="AA13047"/>
    </row>
    <row r="13048" spans="27:27" ht="17.899999999999999" customHeight="1">
      <c r="AA13048"/>
    </row>
    <row r="13049" spans="27:27" ht="17.899999999999999" customHeight="1">
      <c r="AA13049"/>
    </row>
    <row r="13050" spans="27:27" ht="17.899999999999999" customHeight="1">
      <c r="AA13050"/>
    </row>
    <row r="13051" spans="27:27" ht="17.899999999999999" customHeight="1">
      <c r="AA13051"/>
    </row>
    <row r="13052" spans="27:27" ht="17.899999999999999" customHeight="1">
      <c r="AA13052"/>
    </row>
    <row r="13053" spans="27:27" ht="17.899999999999999" customHeight="1">
      <c r="AA13053"/>
    </row>
    <row r="13054" spans="27:27" ht="17.899999999999999" customHeight="1">
      <c r="AA13054"/>
    </row>
    <row r="13055" spans="27:27" ht="17.899999999999999" customHeight="1">
      <c r="AA13055"/>
    </row>
    <row r="13056" spans="27:27" ht="17.899999999999999" customHeight="1">
      <c r="AA13056"/>
    </row>
    <row r="13057" spans="27:27" ht="17.899999999999999" customHeight="1">
      <c r="AA13057"/>
    </row>
    <row r="13058" spans="27:27" ht="17.899999999999999" customHeight="1">
      <c r="AA13058"/>
    </row>
    <row r="13059" spans="27:27" ht="17.899999999999999" customHeight="1">
      <c r="AA13059"/>
    </row>
    <row r="13060" spans="27:27" ht="17.899999999999999" customHeight="1">
      <c r="AA13060"/>
    </row>
    <row r="13061" spans="27:27" ht="17.899999999999999" customHeight="1">
      <c r="AA13061"/>
    </row>
    <row r="13062" spans="27:27" ht="17.899999999999999" customHeight="1">
      <c r="AA13062"/>
    </row>
    <row r="13063" spans="27:27" ht="17.899999999999999" customHeight="1">
      <c r="AA13063"/>
    </row>
    <row r="13064" spans="27:27" ht="17.899999999999999" customHeight="1">
      <c r="AA13064"/>
    </row>
    <row r="13065" spans="27:27" ht="17.899999999999999" customHeight="1">
      <c r="AA13065"/>
    </row>
    <row r="13066" spans="27:27" ht="17.899999999999999" customHeight="1">
      <c r="AA13066"/>
    </row>
    <row r="13067" spans="27:27" ht="17.899999999999999" customHeight="1">
      <c r="AA13067"/>
    </row>
    <row r="13068" spans="27:27" ht="17.899999999999999" customHeight="1">
      <c r="AA13068"/>
    </row>
    <row r="13069" spans="27:27" ht="17.899999999999999" customHeight="1">
      <c r="AA13069"/>
    </row>
    <row r="13070" spans="27:27" ht="17.899999999999999" customHeight="1">
      <c r="AA13070"/>
    </row>
    <row r="13071" spans="27:27" ht="17.899999999999999" customHeight="1">
      <c r="AA13071"/>
    </row>
    <row r="13072" spans="27:27" ht="17.899999999999999" customHeight="1">
      <c r="AA13072"/>
    </row>
    <row r="13073" spans="27:27" ht="17.899999999999999" customHeight="1">
      <c r="AA13073"/>
    </row>
    <row r="13074" spans="27:27" ht="17.899999999999999" customHeight="1">
      <c r="AA13074"/>
    </row>
    <row r="13075" spans="27:27" ht="17.899999999999999" customHeight="1">
      <c r="AA13075"/>
    </row>
    <row r="13076" spans="27:27" ht="17.899999999999999" customHeight="1">
      <c r="AA13076"/>
    </row>
    <row r="13077" spans="27:27" ht="17.899999999999999" customHeight="1">
      <c r="AA13077"/>
    </row>
    <row r="13078" spans="27:27" ht="17.899999999999999" customHeight="1">
      <c r="AA13078"/>
    </row>
    <row r="13079" spans="27:27" ht="17.899999999999999" customHeight="1">
      <c r="AA13079"/>
    </row>
    <row r="13080" spans="27:27" ht="17.899999999999999" customHeight="1">
      <c r="AA13080"/>
    </row>
    <row r="13081" spans="27:27" ht="17.899999999999999" customHeight="1">
      <c r="AA13081"/>
    </row>
    <row r="13082" spans="27:27" ht="17.899999999999999" customHeight="1">
      <c r="AA13082"/>
    </row>
    <row r="13083" spans="27:27" ht="17.899999999999999" customHeight="1">
      <c r="AA13083"/>
    </row>
    <row r="13084" spans="27:27" ht="17.899999999999999" customHeight="1">
      <c r="AA13084"/>
    </row>
    <row r="13085" spans="27:27" ht="17.899999999999999" customHeight="1">
      <c r="AA13085"/>
    </row>
    <row r="13086" spans="27:27" ht="17.899999999999999" customHeight="1">
      <c r="AA13086"/>
    </row>
    <row r="13087" spans="27:27" ht="17.899999999999999" customHeight="1">
      <c r="AA13087"/>
    </row>
    <row r="13088" spans="27:27" ht="17.899999999999999" customHeight="1">
      <c r="AA13088"/>
    </row>
    <row r="13089" spans="27:27" ht="17.899999999999999" customHeight="1">
      <c r="AA13089"/>
    </row>
    <row r="13090" spans="27:27" ht="17.899999999999999" customHeight="1">
      <c r="AA13090"/>
    </row>
    <row r="13091" spans="27:27" ht="17.899999999999999" customHeight="1">
      <c r="AA13091"/>
    </row>
    <row r="13092" spans="27:27" ht="17.899999999999999" customHeight="1">
      <c r="AA13092"/>
    </row>
    <row r="13093" spans="27:27" ht="17.899999999999999" customHeight="1">
      <c r="AA13093"/>
    </row>
    <row r="13094" spans="27:27" ht="17.899999999999999" customHeight="1">
      <c r="AA13094"/>
    </row>
    <row r="13095" spans="27:27" ht="17.899999999999999" customHeight="1">
      <c r="AA13095"/>
    </row>
    <row r="13096" spans="27:27" ht="17.899999999999999" customHeight="1">
      <c r="AA13096"/>
    </row>
    <row r="13097" spans="27:27" ht="17.899999999999999" customHeight="1">
      <c r="AA13097"/>
    </row>
    <row r="13098" spans="27:27" ht="17.899999999999999" customHeight="1">
      <c r="AA13098"/>
    </row>
    <row r="13099" spans="27:27" ht="17.899999999999999" customHeight="1">
      <c r="AA13099"/>
    </row>
    <row r="13100" spans="27:27" ht="17.899999999999999" customHeight="1">
      <c r="AA13100"/>
    </row>
    <row r="13101" spans="27:27" ht="17.899999999999999" customHeight="1">
      <c r="AA13101"/>
    </row>
    <row r="13102" spans="27:27" ht="17.899999999999999" customHeight="1">
      <c r="AA13102"/>
    </row>
    <row r="13103" spans="27:27" ht="17.899999999999999" customHeight="1">
      <c r="AA13103"/>
    </row>
    <row r="13104" spans="27:27" ht="17.899999999999999" customHeight="1">
      <c r="AA13104"/>
    </row>
    <row r="13105" spans="27:27" ht="17.899999999999999" customHeight="1">
      <c r="AA13105"/>
    </row>
    <row r="13106" spans="27:27" ht="17.899999999999999" customHeight="1">
      <c r="AA13106"/>
    </row>
    <row r="13107" spans="27:27" ht="17.899999999999999" customHeight="1">
      <c r="AA13107"/>
    </row>
    <row r="13108" spans="27:27" ht="17.899999999999999" customHeight="1">
      <c r="AA13108"/>
    </row>
    <row r="13109" spans="27:27" ht="17.899999999999999" customHeight="1">
      <c r="AA13109"/>
    </row>
    <row r="13110" spans="27:27" ht="17.899999999999999" customHeight="1">
      <c r="AA13110"/>
    </row>
    <row r="13111" spans="27:27" ht="17.899999999999999" customHeight="1">
      <c r="AA13111"/>
    </row>
    <row r="13112" spans="27:27" ht="17.899999999999999" customHeight="1">
      <c r="AA13112"/>
    </row>
    <row r="13113" spans="27:27" ht="17.899999999999999" customHeight="1">
      <c r="AA13113"/>
    </row>
    <row r="13114" spans="27:27" ht="17.899999999999999" customHeight="1">
      <c r="AA13114"/>
    </row>
    <row r="13115" spans="27:27" ht="17.899999999999999" customHeight="1">
      <c r="AA13115"/>
    </row>
    <row r="13116" spans="27:27" ht="17.899999999999999" customHeight="1">
      <c r="AA13116"/>
    </row>
    <row r="13117" spans="27:27" ht="17.899999999999999" customHeight="1">
      <c r="AA13117"/>
    </row>
    <row r="13118" spans="27:27" ht="17.899999999999999" customHeight="1">
      <c r="AA13118"/>
    </row>
    <row r="13119" spans="27:27" ht="17.899999999999999" customHeight="1">
      <c r="AA13119"/>
    </row>
    <row r="13120" spans="27:27" ht="17.899999999999999" customHeight="1">
      <c r="AA13120"/>
    </row>
    <row r="13121" spans="27:27" ht="17.899999999999999" customHeight="1">
      <c r="AA13121"/>
    </row>
    <row r="13122" spans="27:27" ht="17.899999999999999" customHeight="1">
      <c r="AA13122"/>
    </row>
    <row r="13123" spans="27:27" ht="17.899999999999999" customHeight="1">
      <c r="AA13123"/>
    </row>
    <row r="13124" spans="27:27" ht="17.899999999999999" customHeight="1">
      <c r="AA13124"/>
    </row>
    <row r="13125" spans="27:27" ht="17.899999999999999" customHeight="1">
      <c r="AA13125"/>
    </row>
    <row r="13126" spans="27:27" ht="17.899999999999999" customHeight="1">
      <c r="AA13126"/>
    </row>
    <row r="13127" spans="27:27" ht="17.899999999999999" customHeight="1">
      <c r="AA13127"/>
    </row>
    <row r="13128" spans="27:27" ht="17.899999999999999" customHeight="1">
      <c r="AA13128"/>
    </row>
    <row r="13129" spans="27:27" ht="17.899999999999999" customHeight="1">
      <c r="AA13129"/>
    </row>
    <row r="13130" spans="27:27" ht="17.899999999999999" customHeight="1">
      <c r="AA13130"/>
    </row>
    <row r="13131" spans="27:27" ht="17.899999999999999" customHeight="1">
      <c r="AA13131"/>
    </row>
    <row r="13132" spans="27:27" ht="17.899999999999999" customHeight="1">
      <c r="AA13132"/>
    </row>
    <row r="13133" spans="27:27" ht="17.899999999999999" customHeight="1">
      <c r="AA13133"/>
    </row>
    <row r="13134" spans="27:27" ht="17.899999999999999" customHeight="1">
      <c r="AA13134"/>
    </row>
    <row r="13135" spans="27:27" ht="17.899999999999999" customHeight="1">
      <c r="AA13135"/>
    </row>
    <row r="13136" spans="27:27" ht="17.899999999999999" customHeight="1">
      <c r="AA13136"/>
    </row>
    <row r="13137" spans="27:27" ht="17.899999999999999" customHeight="1">
      <c r="AA13137"/>
    </row>
    <row r="13138" spans="27:27" ht="17.899999999999999" customHeight="1">
      <c r="AA13138"/>
    </row>
    <row r="13139" spans="27:27" ht="17.899999999999999" customHeight="1">
      <c r="AA13139"/>
    </row>
    <row r="13140" spans="27:27" ht="17.899999999999999" customHeight="1">
      <c r="AA13140"/>
    </row>
    <row r="13141" spans="27:27" ht="17.899999999999999" customHeight="1">
      <c r="AA13141"/>
    </row>
    <row r="13142" spans="27:27" ht="17.899999999999999" customHeight="1">
      <c r="AA13142"/>
    </row>
    <row r="13143" spans="27:27" ht="17.899999999999999" customHeight="1">
      <c r="AA13143"/>
    </row>
    <row r="13144" spans="27:27" ht="17.899999999999999" customHeight="1">
      <c r="AA13144"/>
    </row>
    <row r="13145" spans="27:27" ht="17.899999999999999" customHeight="1">
      <c r="AA13145"/>
    </row>
    <row r="13146" spans="27:27" ht="17.899999999999999" customHeight="1">
      <c r="AA13146"/>
    </row>
    <row r="13147" spans="27:27" ht="17.899999999999999" customHeight="1">
      <c r="AA13147"/>
    </row>
    <row r="13148" spans="27:27" ht="17.899999999999999" customHeight="1">
      <c r="AA13148"/>
    </row>
    <row r="13149" spans="27:27" ht="17.899999999999999" customHeight="1">
      <c r="AA13149"/>
    </row>
    <row r="13150" spans="27:27" ht="17.899999999999999" customHeight="1">
      <c r="AA13150"/>
    </row>
    <row r="13151" spans="27:27" ht="17.899999999999999" customHeight="1">
      <c r="AA13151"/>
    </row>
    <row r="13152" spans="27:27" ht="17.899999999999999" customHeight="1">
      <c r="AA13152"/>
    </row>
    <row r="13153" spans="27:27" ht="17.899999999999999" customHeight="1">
      <c r="AA13153"/>
    </row>
    <row r="13154" spans="27:27" ht="17.899999999999999" customHeight="1">
      <c r="AA13154"/>
    </row>
    <row r="13155" spans="27:27" ht="17.899999999999999" customHeight="1">
      <c r="AA13155"/>
    </row>
    <row r="13156" spans="27:27" ht="17.899999999999999" customHeight="1">
      <c r="AA13156"/>
    </row>
    <row r="13157" spans="27:27" ht="17.899999999999999" customHeight="1">
      <c r="AA13157"/>
    </row>
    <row r="13158" spans="27:27" ht="17.899999999999999" customHeight="1">
      <c r="AA13158"/>
    </row>
    <row r="13159" spans="27:27" ht="17.899999999999999" customHeight="1">
      <c r="AA13159"/>
    </row>
    <row r="13160" spans="27:27" ht="17.899999999999999" customHeight="1">
      <c r="AA13160"/>
    </row>
    <row r="13161" spans="27:27" ht="17.899999999999999" customHeight="1">
      <c r="AA13161"/>
    </row>
    <row r="13162" spans="27:27" ht="17.899999999999999" customHeight="1">
      <c r="AA13162"/>
    </row>
    <row r="13163" spans="27:27" ht="17.899999999999999" customHeight="1">
      <c r="AA13163"/>
    </row>
    <row r="13164" spans="27:27" ht="17.899999999999999" customHeight="1">
      <c r="AA13164"/>
    </row>
    <row r="13165" spans="27:27" ht="17.899999999999999" customHeight="1">
      <c r="AA13165"/>
    </row>
    <row r="13166" spans="27:27" ht="17.899999999999999" customHeight="1">
      <c r="AA13166"/>
    </row>
    <row r="13167" spans="27:27" ht="17.899999999999999" customHeight="1">
      <c r="AA13167"/>
    </row>
    <row r="13168" spans="27:27" ht="17.899999999999999" customHeight="1">
      <c r="AA13168"/>
    </row>
    <row r="13169" spans="27:27" ht="17.899999999999999" customHeight="1">
      <c r="AA13169"/>
    </row>
    <row r="13170" spans="27:27" ht="17.899999999999999" customHeight="1">
      <c r="AA13170"/>
    </row>
    <row r="13171" spans="27:27" ht="17.899999999999999" customHeight="1">
      <c r="AA13171"/>
    </row>
    <row r="13172" spans="27:27" ht="17.899999999999999" customHeight="1">
      <c r="AA13172"/>
    </row>
    <row r="13173" spans="27:27" ht="17.899999999999999" customHeight="1">
      <c r="AA13173"/>
    </row>
    <row r="13174" spans="27:27" ht="17.899999999999999" customHeight="1">
      <c r="AA13174"/>
    </row>
    <row r="13175" spans="27:27" ht="17.899999999999999" customHeight="1">
      <c r="AA13175"/>
    </row>
    <row r="13176" spans="27:27" ht="17.899999999999999" customHeight="1">
      <c r="AA13176"/>
    </row>
    <row r="13177" spans="27:27" ht="17.899999999999999" customHeight="1">
      <c r="AA13177"/>
    </row>
    <row r="13178" spans="27:27" ht="17.899999999999999" customHeight="1">
      <c r="AA13178"/>
    </row>
    <row r="13179" spans="27:27" ht="17.899999999999999" customHeight="1">
      <c r="AA13179"/>
    </row>
    <row r="13180" spans="27:27" ht="17.899999999999999" customHeight="1">
      <c r="AA13180"/>
    </row>
    <row r="13181" spans="27:27" ht="17.899999999999999" customHeight="1">
      <c r="AA13181"/>
    </row>
    <row r="13182" spans="27:27" ht="17.899999999999999" customHeight="1">
      <c r="AA13182"/>
    </row>
    <row r="13183" spans="27:27" ht="17.899999999999999" customHeight="1">
      <c r="AA13183"/>
    </row>
    <row r="13184" spans="27:27" ht="17.899999999999999" customHeight="1">
      <c r="AA13184"/>
    </row>
    <row r="13185" spans="27:27" ht="17.899999999999999" customHeight="1">
      <c r="AA13185"/>
    </row>
    <row r="13186" spans="27:27" ht="17.899999999999999" customHeight="1">
      <c r="AA13186"/>
    </row>
    <row r="13187" spans="27:27" ht="17.899999999999999" customHeight="1">
      <c r="AA13187"/>
    </row>
    <row r="13188" spans="27:27" ht="17.899999999999999" customHeight="1">
      <c r="AA13188"/>
    </row>
    <row r="13189" spans="27:27" ht="17.899999999999999" customHeight="1">
      <c r="AA13189"/>
    </row>
    <row r="13190" spans="27:27" ht="17.899999999999999" customHeight="1">
      <c r="AA13190"/>
    </row>
    <row r="13191" spans="27:27" ht="17.899999999999999" customHeight="1">
      <c r="AA13191"/>
    </row>
    <row r="13192" spans="27:27" ht="17.899999999999999" customHeight="1">
      <c r="AA13192"/>
    </row>
    <row r="13193" spans="27:27" ht="17.899999999999999" customHeight="1">
      <c r="AA13193"/>
    </row>
    <row r="13194" spans="27:27" ht="17.899999999999999" customHeight="1">
      <c r="AA13194"/>
    </row>
    <row r="13195" spans="27:27" ht="17.899999999999999" customHeight="1">
      <c r="AA13195"/>
    </row>
    <row r="13196" spans="27:27" ht="17.899999999999999" customHeight="1">
      <c r="AA13196"/>
    </row>
    <row r="13197" spans="27:27" ht="17.899999999999999" customHeight="1">
      <c r="AA13197"/>
    </row>
    <row r="13198" spans="27:27" ht="17.899999999999999" customHeight="1">
      <c r="AA13198"/>
    </row>
    <row r="13199" spans="27:27" ht="17.899999999999999" customHeight="1">
      <c r="AA13199"/>
    </row>
    <row r="13200" spans="27:27" ht="17.899999999999999" customHeight="1">
      <c r="AA13200"/>
    </row>
    <row r="13201" spans="27:27" ht="17.899999999999999" customHeight="1">
      <c r="AA13201"/>
    </row>
    <row r="13202" spans="27:27" ht="17.899999999999999" customHeight="1">
      <c r="AA13202"/>
    </row>
    <row r="13203" spans="27:27" ht="17.899999999999999" customHeight="1">
      <c r="AA13203"/>
    </row>
    <row r="13204" spans="27:27" ht="17.899999999999999" customHeight="1">
      <c r="AA13204"/>
    </row>
    <row r="13205" spans="27:27" ht="17.899999999999999" customHeight="1">
      <c r="AA13205"/>
    </row>
    <row r="13206" spans="27:27" ht="17.899999999999999" customHeight="1">
      <c r="AA13206"/>
    </row>
    <row r="13207" spans="27:27" ht="17.899999999999999" customHeight="1">
      <c r="AA13207"/>
    </row>
    <row r="13208" spans="27:27" ht="17.899999999999999" customHeight="1">
      <c r="AA13208"/>
    </row>
    <row r="13209" spans="27:27" ht="17.899999999999999" customHeight="1">
      <c r="AA13209"/>
    </row>
    <row r="13210" spans="27:27" ht="17.899999999999999" customHeight="1">
      <c r="AA13210"/>
    </row>
    <row r="13211" spans="27:27" ht="17.899999999999999" customHeight="1">
      <c r="AA13211"/>
    </row>
    <row r="13212" spans="27:27" ht="17.899999999999999" customHeight="1">
      <c r="AA13212"/>
    </row>
    <row r="13213" spans="27:27" ht="17.899999999999999" customHeight="1">
      <c r="AA13213"/>
    </row>
    <row r="13214" spans="27:27" ht="17.899999999999999" customHeight="1">
      <c r="AA13214"/>
    </row>
    <row r="13215" spans="27:27" ht="17.899999999999999" customHeight="1">
      <c r="AA13215"/>
    </row>
    <row r="13216" spans="27:27" ht="17.899999999999999" customHeight="1">
      <c r="AA13216"/>
    </row>
    <row r="13217" spans="27:27" ht="17.899999999999999" customHeight="1">
      <c r="AA13217"/>
    </row>
    <row r="13218" spans="27:27" ht="17.899999999999999" customHeight="1">
      <c r="AA13218"/>
    </row>
    <row r="13219" spans="27:27" ht="17.899999999999999" customHeight="1">
      <c r="AA13219"/>
    </row>
    <row r="13220" spans="27:27" ht="17.899999999999999" customHeight="1">
      <c r="AA13220"/>
    </row>
    <row r="13221" spans="27:27" ht="17.899999999999999" customHeight="1">
      <c r="AA13221"/>
    </row>
    <row r="13222" spans="27:27" ht="17.899999999999999" customHeight="1">
      <c r="AA13222"/>
    </row>
    <row r="13223" spans="27:27" ht="17.899999999999999" customHeight="1">
      <c r="AA13223"/>
    </row>
    <row r="13224" spans="27:27" ht="17.899999999999999" customHeight="1">
      <c r="AA13224"/>
    </row>
    <row r="13225" spans="27:27" ht="17.899999999999999" customHeight="1">
      <c r="AA13225"/>
    </row>
    <row r="13226" spans="27:27" ht="17.899999999999999" customHeight="1">
      <c r="AA13226"/>
    </row>
    <row r="13227" spans="27:27" ht="17.899999999999999" customHeight="1">
      <c r="AA13227"/>
    </row>
    <row r="13228" spans="27:27" ht="17.899999999999999" customHeight="1">
      <c r="AA13228"/>
    </row>
    <row r="13229" spans="27:27" ht="17.899999999999999" customHeight="1">
      <c r="AA13229"/>
    </row>
    <row r="13230" spans="27:27" ht="17.899999999999999" customHeight="1">
      <c r="AA13230"/>
    </row>
    <row r="13231" spans="27:27" ht="17.899999999999999" customHeight="1">
      <c r="AA13231"/>
    </row>
    <row r="13232" spans="27:27" ht="17.899999999999999" customHeight="1">
      <c r="AA13232"/>
    </row>
    <row r="13233" spans="27:27" ht="17.899999999999999" customHeight="1">
      <c r="AA13233"/>
    </row>
    <row r="13234" spans="27:27" ht="17.899999999999999" customHeight="1">
      <c r="AA13234"/>
    </row>
    <row r="13235" spans="27:27" ht="17.899999999999999" customHeight="1">
      <c r="AA13235"/>
    </row>
    <row r="13236" spans="27:27" ht="17.899999999999999" customHeight="1">
      <c r="AA13236"/>
    </row>
    <row r="13237" spans="27:27" ht="17.899999999999999" customHeight="1">
      <c r="AA13237"/>
    </row>
    <row r="13238" spans="27:27" ht="17.899999999999999" customHeight="1">
      <c r="AA13238"/>
    </row>
    <row r="13239" spans="27:27" ht="17.899999999999999" customHeight="1">
      <c r="AA13239"/>
    </row>
    <row r="13240" spans="27:27" ht="17.899999999999999" customHeight="1">
      <c r="AA13240"/>
    </row>
    <row r="13241" spans="27:27" ht="17.899999999999999" customHeight="1">
      <c r="AA13241"/>
    </row>
    <row r="13242" spans="27:27" ht="17.899999999999999" customHeight="1">
      <c r="AA13242"/>
    </row>
    <row r="13243" spans="27:27" ht="17.899999999999999" customHeight="1">
      <c r="AA13243"/>
    </row>
    <row r="13244" spans="27:27" ht="17.899999999999999" customHeight="1">
      <c r="AA13244"/>
    </row>
    <row r="13245" spans="27:27" ht="17.899999999999999" customHeight="1">
      <c r="AA13245"/>
    </row>
    <row r="13246" spans="27:27" ht="17.899999999999999" customHeight="1">
      <c r="AA13246"/>
    </row>
    <row r="13247" spans="27:27" ht="17.899999999999999" customHeight="1">
      <c r="AA13247"/>
    </row>
    <row r="13248" spans="27:27" ht="17.899999999999999" customHeight="1">
      <c r="AA13248"/>
    </row>
    <row r="13249" spans="27:27" ht="17.899999999999999" customHeight="1">
      <c r="AA13249"/>
    </row>
    <row r="13250" spans="27:27" ht="17.899999999999999" customHeight="1">
      <c r="AA13250"/>
    </row>
    <row r="13251" spans="27:27" ht="17.899999999999999" customHeight="1">
      <c r="AA13251"/>
    </row>
    <row r="13252" spans="27:27" ht="17.899999999999999" customHeight="1">
      <c r="AA13252"/>
    </row>
    <row r="13253" spans="27:27" ht="17.899999999999999" customHeight="1">
      <c r="AA13253"/>
    </row>
    <row r="13254" spans="27:27" ht="17.899999999999999" customHeight="1">
      <c r="AA13254"/>
    </row>
    <row r="13255" spans="27:27" ht="17.899999999999999" customHeight="1">
      <c r="AA13255"/>
    </row>
    <row r="13256" spans="27:27" ht="17.899999999999999" customHeight="1">
      <c r="AA13256"/>
    </row>
    <row r="13257" spans="27:27" ht="17.899999999999999" customHeight="1">
      <c r="AA13257"/>
    </row>
    <row r="13258" spans="27:27" ht="17.899999999999999" customHeight="1">
      <c r="AA13258"/>
    </row>
    <row r="13259" spans="27:27" ht="17.899999999999999" customHeight="1">
      <c r="AA13259"/>
    </row>
    <row r="13260" spans="27:27" ht="17.899999999999999" customHeight="1">
      <c r="AA13260"/>
    </row>
    <row r="13261" spans="27:27" ht="17.899999999999999" customHeight="1">
      <c r="AA13261"/>
    </row>
    <row r="13262" spans="27:27" ht="17.899999999999999" customHeight="1">
      <c r="AA13262"/>
    </row>
    <row r="13263" spans="27:27" ht="17.899999999999999" customHeight="1">
      <c r="AA13263"/>
    </row>
    <row r="13264" spans="27:27" ht="17.899999999999999" customHeight="1">
      <c r="AA13264"/>
    </row>
    <row r="13265" spans="27:27" ht="17.899999999999999" customHeight="1">
      <c r="AA13265"/>
    </row>
    <row r="13266" spans="27:27" ht="17.899999999999999" customHeight="1">
      <c r="AA13266"/>
    </row>
    <row r="13267" spans="27:27" ht="17.899999999999999" customHeight="1">
      <c r="AA13267"/>
    </row>
    <row r="13268" spans="27:27" ht="17.899999999999999" customHeight="1">
      <c r="AA13268"/>
    </row>
    <row r="13269" spans="27:27" ht="17.899999999999999" customHeight="1">
      <c r="AA13269"/>
    </row>
    <row r="13270" spans="27:27" ht="17.899999999999999" customHeight="1">
      <c r="AA13270"/>
    </row>
    <row r="13271" spans="27:27" ht="17.899999999999999" customHeight="1">
      <c r="AA13271"/>
    </row>
    <row r="13272" spans="27:27" ht="17.899999999999999" customHeight="1">
      <c r="AA13272"/>
    </row>
    <row r="13273" spans="27:27" ht="17.899999999999999" customHeight="1">
      <c r="AA13273"/>
    </row>
    <row r="13274" spans="27:27" ht="17.899999999999999" customHeight="1">
      <c r="AA13274"/>
    </row>
    <row r="13275" spans="27:27" ht="17.899999999999999" customHeight="1">
      <c r="AA13275"/>
    </row>
    <row r="13276" spans="27:27" ht="17.899999999999999" customHeight="1">
      <c r="AA13276"/>
    </row>
    <row r="13277" spans="27:27" ht="17.899999999999999" customHeight="1">
      <c r="AA13277"/>
    </row>
    <row r="13278" spans="27:27" ht="17.899999999999999" customHeight="1">
      <c r="AA13278"/>
    </row>
    <row r="13279" spans="27:27" ht="17.899999999999999" customHeight="1">
      <c r="AA13279"/>
    </row>
    <row r="13280" spans="27:27" ht="17.899999999999999" customHeight="1">
      <c r="AA13280"/>
    </row>
    <row r="13281" spans="27:27" ht="17.899999999999999" customHeight="1">
      <c r="AA13281"/>
    </row>
    <row r="13282" spans="27:27" ht="17.899999999999999" customHeight="1">
      <c r="AA13282"/>
    </row>
    <row r="13283" spans="27:27" ht="17.899999999999999" customHeight="1">
      <c r="AA13283"/>
    </row>
    <row r="13284" spans="27:27" ht="17.899999999999999" customHeight="1">
      <c r="AA13284"/>
    </row>
    <row r="13285" spans="27:27" ht="17.899999999999999" customHeight="1">
      <c r="AA13285"/>
    </row>
    <row r="13286" spans="27:27" ht="17.899999999999999" customHeight="1">
      <c r="AA13286"/>
    </row>
    <row r="13287" spans="27:27" ht="17.899999999999999" customHeight="1">
      <c r="AA13287"/>
    </row>
    <row r="13288" spans="27:27" ht="17.899999999999999" customHeight="1">
      <c r="AA13288"/>
    </row>
    <row r="13289" spans="27:27" ht="17.899999999999999" customHeight="1">
      <c r="AA13289"/>
    </row>
    <row r="13290" spans="27:27" ht="17.899999999999999" customHeight="1">
      <c r="AA13290"/>
    </row>
    <row r="13291" spans="27:27" ht="17.899999999999999" customHeight="1">
      <c r="AA13291"/>
    </row>
    <row r="13292" spans="27:27" ht="17.899999999999999" customHeight="1">
      <c r="AA13292"/>
    </row>
    <row r="13293" spans="27:27" ht="17.899999999999999" customHeight="1">
      <c r="AA13293"/>
    </row>
    <row r="13294" spans="27:27" ht="17.899999999999999" customHeight="1">
      <c r="AA13294"/>
    </row>
    <row r="13295" spans="27:27" ht="17.899999999999999" customHeight="1">
      <c r="AA13295"/>
    </row>
    <row r="13296" spans="27:27" ht="17.899999999999999" customHeight="1">
      <c r="AA13296"/>
    </row>
    <row r="13297" spans="27:27" ht="17.899999999999999" customHeight="1">
      <c r="AA13297"/>
    </row>
    <row r="13298" spans="27:27" ht="17.899999999999999" customHeight="1">
      <c r="AA13298"/>
    </row>
    <row r="13299" spans="27:27" ht="17.899999999999999" customHeight="1">
      <c r="AA13299"/>
    </row>
    <row r="13300" spans="27:27" ht="17.899999999999999" customHeight="1">
      <c r="AA13300"/>
    </row>
    <row r="13301" spans="27:27" ht="17.899999999999999" customHeight="1">
      <c r="AA13301"/>
    </row>
    <row r="13302" spans="27:27" ht="17.899999999999999" customHeight="1">
      <c r="AA13302"/>
    </row>
    <row r="13303" spans="27:27" ht="17.899999999999999" customHeight="1">
      <c r="AA13303"/>
    </row>
    <row r="13304" spans="27:27" ht="17.899999999999999" customHeight="1">
      <c r="AA13304"/>
    </row>
    <row r="13305" spans="27:27" ht="17.899999999999999" customHeight="1">
      <c r="AA13305"/>
    </row>
    <row r="13306" spans="27:27" ht="17.899999999999999" customHeight="1">
      <c r="AA13306"/>
    </row>
    <row r="13307" spans="27:27" ht="17.899999999999999" customHeight="1">
      <c r="AA13307"/>
    </row>
    <row r="13308" spans="27:27" ht="17.899999999999999" customHeight="1">
      <c r="AA13308"/>
    </row>
    <row r="13309" spans="27:27" ht="17.899999999999999" customHeight="1">
      <c r="AA13309"/>
    </row>
    <row r="13310" spans="27:27" ht="17.899999999999999" customHeight="1">
      <c r="AA13310"/>
    </row>
    <row r="13311" spans="27:27" ht="17.899999999999999" customHeight="1">
      <c r="AA13311"/>
    </row>
    <row r="13312" spans="27:27" ht="17.899999999999999" customHeight="1">
      <c r="AA13312"/>
    </row>
    <row r="13313" spans="27:27" ht="17.899999999999999" customHeight="1">
      <c r="AA13313"/>
    </row>
    <row r="13314" spans="27:27" ht="17.899999999999999" customHeight="1">
      <c r="AA13314"/>
    </row>
    <row r="13315" spans="27:27" ht="17.899999999999999" customHeight="1">
      <c r="AA13315"/>
    </row>
    <row r="13316" spans="27:27" ht="17.899999999999999" customHeight="1">
      <c r="AA13316"/>
    </row>
    <row r="13317" spans="27:27" ht="17.899999999999999" customHeight="1">
      <c r="AA13317"/>
    </row>
    <row r="13318" spans="27:27" ht="17.899999999999999" customHeight="1">
      <c r="AA13318"/>
    </row>
    <row r="13319" spans="27:27" ht="17.899999999999999" customHeight="1">
      <c r="AA13319"/>
    </row>
    <row r="13320" spans="27:27" ht="17.899999999999999" customHeight="1">
      <c r="AA13320"/>
    </row>
    <row r="13321" spans="27:27" ht="17.899999999999999" customHeight="1">
      <c r="AA13321"/>
    </row>
    <row r="13322" spans="27:27" ht="17.899999999999999" customHeight="1">
      <c r="AA13322"/>
    </row>
    <row r="13323" spans="27:27" ht="17.899999999999999" customHeight="1">
      <c r="AA13323"/>
    </row>
    <row r="13324" spans="27:27" ht="17.899999999999999" customHeight="1">
      <c r="AA13324"/>
    </row>
    <row r="13325" spans="27:27" ht="17.899999999999999" customHeight="1">
      <c r="AA13325"/>
    </row>
    <row r="13326" spans="27:27" ht="17.899999999999999" customHeight="1">
      <c r="AA13326"/>
    </row>
    <row r="13327" spans="27:27" ht="17.899999999999999" customHeight="1">
      <c r="AA13327"/>
    </row>
    <row r="13328" spans="27:27" ht="17.899999999999999" customHeight="1">
      <c r="AA13328"/>
    </row>
    <row r="13329" spans="27:27" ht="17.899999999999999" customHeight="1">
      <c r="AA13329"/>
    </row>
    <row r="13330" spans="27:27" ht="17.899999999999999" customHeight="1">
      <c r="AA13330"/>
    </row>
    <row r="13331" spans="27:27" ht="17.899999999999999" customHeight="1">
      <c r="AA13331"/>
    </row>
    <row r="13332" spans="27:27" ht="17.899999999999999" customHeight="1">
      <c r="AA13332"/>
    </row>
    <row r="13333" spans="27:27" ht="17.899999999999999" customHeight="1">
      <c r="AA13333"/>
    </row>
    <row r="13334" spans="27:27" ht="17.899999999999999" customHeight="1">
      <c r="AA13334"/>
    </row>
    <row r="13335" spans="27:27" ht="17.899999999999999" customHeight="1">
      <c r="AA13335"/>
    </row>
    <row r="13336" spans="27:27" ht="17.899999999999999" customHeight="1">
      <c r="AA13336"/>
    </row>
    <row r="13337" spans="27:27" ht="17.899999999999999" customHeight="1">
      <c r="AA13337"/>
    </row>
    <row r="13338" spans="27:27" ht="17.899999999999999" customHeight="1">
      <c r="AA13338"/>
    </row>
    <row r="13339" spans="27:27" ht="17.899999999999999" customHeight="1">
      <c r="AA13339"/>
    </row>
    <row r="13340" spans="27:27" ht="17.899999999999999" customHeight="1">
      <c r="AA13340"/>
    </row>
    <row r="13341" spans="27:27" ht="17.899999999999999" customHeight="1">
      <c r="AA13341"/>
    </row>
    <row r="13342" spans="27:27" ht="17.899999999999999" customHeight="1">
      <c r="AA13342"/>
    </row>
    <row r="13343" spans="27:27" ht="17.899999999999999" customHeight="1">
      <c r="AA13343"/>
    </row>
    <row r="13344" spans="27:27" ht="17.899999999999999" customHeight="1">
      <c r="AA13344"/>
    </row>
    <row r="13345" spans="27:27" ht="17.899999999999999" customHeight="1">
      <c r="AA13345"/>
    </row>
    <row r="13346" spans="27:27" ht="17.899999999999999" customHeight="1">
      <c r="AA13346"/>
    </row>
    <row r="13347" spans="27:27" ht="17.899999999999999" customHeight="1">
      <c r="AA13347"/>
    </row>
    <row r="13348" spans="27:27" ht="17.899999999999999" customHeight="1">
      <c r="AA13348"/>
    </row>
    <row r="13349" spans="27:27" ht="17.899999999999999" customHeight="1">
      <c r="AA13349"/>
    </row>
    <row r="13350" spans="27:27" ht="17.899999999999999" customHeight="1">
      <c r="AA13350"/>
    </row>
    <row r="13351" spans="27:27" ht="17.899999999999999" customHeight="1">
      <c r="AA13351"/>
    </row>
    <row r="13352" spans="27:27" ht="17.899999999999999" customHeight="1">
      <c r="AA13352"/>
    </row>
    <row r="13353" spans="27:27" ht="17.899999999999999" customHeight="1">
      <c r="AA13353"/>
    </row>
    <row r="13354" spans="27:27" ht="17.899999999999999" customHeight="1">
      <c r="AA13354"/>
    </row>
    <row r="13355" spans="27:27" ht="17.899999999999999" customHeight="1">
      <c r="AA13355"/>
    </row>
    <row r="13356" spans="27:27" ht="17.899999999999999" customHeight="1">
      <c r="AA13356"/>
    </row>
    <row r="13357" spans="27:27" ht="17.899999999999999" customHeight="1">
      <c r="AA13357"/>
    </row>
    <row r="13358" spans="27:27" ht="17.899999999999999" customHeight="1">
      <c r="AA13358"/>
    </row>
    <row r="13359" spans="27:27" ht="17.899999999999999" customHeight="1">
      <c r="AA13359"/>
    </row>
    <row r="13360" spans="27:27" ht="17.899999999999999" customHeight="1">
      <c r="AA13360"/>
    </row>
    <row r="13361" spans="27:27" ht="17.899999999999999" customHeight="1">
      <c r="AA13361"/>
    </row>
    <row r="13362" spans="27:27" ht="17.899999999999999" customHeight="1">
      <c r="AA13362"/>
    </row>
    <row r="13363" spans="27:27" ht="17.899999999999999" customHeight="1">
      <c r="AA13363"/>
    </row>
    <row r="13364" spans="27:27" ht="17.899999999999999" customHeight="1">
      <c r="AA13364"/>
    </row>
    <row r="13365" spans="27:27" ht="17.899999999999999" customHeight="1">
      <c r="AA13365"/>
    </row>
    <row r="13366" spans="27:27" ht="17.899999999999999" customHeight="1">
      <c r="AA13366"/>
    </row>
    <row r="13367" spans="27:27" ht="17.899999999999999" customHeight="1">
      <c r="AA13367"/>
    </row>
    <row r="13368" spans="27:27" ht="17.899999999999999" customHeight="1">
      <c r="AA13368"/>
    </row>
    <row r="13369" spans="27:27" ht="17.899999999999999" customHeight="1">
      <c r="AA13369"/>
    </row>
    <row r="13370" spans="27:27" ht="17.899999999999999" customHeight="1">
      <c r="AA13370"/>
    </row>
    <row r="13371" spans="27:27" ht="17.899999999999999" customHeight="1">
      <c r="AA13371"/>
    </row>
    <row r="13372" spans="27:27" ht="17.899999999999999" customHeight="1">
      <c r="AA13372"/>
    </row>
    <row r="13373" spans="27:27" ht="17.899999999999999" customHeight="1">
      <c r="AA13373"/>
    </row>
    <row r="13374" spans="27:27" ht="17.899999999999999" customHeight="1">
      <c r="AA13374"/>
    </row>
    <row r="13375" spans="27:27" ht="17.899999999999999" customHeight="1">
      <c r="AA13375"/>
    </row>
    <row r="13376" spans="27:27" ht="17.899999999999999" customHeight="1">
      <c r="AA13376"/>
    </row>
    <row r="13377" spans="27:27" ht="17.899999999999999" customHeight="1">
      <c r="AA13377"/>
    </row>
    <row r="13378" spans="27:27" ht="17.899999999999999" customHeight="1">
      <c r="AA13378"/>
    </row>
    <row r="13379" spans="27:27" ht="17.899999999999999" customHeight="1">
      <c r="AA13379"/>
    </row>
    <row r="13380" spans="27:27" ht="17.899999999999999" customHeight="1">
      <c r="AA13380"/>
    </row>
    <row r="13381" spans="27:27" ht="17.899999999999999" customHeight="1">
      <c r="AA13381"/>
    </row>
    <row r="13382" spans="27:27" ht="17.899999999999999" customHeight="1">
      <c r="AA13382"/>
    </row>
    <row r="13383" spans="27:27" ht="17.899999999999999" customHeight="1">
      <c r="AA13383"/>
    </row>
    <row r="13384" spans="27:27" ht="17.899999999999999" customHeight="1">
      <c r="AA13384"/>
    </row>
    <row r="13385" spans="27:27" ht="17.899999999999999" customHeight="1">
      <c r="AA13385"/>
    </row>
    <row r="13386" spans="27:27" ht="17.899999999999999" customHeight="1">
      <c r="AA13386"/>
    </row>
    <row r="13387" spans="27:27" ht="17.899999999999999" customHeight="1">
      <c r="AA13387"/>
    </row>
    <row r="13388" spans="27:27" ht="17.899999999999999" customHeight="1">
      <c r="AA13388"/>
    </row>
    <row r="13389" spans="27:27" ht="17.899999999999999" customHeight="1">
      <c r="AA13389"/>
    </row>
    <row r="13390" spans="27:27" ht="17.899999999999999" customHeight="1">
      <c r="AA13390"/>
    </row>
    <row r="13391" spans="27:27" ht="17.899999999999999" customHeight="1">
      <c r="AA13391"/>
    </row>
    <row r="13392" spans="27:27" ht="17.899999999999999" customHeight="1">
      <c r="AA13392"/>
    </row>
    <row r="13393" spans="27:27" ht="17.899999999999999" customHeight="1">
      <c r="AA13393"/>
    </row>
    <row r="13394" spans="27:27" ht="17.899999999999999" customHeight="1">
      <c r="AA13394"/>
    </row>
    <row r="13395" spans="27:27" ht="17.899999999999999" customHeight="1">
      <c r="AA13395"/>
    </row>
    <row r="13396" spans="27:27" ht="17.899999999999999" customHeight="1">
      <c r="AA13396"/>
    </row>
    <row r="13397" spans="27:27" ht="17.899999999999999" customHeight="1">
      <c r="AA13397"/>
    </row>
    <row r="13398" spans="27:27" ht="17.899999999999999" customHeight="1">
      <c r="AA13398"/>
    </row>
    <row r="13399" spans="27:27" ht="17.899999999999999" customHeight="1">
      <c r="AA13399"/>
    </row>
    <row r="13400" spans="27:27" ht="17.899999999999999" customHeight="1">
      <c r="AA13400"/>
    </row>
    <row r="13401" spans="27:27" ht="17.899999999999999" customHeight="1">
      <c r="AA13401"/>
    </row>
    <row r="13402" spans="27:27" ht="17.899999999999999" customHeight="1">
      <c r="AA13402"/>
    </row>
    <row r="13403" spans="27:27" ht="17.899999999999999" customHeight="1">
      <c r="AA13403"/>
    </row>
    <row r="13404" spans="27:27" ht="17.899999999999999" customHeight="1">
      <c r="AA13404"/>
    </row>
    <row r="13405" spans="27:27" ht="17.899999999999999" customHeight="1">
      <c r="AA13405"/>
    </row>
    <row r="13406" spans="27:27" ht="17.899999999999999" customHeight="1">
      <c r="AA13406"/>
    </row>
    <row r="13407" spans="27:27" ht="17.899999999999999" customHeight="1">
      <c r="AA13407"/>
    </row>
    <row r="13408" spans="27:27" ht="17.899999999999999" customHeight="1">
      <c r="AA13408"/>
    </row>
    <row r="13409" spans="27:27" ht="17.899999999999999" customHeight="1">
      <c r="AA13409"/>
    </row>
    <row r="13410" spans="27:27" ht="17.899999999999999" customHeight="1">
      <c r="AA13410"/>
    </row>
    <row r="13411" spans="27:27" ht="17.899999999999999" customHeight="1">
      <c r="AA13411"/>
    </row>
    <row r="13412" spans="27:27" ht="17.899999999999999" customHeight="1">
      <c r="AA13412"/>
    </row>
    <row r="13413" spans="27:27" ht="17.899999999999999" customHeight="1">
      <c r="AA13413"/>
    </row>
    <row r="13414" spans="27:27" ht="17.899999999999999" customHeight="1">
      <c r="AA13414"/>
    </row>
    <row r="13415" spans="27:27" ht="17.899999999999999" customHeight="1">
      <c r="AA13415"/>
    </row>
    <row r="13416" spans="27:27" ht="17.899999999999999" customHeight="1">
      <c r="AA13416"/>
    </row>
    <row r="13417" spans="27:27" ht="17.899999999999999" customHeight="1">
      <c r="AA13417"/>
    </row>
    <row r="13418" spans="27:27" ht="17.899999999999999" customHeight="1">
      <c r="AA13418"/>
    </row>
    <row r="13419" spans="27:27" ht="17.899999999999999" customHeight="1">
      <c r="AA13419"/>
    </row>
    <row r="13420" spans="27:27" ht="17.899999999999999" customHeight="1">
      <c r="AA13420"/>
    </row>
    <row r="13421" spans="27:27" ht="17.899999999999999" customHeight="1">
      <c r="AA13421"/>
    </row>
    <row r="13422" spans="27:27" ht="17.899999999999999" customHeight="1">
      <c r="AA13422"/>
    </row>
    <row r="13423" spans="27:27" ht="17.899999999999999" customHeight="1">
      <c r="AA13423"/>
    </row>
    <row r="13424" spans="27:27" ht="17.899999999999999" customHeight="1">
      <c r="AA13424"/>
    </row>
    <row r="13425" spans="27:27" ht="17.899999999999999" customHeight="1">
      <c r="AA13425"/>
    </row>
    <row r="13426" spans="27:27" ht="17.899999999999999" customHeight="1">
      <c r="AA13426"/>
    </row>
    <row r="13427" spans="27:27" ht="17.899999999999999" customHeight="1">
      <c r="AA13427"/>
    </row>
    <row r="13428" spans="27:27" ht="17.899999999999999" customHeight="1">
      <c r="AA13428"/>
    </row>
    <row r="13429" spans="27:27" ht="17.899999999999999" customHeight="1">
      <c r="AA13429"/>
    </row>
    <row r="13430" spans="27:27" ht="17.899999999999999" customHeight="1">
      <c r="AA13430"/>
    </row>
    <row r="13431" spans="27:27" ht="17.899999999999999" customHeight="1">
      <c r="AA13431"/>
    </row>
    <row r="13432" spans="27:27" ht="17.899999999999999" customHeight="1">
      <c r="AA13432"/>
    </row>
    <row r="13433" spans="27:27" ht="17.899999999999999" customHeight="1">
      <c r="AA13433"/>
    </row>
    <row r="13434" spans="27:27" ht="17.899999999999999" customHeight="1">
      <c r="AA13434"/>
    </row>
    <row r="13435" spans="27:27" ht="17.899999999999999" customHeight="1">
      <c r="AA13435"/>
    </row>
    <row r="13436" spans="27:27" ht="17.899999999999999" customHeight="1">
      <c r="AA13436"/>
    </row>
    <row r="13437" spans="27:27" ht="17.899999999999999" customHeight="1">
      <c r="AA13437"/>
    </row>
    <row r="13438" spans="27:27" ht="17.899999999999999" customHeight="1">
      <c r="AA13438"/>
    </row>
    <row r="13439" spans="27:27" ht="17.899999999999999" customHeight="1">
      <c r="AA13439"/>
    </row>
    <row r="13440" spans="27:27" ht="17.899999999999999" customHeight="1">
      <c r="AA13440"/>
    </row>
    <row r="13441" spans="27:27" ht="17.899999999999999" customHeight="1">
      <c r="AA13441"/>
    </row>
    <row r="13442" spans="27:27" ht="17.899999999999999" customHeight="1">
      <c r="AA13442"/>
    </row>
    <row r="13443" spans="27:27" ht="17.899999999999999" customHeight="1">
      <c r="AA13443"/>
    </row>
    <row r="13444" spans="27:27" ht="17.899999999999999" customHeight="1">
      <c r="AA13444"/>
    </row>
    <row r="13445" spans="27:27" ht="17.899999999999999" customHeight="1">
      <c r="AA13445"/>
    </row>
    <row r="13446" spans="27:27" ht="17.899999999999999" customHeight="1">
      <c r="AA13446"/>
    </row>
    <row r="13447" spans="27:27" ht="17.899999999999999" customHeight="1">
      <c r="AA13447"/>
    </row>
    <row r="13448" spans="27:27" ht="17.899999999999999" customHeight="1">
      <c r="AA13448"/>
    </row>
    <row r="13449" spans="27:27" ht="17.899999999999999" customHeight="1">
      <c r="AA13449"/>
    </row>
    <row r="13450" spans="27:27" ht="17.899999999999999" customHeight="1">
      <c r="AA13450"/>
    </row>
    <row r="13451" spans="27:27" ht="17.899999999999999" customHeight="1">
      <c r="AA13451"/>
    </row>
    <row r="13452" spans="27:27" ht="17.899999999999999" customHeight="1">
      <c r="AA13452"/>
    </row>
    <row r="13453" spans="27:27" ht="17.899999999999999" customHeight="1">
      <c r="AA13453"/>
    </row>
    <row r="13454" spans="27:27" ht="17.899999999999999" customHeight="1">
      <c r="AA13454"/>
    </row>
    <row r="13455" spans="27:27" ht="17.899999999999999" customHeight="1">
      <c r="AA13455"/>
    </row>
    <row r="13456" spans="27:27" ht="17.899999999999999" customHeight="1">
      <c r="AA13456"/>
    </row>
    <row r="13457" spans="27:27" ht="17.899999999999999" customHeight="1">
      <c r="AA13457"/>
    </row>
    <row r="13458" spans="27:27" ht="17.899999999999999" customHeight="1">
      <c r="AA13458"/>
    </row>
    <row r="13459" spans="27:27" ht="17.899999999999999" customHeight="1">
      <c r="AA13459"/>
    </row>
    <row r="13460" spans="27:27" ht="17.899999999999999" customHeight="1">
      <c r="AA13460"/>
    </row>
    <row r="13461" spans="27:27" ht="17.899999999999999" customHeight="1">
      <c r="AA13461"/>
    </row>
    <row r="13462" spans="27:27" ht="17.899999999999999" customHeight="1">
      <c r="AA13462"/>
    </row>
    <row r="13463" spans="27:27" ht="17.899999999999999" customHeight="1">
      <c r="AA13463"/>
    </row>
    <row r="13464" spans="27:27" ht="17.899999999999999" customHeight="1">
      <c r="AA13464"/>
    </row>
    <row r="13465" spans="27:27" ht="17.899999999999999" customHeight="1">
      <c r="AA13465"/>
    </row>
    <row r="13466" spans="27:27" ht="17.899999999999999" customHeight="1">
      <c r="AA13466"/>
    </row>
    <row r="13467" spans="27:27" ht="17.899999999999999" customHeight="1">
      <c r="AA13467"/>
    </row>
    <row r="13468" spans="27:27" ht="17.899999999999999" customHeight="1">
      <c r="AA13468"/>
    </row>
    <row r="13469" spans="27:27" ht="17.899999999999999" customHeight="1">
      <c r="AA13469"/>
    </row>
    <row r="13470" spans="27:27" ht="17.899999999999999" customHeight="1">
      <c r="AA13470"/>
    </row>
    <row r="13471" spans="27:27" ht="17.899999999999999" customHeight="1">
      <c r="AA13471"/>
    </row>
    <row r="13472" spans="27:27" ht="17.899999999999999" customHeight="1">
      <c r="AA13472"/>
    </row>
    <row r="13473" spans="27:27" ht="17.899999999999999" customHeight="1">
      <c r="AA13473"/>
    </row>
    <row r="13474" spans="27:27" ht="17.899999999999999" customHeight="1">
      <c r="AA13474"/>
    </row>
    <row r="13475" spans="27:27" ht="17.899999999999999" customHeight="1">
      <c r="AA13475"/>
    </row>
    <row r="13476" spans="27:27" ht="17.899999999999999" customHeight="1">
      <c r="AA13476"/>
    </row>
    <row r="13477" spans="27:27" ht="17.899999999999999" customHeight="1">
      <c r="AA13477"/>
    </row>
    <row r="13478" spans="27:27" ht="17.899999999999999" customHeight="1">
      <c r="AA13478"/>
    </row>
    <row r="13479" spans="27:27" ht="17.899999999999999" customHeight="1">
      <c r="AA13479"/>
    </row>
    <row r="13480" spans="27:27" ht="17.899999999999999" customHeight="1">
      <c r="AA13480"/>
    </row>
    <row r="13481" spans="27:27" ht="17.899999999999999" customHeight="1">
      <c r="AA13481"/>
    </row>
    <row r="13482" spans="27:27" ht="17.899999999999999" customHeight="1">
      <c r="AA13482"/>
    </row>
    <row r="13483" spans="27:27" ht="17.899999999999999" customHeight="1">
      <c r="AA13483"/>
    </row>
    <row r="13484" spans="27:27" ht="17.899999999999999" customHeight="1">
      <c r="AA13484"/>
    </row>
    <row r="13485" spans="27:27" ht="17.899999999999999" customHeight="1">
      <c r="AA13485"/>
    </row>
    <row r="13486" spans="27:27" ht="17.899999999999999" customHeight="1">
      <c r="AA13486"/>
    </row>
    <row r="13487" spans="27:27" ht="17.899999999999999" customHeight="1">
      <c r="AA13487"/>
    </row>
    <row r="13488" spans="27:27" ht="17.899999999999999" customHeight="1">
      <c r="AA13488"/>
    </row>
    <row r="13489" spans="27:27" ht="17.899999999999999" customHeight="1">
      <c r="AA13489"/>
    </row>
    <row r="13490" spans="27:27" ht="17.899999999999999" customHeight="1">
      <c r="AA13490"/>
    </row>
    <row r="13491" spans="27:27" ht="17.899999999999999" customHeight="1">
      <c r="AA13491"/>
    </row>
    <row r="13492" spans="27:27" ht="17.899999999999999" customHeight="1">
      <c r="AA13492"/>
    </row>
    <row r="13493" spans="27:27" ht="17.899999999999999" customHeight="1">
      <c r="AA13493"/>
    </row>
    <row r="13494" spans="27:27" ht="17.899999999999999" customHeight="1">
      <c r="AA13494"/>
    </row>
    <row r="13495" spans="27:27" ht="17.899999999999999" customHeight="1">
      <c r="AA13495"/>
    </row>
    <row r="13496" spans="27:27" ht="17.899999999999999" customHeight="1">
      <c r="AA13496"/>
    </row>
    <row r="13497" spans="27:27" ht="17.899999999999999" customHeight="1">
      <c r="AA13497"/>
    </row>
    <row r="13498" spans="27:27" ht="17.899999999999999" customHeight="1">
      <c r="AA13498"/>
    </row>
    <row r="13499" spans="27:27" ht="17.899999999999999" customHeight="1">
      <c r="AA13499"/>
    </row>
    <row r="13500" spans="27:27" ht="17.899999999999999" customHeight="1">
      <c r="AA13500"/>
    </row>
    <row r="13501" spans="27:27" ht="17.899999999999999" customHeight="1">
      <c r="AA13501"/>
    </row>
    <row r="13502" spans="27:27" ht="17.899999999999999" customHeight="1">
      <c r="AA13502"/>
    </row>
    <row r="13503" spans="27:27" ht="17.899999999999999" customHeight="1">
      <c r="AA13503"/>
    </row>
    <row r="13504" spans="27:27" ht="17.899999999999999" customHeight="1">
      <c r="AA13504"/>
    </row>
    <row r="13505" spans="27:27" ht="17.899999999999999" customHeight="1">
      <c r="AA13505"/>
    </row>
    <row r="13506" spans="27:27" ht="17.899999999999999" customHeight="1">
      <c r="AA13506"/>
    </row>
    <row r="13507" spans="27:27" ht="17.899999999999999" customHeight="1">
      <c r="AA13507"/>
    </row>
    <row r="13508" spans="27:27" ht="17.899999999999999" customHeight="1">
      <c r="AA13508"/>
    </row>
    <row r="13509" spans="27:27" ht="17.899999999999999" customHeight="1">
      <c r="AA13509"/>
    </row>
    <row r="13510" spans="27:27" ht="17.899999999999999" customHeight="1">
      <c r="AA13510"/>
    </row>
    <row r="13511" spans="27:27" ht="17.899999999999999" customHeight="1">
      <c r="AA13511"/>
    </row>
    <row r="13512" spans="27:27" ht="17.899999999999999" customHeight="1">
      <c r="AA13512"/>
    </row>
    <row r="13513" spans="27:27" ht="17.899999999999999" customHeight="1">
      <c r="AA13513"/>
    </row>
    <row r="13514" spans="27:27" ht="17.899999999999999" customHeight="1">
      <c r="AA13514"/>
    </row>
    <row r="13515" spans="27:27" ht="17.899999999999999" customHeight="1">
      <c r="AA13515"/>
    </row>
    <row r="13516" spans="27:27" ht="17.899999999999999" customHeight="1">
      <c r="AA13516"/>
    </row>
    <row r="13517" spans="27:27" ht="17.899999999999999" customHeight="1">
      <c r="AA13517"/>
    </row>
    <row r="13518" spans="27:27" ht="17.899999999999999" customHeight="1">
      <c r="AA13518"/>
    </row>
    <row r="13519" spans="27:27" ht="17.899999999999999" customHeight="1">
      <c r="AA13519"/>
    </row>
    <row r="13520" spans="27:27" ht="17.899999999999999" customHeight="1">
      <c r="AA13520"/>
    </row>
    <row r="13521" spans="27:27" ht="17.899999999999999" customHeight="1">
      <c r="AA13521"/>
    </row>
    <row r="13522" spans="27:27" ht="17.899999999999999" customHeight="1">
      <c r="AA13522"/>
    </row>
    <row r="13523" spans="27:27" ht="17.899999999999999" customHeight="1">
      <c r="AA13523"/>
    </row>
    <row r="13524" spans="27:27" ht="17.899999999999999" customHeight="1">
      <c r="AA13524"/>
    </row>
    <row r="13525" spans="27:27" ht="17.899999999999999" customHeight="1">
      <c r="AA13525"/>
    </row>
    <row r="13526" spans="27:27" ht="17.899999999999999" customHeight="1">
      <c r="AA13526"/>
    </row>
    <row r="13527" spans="27:27" ht="17.899999999999999" customHeight="1">
      <c r="AA13527"/>
    </row>
    <row r="13528" spans="27:27" ht="17.899999999999999" customHeight="1">
      <c r="AA13528"/>
    </row>
    <row r="13529" spans="27:27" ht="17.899999999999999" customHeight="1">
      <c r="AA13529"/>
    </row>
    <row r="13530" spans="27:27" ht="17.899999999999999" customHeight="1">
      <c r="AA13530"/>
    </row>
    <row r="13531" spans="27:27" ht="17.899999999999999" customHeight="1">
      <c r="AA13531"/>
    </row>
    <row r="13532" spans="27:27" ht="17.899999999999999" customHeight="1">
      <c r="AA13532"/>
    </row>
    <row r="13533" spans="27:27" ht="17.899999999999999" customHeight="1">
      <c r="AA13533"/>
    </row>
    <row r="13534" spans="27:27" ht="17.899999999999999" customHeight="1">
      <c r="AA13534"/>
    </row>
    <row r="13535" spans="27:27" ht="17.899999999999999" customHeight="1">
      <c r="AA13535"/>
    </row>
    <row r="13536" spans="27:27" ht="17.899999999999999" customHeight="1">
      <c r="AA13536"/>
    </row>
    <row r="13537" spans="27:27" ht="17.899999999999999" customHeight="1">
      <c r="AA13537"/>
    </row>
    <row r="13538" spans="27:27" ht="17.899999999999999" customHeight="1">
      <c r="AA13538"/>
    </row>
    <row r="13539" spans="27:27" ht="17.899999999999999" customHeight="1">
      <c r="AA13539"/>
    </row>
    <row r="13540" spans="27:27" ht="17.899999999999999" customHeight="1">
      <c r="AA13540"/>
    </row>
    <row r="13541" spans="27:27" ht="17.899999999999999" customHeight="1">
      <c r="AA13541"/>
    </row>
    <row r="13542" spans="27:27" ht="17.899999999999999" customHeight="1">
      <c r="AA13542"/>
    </row>
    <row r="13543" spans="27:27" ht="17.899999999999999" customHeight="1">
      <c r="AA13543"/>
    </row>
    <row r="13544" spans="27:27" ht="17.899999999999999" customHeight="1">
      <c r="AA13544"/>
    </row>
    <row r="13545" spans="27:27" ht="17.899999999999999" customHeight="1">
      <c r="AA13545"/>
    </row>
    <row r="13546" spans="27:27" ht="17.899999999999999" customHeight="1">
      <c r="AA13546"/>
    </row>
    <row r="13547" spans="27:27" ht="17.899999999999999" customHeight="1">
      <c r="AA13547"/>
    </row>
    <row r="13548" spans="27:27" ht="17.899999999999999" customHeight="1">
      <c r="AA13548"/>
    </row>
    <row r="13549" spans="27:27" ht="17.899999999999999" customHeight="1">
      <c r="AA13549"/>
    </row>
    <row r="13550" spans="27:27" ht="17.899999999999999" customHeight="1">
      <c r="AA13550"/>
    </row>
    <row r="13551" spans="27:27" ht="17.899999999999999" customHeight="1">
      <c r="AA13551"/>
    </row>
    <row r="13552" spans="27:27" ht="17.899999999999999" customHeight="1">
      <c r="AA13552"/>
    </row>
    <row r="13553" spans="27:27" ht="17.899999999999999" customHeight="1">
      <c r="AA13553"/>
    </row>
    <row r="13554" spans="27:27" ht="17.899999999999999" customHeight="1">
      <c r="AA13554"/>
    </row>
    <row r="13555" spans="27:27" ht="17.899999999999999" customHeight="1">
      <c r="AA13555"/>
    </row>
    <row r="13556" spans="27:27" ht="17.899999999999999" customHeight="1">
      <c r="AA13556"/>
    </row>
    <row r="13557" spans="27:27" ht="17.899999999999999" customHeight="1">
      <c r="AA13557"/>
    </row>
    <row r="13558" spans="27:27" ht="17.899999999999999" customHeight="1">
      <c r="AA13558"/>
    </row>
    <row r="13559" spans="27:27" ht="17.899999999999999" customHeight="1">
      <c r="AA13559"/>
    </row>
    <row r="13560" spans="27:27" ht="17.899999999999999" customHeight="1">
      <c r="AA13560"/>
    </row>
    <row r="13561" spans="27:27" ht="17.899999999999999" customHeight="1">
      <c r="AA13561"/>
    </row>
    <row r="13562" spans="27:27" ht="17.899999999999999" customHeight="1">
      <c r="AA13562"/>
    </row>
    <row r="13563" spans="27:27" ht="17.899999999999999" customHeight="1">
      <c r="AA13563"/>
    </row>
    <row r="13564" spans="27:27" ht="17.899999999999999" customHeight="1">
      <c r="AA13564"/>
    </row>
    <row r="13565" spans="27:27" ht="17.899999999999999" customHeight="1">
      <c r="AA13565"/>
    </row>
    <row r="13566" spans="27:27" ht="17.899999999999999" customHeight="1">
      <c r="AA13566"/>
    </row>
    <row r="13567" spans="27:27" ht="17.899999999999999" customHeight="1">
      <c r="AA13567"/>
    </row>
    <row r="13568" spans="27:27" ht="17.899999999999999" customHeight="1">
      <c r="AA13568"/>
    </row>
    <row r="13569" spans="27:27" ht="17.899999999999999" customHeight="1">
      <c r="AA13569"/>
    </row>
    <row r="13570" spans="27:27" ht="17.899999999999999" customHeight="1">
      <c r="AA13570"/>
    </row>
    <row r="13571" spans="27:27" ht="17.899999999999999" customHeight="1">
      <c r="AA13571"/>
    </row>
    <row r="13572" spans="27:27" ht="17.899999999999999" customHeight="1">
      <c r="AA13572"/>
    </row>
    <row r="13573" spans="27:27" ht="17.899999999999999" customHeight="1">
      <c r="AA13573"/>
    </row>
    <row r="13574" spans="27:27" ht="17.899999999999999" customHeight="1">
      <c r="AA13574"/>
    </row>
    <row r="13575" spans="27:27" ht="17.899999999999999" customHeight="1">
      <c r="AA13575"/>
    </row>
    <row r="13576" spans="27:27" ht="17.899999999999999" customHeight="1">
      <c r="AA13576"/>
    </row>
    <row r="13577" spans="27:27" ht="17.899999999999999" customHeight="1">
      <c r="AA13577"/>
    </row>
    <row r="13578" spans="27:27" ht="17.899999999999999" customHeight="1">
      <c r="AA13578"/>
    </row>
    <row r="13579" spans="27:27" ht="17.899999999999999" customHeight="1">
      <c r="AA13579"/>
    </row>
    <row r="13580" spans="27:27" ht="17.899999999999999" customHeight="1">
      <c r="AA13580"/>
    </row>
    <row r="13581" spans="27:27" ht="17.899999999999999" customHeight="1">
      <c r="AA13581"/>
    </row>
    <row r="13582" spans="27:27" ht="17.899999999999999" customHeight="1">
      <c r="AA13582"/>
    </row>
    <row r="13583" spans="27:27" ht="17.899999999999999" customHeight="1">
      <c r="AA13583"/>
    </row>
    <row r="13584" spans="27:27" ht="17.899999999999999" customHeight="1">
      <c r="AA13584"/>
    </row>
    <row r="13585" spans="27:27" ht="17.899999999999999" customHeight="1">
      <c r="AA13585"/>
    </row>
    <row r="13586" spans="27:27" ht="17.899999999999999" customHeight="1">
      <c r="AA13586"/>
    </row>
    <row r="13587" spans="27:27" ht="17.899999999999999" customHeight="1">
      <c r="AA13587"/>
    </row>
    <row r="13588" spans="27:27" ht="17.899999999999999" customHeight="1">
      <c r="AA13588"/>
    </row>
    <row r="13589" spans="27:27" ht="17.899999999999999" customHeight="1">
      <c r="AA13589"/>
    </row>
    <row r="13590" spans="27:27" ht="17.899999999999999" customHeight="1">
      <c r="AA13590"/>
    </row>
    <row r="13591" spans="27:27" ht="17.899999999999999" customHeight="1">
      <c r="AA13591"/>
    </row>
    <row r="13592" spans="27:27" ht="17.899999999999999" customHeight="1">
      <c r="AA13592"/>
    </row>
    <row r="13593" spans="27:27" ht="17.899999999999999" customHeight="1">
      <c r="AA13593"/>
    </row>
    <row r="13594" spans="27:27" ht="17.899999999999999" customHeight="1">
      <c r="AA13594"/>
    </row>
    <row r="13595" spans="27:27" ht="17.899999999999999" customHeight="1">
      <c r="AA13595"/>
    </row>
    <row r="13596" spans="27:27" ht="17.899999999999999" customHeight="1">
      <c r="AA13596"/>
    </row>
    <row r="13597" spans="27:27" ht="17.899999999999999" customHeight="1">
      <c r="AA13597"/>
    </row>
    <row r="13598" spans="27:27" ht="17.899999999999999" customHeight="1">
      <c r="AA13598"/>
    </row>
    <row r="13599" spans="27:27" ht="17.899999999999999" customHeight="1">
      <c r="AA13599"/>
    </row>
    <row r="13600" spans="27:27" ht="17.899999999999999" customHeight="1">
      <c r="AA13600"/>
    </row>
    <row r="13601" spans="27:27" ht="17.899999999999999" customHeight="1">
      <c r="AA13601"/>
    </row>
    <row r="13602" spans="27:27" ht="17.899999999999999" customHeight="1">
      <c r="AA13602"/>
    </row>
    <row r="13603" spans="27:27" ht="17.899999999999999" customHeight="1">
      <c r="AA13603"/>
    </row>
    <row r="13604" spans="27:27" ht="17.899999999999999" customHeight="1">
      <c r="AA13604"/>
    </row>
    <row r="13605" spans="27:27" ht="17.899999999999999" customHeight="1">
      <c r="AA13605"/>
    </row>
    <row r="13606" spans="27:27" ht="17.899999999999999" customHeight="1">
      <c r="AA13606"/>
    </row>
    <row r="13607" spans="27:27" ht="17.899999999999999" customHeight="1">
      <c r="AA13607"/>
    </row>
    <row r="13608" spans="27:27" ht="17.899999999999999" customHeight="1">
      <c r="AA13608"/>
    </row>
    <row r="13609" spans="27:27" ht="17.899999999999999" customHeight="1">
      <c r="AA13609"/>
    </row>
    <row r="13610" spans="27:27" ht="17.899999999999999" customHeight="1">
      <c r="AA13610"/>
    </row>
    <row r="13611" spans="27:27" ht="17.899999999999999" customHeight="1">
      <c r="AA13611"/>
    </row>
    <row r="13612" spans="27:27" ht="17.899999999999999" customHeight="1">
      <c r="AA13612"/>
    </row>
    <row r="13613" spans="27:27" ht="17.899999999999999" customHeight="1">
      <c r="AA13613"/>
    </row>
    <row r="13614" spans="27:27" ht="17.899999999999999" customHeight="1">
      <c r="AA13614"/>
    </row>
    <row r="13615" spans="27:27" ht="17.899999999999999" customHeight="1">
      <c r="AA13615"/>
    </row>
    <row r="13616" spans="27:27" ht="17.899999999999999" customHeight="1">
      <c r="AA13616"/>
    </row>
    <row r="13617" spans="27:27" ht="17.899999999999999" customHeight="1">
      <c r="AA13617"/>
    </row>
    <row r="13618" spans="27:27" ht="17.899999999999999" customHeight="1">
      <c r="AA13618"/>
    </row>
    <row r="13619" spans="27:27" ht="17.899999999999999" customHeight="1">
      <c r="AA13619"/>
    </row>
    <row r="13620" spans="27:27" ht="17.899999999999999" customHeight="1">
      <c r="AA13620"/>
    </row>
    <row r="13621" spans="27:27" ht="17.899999999999999" customHeight="1">
      <c r="AA13621"/>
    </row>
    <row r="13622" spans="27:27" ht="17.899999999999999" customHeight="1">
      <c r="AA13622"/>
    </row>
    <row r="13623" spans="27:27" ht="17.899999999999999" customHeight="1">
      <c r="AA13623"/>
    </row>
    <row r="13624" spans="27:27" ht="17.899999999999999" customHeight="1">
      <c r="AA13624"/>
    </row>
    <row r="13625" spans="27:27" ht="17.899999999999999" customHeight="1">
      <c r="AA13625"/>
    </row>
    <row r="13626" spans="27:27" ht="17.899999999999999" customHeight="1">
      <c r="AA13626"/>
    </row>
    <row r="13627" spans="27:27" ht="17.899999999999999" customHeight="1">
      <c r="AA13627"/>
    </row>
    <row r="13628" spans="27:27" ht="17.899999999999999" customHeight="1">
      <c r="AA13628"/>
    </row>
    <row r="13629" spans="27:27" ht="17.899999999999999" customHeight="1">
      <c r="AA13629"/>
    </row>
    <row r="13630" spans="27:27" ht="17.899999999999999" customHeight="1">
      <c r="AA13630"/>
    </row>
    <row r="13631" spans="27:27" ht="17.899999999999999" customHeight="1">
      <c r="AA13631"/>
    </row>
    <row r="13632" spans="27:27" ht="17.899999999999999" customHeight="1">
      <c r="AA13632"/>
    </row>
    <row r="13633" spans="27:27" ht="17.899999999999999" customHeight="1">
      <c r="AA13633"/>
    </row>
    <row r="13634" spans="27:27" ht="17.899999999999999" customHeight="1">
      <c r="AA13634"/>
    </row>
    <row r="13635" spans="27:27" ht="17.899999999999999" customHeight="1">
      <c r="AA13635"/>
    </row>
    <row r="13636" spans="27:27" ht="17.899999999999999" customHeight="1">
      <c r="AA13636"/>
    </row>
    <row r="13637" spans="27:27" ht="17.899999999999999" customHeight="1">
      <c r="AA13637"/>
    </row>
    <row r="13638" spans="27:27" ht="17.899999999999999" customHeight="1">
      <c r="AA13638"/>
    </row>
    <row r="13639" spans="27:27" ht="17.899999999999999" customHeight="1">
      <c r="AA13639"/>
    </row>
    <row r="13640" spans="27:27" ht="17.899999999999999" customHeight="1">
      <c r="AA13640"/>
    </row>
    <row r="13641" spans="27:27" ht="17.899999999999999" customHeight="1">
      <c r="AA13641"/>
    </row>
    <row r="13642" spans="27:27" ht="17.899999999999999" customHeight="1">
      <c r="AA13642"/>
    </row>
    <row r="13643" spans="27:27" ht="17.899999999999999" customHeight="1">
      <c r="AA13643"/>
    </row>
    <row r="13644" spans="27:27" ht="17.899999999999999" customHeight="1">
      <c r="AA13644"/>
    </row>
    <row r="13645" spans="27:27" ht="17.899999999999999" customHeight="1">
      <c r="AA13645"/>
    </row>
    <row r="13646" spans="27:27" ht="17.899999999999999" customHeight="1">
      <c r="AA13646"/>
    </row>
    <row r="13647" spans="27:27" ht="17.899999999999999" customHeight="1">
      <c r="AA13647"/>
    </row>
    <row r="13648" spans="27:27" ht="17.899999999999999" customHeight="1">
      <c r="AA13648"/>
    </row>
    <row r="13649" spans="27:27" ht="17.899999999999999" customHeight="1">
      <c r="AA13649"/>
    </row>
    <row r="13650" spans="27:27" ht="17.899999999999999" customHeight="1">
      <c r="AA13650"/>
    </row>
    <row r="13651" spans="27:27" ht="17.899999999999999" customHeight="1">
      <c r="AA13651"/>
    </row>
    <row r="13652" spans="27:27" ht="17.899999999999999" customHeight="1">
      <c r="AA13652"/>
    </row>
    <row r="13653" spans="27:27" ht="17.899999999999999" customHeight="1">
      <c r="AA13653"/>
    </row>
    <row r="13654" spans="27:27" ht="17.899999999999999" customHeight="1">
      <c r="AA13654"/>
    </row>
    <row r="13655" spans="27:27" ht="17.899999999999999" customHeight="1">
      <c r="AA13655"/>
    </row>
    <row r="13656" spans="27:27" ht="17.899999999999999" customHeight="1">
      <c r="AA13656"/>
    </row>
    <row r="13657" spans="27:27" ht="17.899999999999999" customHeight="1">
      <c r="AA13657"/>
    </row>
    <row r="13658" spans="27:27" ht="17.899999999999999" customHeight="1">
      <c r="AA13658"/>
    </row>
    <row r="13659" spans="27:27" ht="17.899999999999999" customHeight="1">
      <c r="AA13659"/>
    </row>
    <row r="13660" spans="27:27" ht="17.899999999999999" customHeight="1">
      <c r="AA13660"/>
    </row>
    <row r="13661" spans="27:27" ht="17.899999999999999" customHeight="1">
      <c r="AA13661"/>
    </row>
    <row r="13662" spans="27:27" ht="17.899999999999999" customHeight="1">
      <c r="AA13662"/>
    </row>
    <row r="13663" spans="27:27" ht="17.899999999999999" customHeight="1">
      <c r="AA13663"/>
    </row>
    <row r="13664" spans="27:27" ht="17.899999999999999" customHeight="1">
      <c r="AA13664"/>
    </row>
    <row r="13665" spans="27:27" ht="17.899999999999999" customHeight="1">
      <c r="AA13665"/>
    </row>
    <row r="13666" spans="27:27" ht="17.899999999999999" customHeight="1">
      <c r="AA13666"/>
    </row>
    <row r="13667" spans="27:27" ht="17.899999999999999" customHeight="1">
      <c r="AA13667"/>
    </row>
    <row r="13668" spans="27:27" ht="17.899999999999999" customHeight="1">
      <c r="AA13668"/>
    </row>
    <row r="13669" spans="27:27" ht="17.899999999999999" customHeight="1">
      <c r="AA13669"/>
    </row>
    <row r="13670" spans="27:27" ht="17.899999999999999" customHeight="1">
      <c r="AA13670"/>
    </row>
    <row r="13671" spans="27:27" ht="17.899999999999999" customHeight="1">
      <c r="AA13671"/>
    </row>
    <row r="13672" spans="27:27" ht="17.899999999999999" customHeight="1">
      <c r="AA13672"/>
    </row>
    <row r="13673" spans="27:27" ht="17.899999999999999" customHeight="1">
      <c r="AA13673"/>
    </row>
    <row r="13674" spans="27:27" ht="17.899999999999999" customHeight="1">
      <c r="AA13674"/>
    </row>
    <row r="13675" spans="27:27" ht="17.899999999999999" customHeight="1">
      <c r="AA13675"/>
    </row>
    <row r="13676" spans="27:27" ht="17.899999999999999" customHeight="1">
      <c r="AA13676"/>
    </row>
    <row r="13677" spans="27:27" ht="17.899999999999999" customHeight="1">
      <c r="AA13677"/>
    </row>
    <row r="13678" spans="27:27" ht="17.899999999999999" customHeight="1">
      <c r="AA13678"/>
    </row>
    <row r="13679" spans="27:27" ht="17.899999999999999" customHeight="1">
      <c r="AA13679"/>
    </row>
    <row r="13680" spans="27:27" ht="17.899999999999999" customHeight="1">
      <c r="AA13680"/>
    </row>
    <row r="13681" spans="27:27" ht="17.899999999999999" customHeight="1">
      <c r="AA13681"/>
    </row>
    <row r="13682" spans="27:27" ht="17.899999999999999" customHeight="1">
      <c r="AA13682"/>
    </row>
    <row r="13683" spans="27:27" ht="17.899999999999999" customHeight="1">
      <c r="AA13683"/>
    </row>
    <row r="13684" spans="27:27" ht="17.899999999999999" customHeight="1">
      <c r="AA13684"/>
    </row>
    <row r="13685" spans="27:27" ht="17.899999999999999" customHeight="1">
      <c r="AA13685"/>
    </row>
    <row r="13686" spans="27:27" ht="17.899999999999999" customHeight="1">
      <c r="AA13686"/>
    </row>
    <row r="13687" spans="27:27" ht="17.899999999999999" customHeight="1">
      <c r="AA13687"/>
    </row>
    <row r="13688" spans="27:27" ht="17.899999999999999" customHeight="1">
      <c r="AA13688"/>
    </row>
    <row r="13689" spans="27:27" ht="17.899999999999999" customHeight="1">
      <c r="AA13689"/>
    </row>
    <row r="13690" spans="27:27" ht="17.899999999999999" customHeight="1">
      <c r="AA13690"/>
    </row>
    <row r="13691" spans="27:27" ht="17.899999999999999" customHeight="1">
      <c r="AA13691"/>
    </row>
    <row r="13692" spans="27:27" ht="17.899999999999999" customHeight="1">
      <c r="AA13692"/>
    </row>
    <row r="13693" spans="27:27" ht="17.899999999999999" customHeight="1">
      <c r="AA13693"/>
    </row>
    <row r="13694" spans="27:27" ht="17.899999999999999" customHeight="1">
      <c r="AA13694"/>
    </row>
    <row r="13695" spans="27:27" ht="17.899999999999999" customHeight="1">
      <c r="AA13695"/>
    </row>
    <row r="13696" spans="27:27" ht="17.899999999999999" customHeight="1">
      <c r="AA13696"/>
    </row>
    <row r="13697" spans="27:27" ht="17.899999999999999" customHeight="1">
      <c r="AA13697"/>
    </row>
    <row r="13698" spans="27:27" ht="17.899999999999999" customHeight="1">
      <c r="AA13698"/>
    </row>
    <row r="13699" spans="27:27" ht="17.899999999999999" customHeight="1">
      <c r="AA13699"/>
    </row>
    <row r="13700" spans="27:27" ht="17.899999999999999" customHeight="1">
      <c r="AA13700"/>
    </row>
    <row r="13701" spans="27:27" ht="17.899999999999999" customHeight="1">
      <c r="AA13701"/>
    </row>
    <row r="13702" spans="27:27" ht="17.899999999999999" customHeight="1">
      <c r="AA13702"/>
    </row>
    <row r="13703" spans="27:27" ht="17.899999999999999" customHeight="1">
      <c r="AA13703"/>
    </row>
    <row r="13704" spans="27:27" ht="17.899999999999999" customHeight="1">
      <c r="AA13704"/>
    </row>
    <row r="13705" spans="27:27" ht="17.899999999999999" customHeight="1">
      <c r="AA13705"/>
    </row>
    <row r="13706" spans="27:27" ht="17.899999999999999" customHeight="1">
      <c r="AA13706"/>
    </row>
    <row r="13707" spans="27:27" ht="17.899999999999999" customHeight="1">
      <c r="AA13707"/>
    </row>
    <row r="13708" spans="27:27" ht="17.899999999999999" customHeight="1">
      <c r="AA13708"/>
    </row>
    <row r="13709" spans="27:27" ht="17.899999999999999" customHeight="1">
      <c r="AA13709"/>
    </row>
    <row r="13710" spans="27:27" ht="17.899999999999999" customHeight="1">
      <c r="AA13710"/>
    </row>
    <row r="13711" spans="27:27" ht="17.899999999999999" customHeight="1">
      <c r="AA13711"/>
    </row>
    <row r="13712" spans="27:27" ht="17.899999999999999" customHeight="1">
      <c r="AA13712"/>
    </row>
    <row r="13713" spans="27:27" ht="17.899999999999999" customHeight="1">
      <c r="AA13713"/>
    </row>
    <row r="13714" spans="27:27" ht="17.899999999999999" customHeight="1">
      <c r="AA13714"/>
    </row>
    <row r="13715" spans="27:27" ht="17.899999999999999" customHeight="1">
      <c r="AA13715"/>
    </row>
    <row r="13716" spans="27:27" ht="17.899999999999999" customHeight="1">
      <c r="AA13716"/>
    </row>
    <row r="13717" spans="27:27" ht="17.899999999999999" customHeight="1">
      <c r="AA13717"/>
    </row>
    <row r="13718" spans="27:27" ht="17.899999999999999" customHeight="1">
      <c r="AA13718"/>
    </row>
    <row r="13719" spans="27:27" ht="17.899999999999999" customHeight="1">
      <c r="AA13719"/>
    </row>
    <row r="13720" spans="27:27" ht="17.899999999999999" customHeight="1">
      <c r="AA13720"/>
    </row>
    <row r="13721" spans="27:27" ht="17.899999999999999" customHeight="1">
      <c r="AA13721"/>
    </row>
    <row r="13722" spans="27:27" ht="17.899999999999999" customHeight="1">
      <c r="AA13722"/>
    </row>
    <row r="13723" spans="27:27" ht="17.899999999999999" customHeight="1">
      <c r="AA13723"/>
    </row>
    <row r="13724" spans="27:27" ht="17.899999999999999" customHeight="1">
      <c r="AA13724"/>
    </row>
    <row r="13725" spans="27:27" ht="17.899999999999999" customHeight="1">
      <c r="AA13725"/>
    </row>
    <row r="13726" spans="27:27" ht="17.899999999999999" customHeight="1">
      <c r="AA13726"/>
    </row>
    <row r="13727" spans="27:27" ht="17.899999999999999" customHeight="1">
      <c r="AA13727"/>
    </row>
    <row r="13728" spans="27:27" ht="17.899999999999999" customHeight="1">
      <c r="AA13728"/>
    </row>
    <row r="13729" spans="27:27" ht="17.899999999999999" customHeight="1">
      <c r="AA13729"/>
    </row>
    <row r="13730" spans="27:27" ht="17.899999999999999" customHeight="1">
      <c r="AA13730"/>
    </row>
    <row r="13731" spans="27:27" ht="17.899999999999999" customHeight="1">
      <c r="AA13731"/>
    </row>
    <row r="13732" spans="27:27" ht="17.899999999999999" customHeight="1">
      <c r="AA13732"/>
    </row>
    <row r="13733" spans="27:27" ht="17.899999999999999" customHeight="1">
      <c r="AA13733"/>
    </row>
    <row r="13734" spans="27:27" ht="17.899999999999999" customHeight="1">
      <c r="AA13734"/>
    </row>
    <row r="13735" spans="27:27" ht="17.899999999999999" customHeight="1">
      <c r="AA13735"/>
    </row>
    <row r="13736" spans="27:27" ht="17.899999999999999" customHeight="1">
      <c r="AA13736"/>
    </row>
    <row r="13737" spans="27:27" ht="17.899999999999999" customHeight="1">
      <c r="AA13737"/>
    </row>
    <row r="13738" spans="27:27" ht="17.899999999999999" customHeight="1">
      <c r="AA13738"/>
    </row>
    <row r="13739" spans="27:27" ht="17.899999999999999" customHeight="1">
      <c r="AA13739"/>
    </row>
    <row r="13740" spans="27:27" ht="17.899999999999999" customHeight="1">
      <c r="AA13740"/>
    </row>
    <row r="13741" spans="27:27" ht="17.899999999999999" customHeight="1">
      <c r="AA13741"/>
    </row>
    <row r="13742" spans="27:27" ht="17.899999999999999" customHeight="1">
      <c r="AA13742"/>
    </row>
    <row r="13743" spans="27:27" ht="17.899999999999999" customHeight="1">
      <c r="AA13743"/>
    </row>
    <row r="13744" spans="27:27" ht="17.899999999999999" customHeight="1">
      <c r="AA13744"/>
    </row>
    <row r="13745" spans="27:27" ht="17.899999999999999" customHeight="1">
      <c r="AA13745"/>
    </row>
    <row r="13746" spans="27:27" ht="17.899999999999999" customHeight="1">
      <c r="AA13746"/>
    </row>
    <row r="13747" spans="27:27" ht="17.899999999999999" customHeight="1">
      <c r="AA13747"/>
    </row>
    <row r="13748" spans="27:27" ht="17.899999999999999" customHeight="1">
      <c r="AA13748"/>
    </row>
    <row r="13749" spans="27:27" ht="17.899999999999999" customHeight="1">
      <c r="AA13749"/>
    </row>
    <row r="13750" spans="27:27" ht="17.899999999999999" customHeight="1">
      <c r="AA13750"/>
    </row>
    <row r="13751" spans="27:27" ht="17.899999999999999" customHeight="1">
      <c r="AA13751"/>
    </row>
    <row r="13752" spans="27:27" ht="17.899999999999999" customHeight="1">
      <c r="AA13752"/>
    </row>
    <row r="13753" spans="27:27" ht="17.899999999999999" customHeight="1">
      <c r="AA13753"/>
    </row>
    <row r="13754" spans="27:27" ht="17.899999999999999" customHeight="1">
      <c r="AA13754"/>
    </row>
    <row r="13755" spans="27:27" ht="17.899999999999999" customHeight="1">
      <c r="AA13755"/>
    </row>
    <row r="13756" spans="27:27" ht="17.899999999999999" customHeight="1">
      <c r="AA13756"/>
    </row>
    <row r="13757" spans="27:27" ht="17.899999999999999" customHeight="1">
      <c r="AA13757"/>
    </row>
    <row r="13758" spans="27:27" ht="17.899999999999999" customHeight="1">
      <c r="AA13758"/>
    </row>
    <row r="13759" spans="27:27" ht="17.899999999999999" customHeight="1">
      <c r="AA13759"/>
    </row>
    <row r="13760" spans="27:27" ht="17.899999999999999" customHeight="1">
      <c r="AA13760"/>
    </row>
    <row r="13761" spans="27:27" ht="17.899999999999999" customHeight="1">
      <c r="AA13761"/>
    </row>
    <row r="13762" spans="27:27" ht="17.899999999999999" customHeight="1">
      <c r="AA13762"/>
    </row>
    <row r="13763" spans="27:27" ht="17.899999999999999" customHeight="1">
      <c r="AA13763"/>
    </row>
    <row r="13764" spans="27:27" ht="17.899999999999999" customHeight="1">
      <c r="AA13764"/>
    </row>
    <row r="13765" spans="27:27" ht="17.899999999999999" customHeight="1">
      <c r="AA13765"/>
    </row>
    <row r="13766" spans="27:27" ht="17.899999999999999" customHeight="1">
      <c r="AA13766"/>
    </row>
    <row r="13767" spans="27:27" ht="17.899999999999999" customHeight="1">
      <c r="AA13767"/>
    </row>
    <row r="13768" spans="27:27" ht="17.899999999999999" customHeight="1">
      <c r="AA13768"/>
    </row>
    <row r="13769" spans="27:27" ht="17.899999999999999" customHeight="1">
      <c r="AA13769"/>
    </row>
    <row r="13770" spans="27:27" ht="17.899999999999999" customHeight="1">
      <c r="AA13770"/>
    </row>
    <row r="13771" spans="27:27" ht="17.899999999999999" customHeight="1">
      <c r="AA13771"/>
    </row>
    <row r="13772" spans="27:27" ht="17.899999999999999" customHeight="1">
      <c r="AA13772"/>
    </row>
    <row r="13773" spans="27:27" ht="17.899999999999999" customHeight="1">
      <c r="AA13773"/>
    </row>
    <row r="13774" spans="27:27" ht="17.899999999999999" customHeight="1">
      <c r="AA13774"/>
    </row>
    <row r="13775" spans="27:27" ht="17.899999999999999" customHeight="1">
      <c r="AA13775"/>
    </row>
    <row r="13776" spans="27:27" ht="17.899999999999999" customHeight="1">
      <c r="AA13776"/>
    </row>
    <row r="13777" spans="27:27" ht="17.899999999999999" customHeight="1">
      <c r="AA13777"/>
    </row>
    <row r="13778" spans="27:27" ht="17.899999999999999" customHeight="1">
      <c r="AA13778"/>
    </row>
    <row r="13779" spans="27:27" ht="17.899999999999999" customHeight="1">
      <c r="AA13779"/>
    </row>
    <row r="13780" spans="27:27" ht="17.899999999999999" customHeight="1">
      <c r="AA13780"/>
    </row>
    <row r="13781" spans="27:27" ht="17.899999999999999" customHeight="1">
      <c r="AA13781"/>
    </row>
    <row r="13782" spans="27:27" ht="17.899999999999999" customHeight="1">
      <c r="AA13782"/>
    </row>
    <row r="13783" spans="27:27" ht="17.899999999999999" customHeight="1">
      <c r="AA13783"/>
    </row>
    <row r="13784" spans="27:27" ht="17.899999999999999" customHeight="1">
      <c r="AA13784"/>
    </row>
    <row r="13785" spans="27:27" ht="17.899999999999999" customHeight="1">
      <c r="AA13785"/>
    </row>
    <row r="13786" spans="27:27" ht="17.899999999999999" customHeight="1">
      <c r="AA13786"/>
    </row>
    <row r="13787" spans="27:27" ht="17.899999999999999" customHeight="1">
      <c r="AA13787"/>
    </row>
    <row r="13788" spans="27:27" ht="17.899999999999999" customHeight="1">
      <c r="AA13788"/>
    </row>
    <row r="13789" spans="27:27" ht="17.899999999999999" customHeight="1">
      <c r="AA13789"/>
    </row>
    <row r="13790" spans="27:27" ht="17.899999999999999" customHeight="1">
      <c r="AA13790"/>
    </row>
    <row r="13791" spans="27:27" ht="17.899999999999999" customHeight="1">
      <c r="AA13791"/>
    </row>
    <row r="13792" spans="27:27" ht="17.899999999999999" customHeight="1">
      <c r="AA13792"/>
    </row>
    <row r="13793" spans="27:27" ht="17.899999999999999" customHeight="1">
      <c r="AA13793"/>
    </row>
    <row r="13794" spans="27:27" ht="17.899999999999999" customHeight="1">
      <c r="AA13794"/>
    </row>
    <row r="13795" spans="27:27" ht="17.899999999999999" customHeight="1">
      <c r="AA13795"/>
    </row>
    <row r="13796" spans="27:27" ht="17.899999999999999" customHeight="1">
      <c r="AA13796"/>
    </row>
    <row r="13797" spans="27:27" ht="17.899999999999999" customHeight="1">
      <c r="AA13797"/>
    </row>
    <row r="13798" spans="27:27" ht="17.899999999999999" customHeight="1">
      <c r="AA13798"/>
    </row>
    <row r="13799" spans="27:27" ht="17.899999999999999" customHeight="1">
      <c r="AA13799"/>
    </row>
    <row r="13800" spans="27:27" ht="17.899999999999999" customHeight="1">
      <c r="AA13800"/>
    </row>
    <row r="13801" spans="27:27" ht="17.899999999999999" customHeight="1">
      <c r="AA13801"/>
    </row>
    <row r="13802" spans="27:27" ht="17.899999999999999" customHeight="1">
      <c r="AA13802"/>
    </row>
    <row r="13803" spans="27:27" ht="17.899999999999999" customHeight="1">
      <c r="AA13803"/>
    </row>
    <row r="13804" spans="27:27" ht="17.899999999999999" customHeight="1">
      <c r="AA13804"/>
    </row>
    <row r="13805" spans="27:27" ht="17.899999999999999" customHeight="1">
      <c r="AA13805"/>
    </row>
    <row r="13806" spans="27:27" ht="17.899999999999999" customHeight="1">
      <c r="AA13806"/>
    </row>
    <row r="13807" spans="27:27" ht="17.899999999999999" customHeight="1">
      <c r="AA13807"/>
    </row>
    <row r="13808" spans="27:27" ht="17.899999999999999" customHeight="1">
      <c r="AA13808"/>
    </row>
    <row r="13809" spans="27:27" ht="17.899999999999999" customHeight="1">
      <c r="AA13809"/>
    </row>
    <row r="13810" spans="27:27" ht="17.899999999999999" customHeight="1">
      <c r="AA13810"/>
    </row>
    <row r="13811" spans="27:27" ht="17.899999999999999" customHeight="1">
      <c r="AA13811"/>
    </row>
    <row r="13812" spans="27:27" ht="17.899999999999999" customHeight="1">
      <c r="AA13812"/>
    </row>
    <row r="13813" spans="27:27" ht="17.899999999999999" customHeight="1">
      <c r="AA13813"/>
    </row>
    <row r="13814" spans="27:27" ht="17.899999999999999" customHeight="1">
      <c r="AA13814"/>
    </row>
    <row r="13815" spans="27:27" ht="17.899999999999999" customHeight="1">
      <c r="AA13815"/>
    </row>
    <row r="13816" spans="27:27" ht="17.899999999999999" customHeight="1">
      <c r="AA13816"/>
    </row>
    <row r="13817" spans="27:27" ht="17.899999999999999" customHeight="1">
      <c r="AA13817"/>
    </row>
    <row r="13818" spans="27:27" ht="17.899999999999999" customHeight="1">
      <c r="AA13818"/>
    </row>
    <row r="13819" spans="27:27" ht="17.899999999999999" customHeight="1">
      <c r="AA13819"/>
    </row>
    <row r="13820" spans="27:27" ht="17.899999999999999" customHeight="1">
      <c r="AA13820"/>
    </row>
    <row r="13821" spans="27:27" ht="17.899999999999999" customHeight="1">
      <c r="AA13821"/>
    </row>
    <row r="13822" spans="27:27" ht="17.899999999999999" customHeight="1">
      <c r="AA13822"/>
    </row>
    <row r="13823" spans="27:27" ht="17.899999999999999" customHeight="1">
      <c r="AA13823"/>
    </row>
    <row r="13824" spans="27:27" ht="17.899999999999999" customHeight="1">
      <c r="AA13824"/>
    </row>
    <row r="13825" spans="27:27" ht="17.899999999999999" customHeight="1">
      <c r="AA13825"/>
    </row>
    <row r="13826" spans="27:27" ht="17.899999999999999" customHeight="1">
      <c r="AA13826"/>
    </row>
    <row r="13827" spans="27:27" ht="17.899999999999999" customHeight="1">
      <c r="AA13827"/>
    </row>
    <row r="13828" spans="27:27" ht="17.899999999999999" customHeight="1">
      <c r="AA13828"/>
    </row>
    <row r="13829" spans="27:27" ht="17.899999999999999" customHeight="1">
      <c r="AA13829"/>
    </row>
    <row r="13830" spans="27:27" ht="17.899999999999999" customHeight="1">
      <c r="AA13830"/>
    </row>
    <row r="13831" spans="27:27" ht="17.899999999999999" customHeight="1">
      <c r="AA13831"/>
    </row>
    <row r="13832" spans="27:27" ht="17.899999999999999" customHeight="1">
      <c r="AA13832"/>
    </row>
    <row r="13833" spans="27:27" ht="17.899999999999999" customHeight="1">
      <c r="AA13833"/>
    </row>
    <row r="13834" spans="27:27" ht="17.899999999999999" customHeight="1">
      <c r="AA13834"/>
    </row>
    <row r="13835" spans="27:27" ht="17.899999999999999" customHeight="1">
      <c r="AA13835"/>
    </row>
    <row r="13836" spans="27:27" ht="17.899999999999999" customHeight="1">
      <c r="AA13836"/>
    </row>
    <row r="13837" spans="27:27" ht="17.899999999999999" customHeight="1">
      <c r="AA13837"/>
    </row>
    <row r="13838" spans="27:27" ht="17.899999999999999" customHeight="1">
      <c r="AA13838"/>
    </row>
    <row r="13839" spans="27:27" ht="17.899999999999999" customHeight="1">
      <c r="AA13839"/>
    </row>
    <row r="13840" spans="27:27" ht="17.899999999999999" customHeight="1">
      <c r="AA13840"/>
    </row>
    <row r="13841" spans="27:27" ht="17.899999999999999" customHeight="1">
      <c r="AA13841"/>
    </row>
    <row r="13842" spans="27:27" ht="17.899999999999999" customHeight="1">
      <c r="AA13842"/>
    </row>
    <row r="13843" spans="27:27" ht="17.899999999999999" customHeight="1">
      <c r="AA13843"/>
    </row>
    <row r="13844" spans="27:27" ht="17.899999999999999" customHeight="1">
      <c r="AA13844"/>
    </row>
    <row r="13845" spans="27:27" ht="17.899999999999999" customHeight="1">
      <c r="AA13845"/>
    </row>
    <row r="13846" spans="27:27" ht="17.899999999999999" customHeight="1">
      <c r="AA13846"/>
    </row>
    <row r="13847" spans="27:27" ht="17.899999999999999" customHeight="1">
      <c r="AA13847"/>
    </row>
    <row r="13848" spans="27:27" ht="17.899999999999999" customHeight="1">
      <c r="AA13848"/>
    </row>
    <row r="13849" spans="27:27" ht="17.899999999999999" customHeight="1">
      <c r="AA13849"/>
    </row>
    <row r="13850" spans="27:27" ht="17.899999999999999" customHeight="1">
      <c r="AA13850"/>
    </row>
    <row r="13851" spans="27:27" ht="17.899999999999999" customHeight="1">
      <c r="AA13851"/>
    </row>
    <row r="13852" spans="27:27" ht="17.899999999999999" customHeight="1">
      <c r="AA13852"/>
    </row>
    <row r="13853" spans="27:27" ht="17.899999999999999" customHeight="1">
      <c r="AA13853"/>
    </row>
    <row r="13854" spans="27:27" ht="17.899999999999999" customHeight="1">
      <c r="AA13854"/>
    </row>
    <row r="13855" spans="27:27" ht="17.899999999999999" customHeight="1">
      <c r="AA13855"/>
    </row>
    <row r="13856" spans="27:27" ht="17.899999999999999" customHeight="1">
      <c r="AA13856"/>
    </row>
    <row r="13857" spans="27:27" ht="17.899999999999999" customHeight="1">
      <c r="AA13857"/>
    </row>
    <row r="13858" spans="27:27" ht="17.899999999999999" customHeight="1">
      <c r="AA13858"/>
    </row>
    <row r="13859" spans="27:27" ht="17.899999999999999" customHeight="1">
      <c r="AA13859"/>
    </row>
    <row r="13860" spans="27:27" ht="17.899999999999999" customHeight="1">
      <c r="AA13860"/>
    </row>
    <row r="13861" spans="27:27" ht="17.899999999999999" customHeight="1">
      <c r="AA13861"/>
    </row>
    <row r="13862" spans="27:27" ht="17.899999999999999" customHeight="1">
      <c r="AA13862"/>
    </row>
    <row r="13863" spans="27:27" ht="17.899999999999999" customHeight="1">
      <c r="AA13863"/>
    </row>
    <row r="13864" spans="27:27" ht="17.899999999999999" customHeight="1">
      <c r="AA13864"/>
    </row>
    <row r="13865" spans="27:27" ht="17.899999999999999" customHeight="1">
      <c r="AA13865"/>
    </row>
    <row r="13866" spans="27:27" ht="17.899999999999999" customHeight="1">
      <c r="AA13866"/>
    </row>
    <row r="13867" spans="27:27" ht="17.899999999999999" customHeight="1">
      <c r="AA13867"/>
    </row>
    <row r="13868" spans="27:27" ht="17.899999999999999" customHeight="1">
      <c r="AA13868"/>
    </row>
    <row r="13869" spans="27:27" ht="17.899999999999999" customHeight="1">
      <c r="AA13869"/>
    </row>
    <row r="13870" spans="27:27" ht="17.899999999999999" customHeight="1">
      <c r="AA13870"/>
    </row>
    <row r="13871" spans="27:27" ht="17.899999999999999" customHeight="1">
      <c r="AA13871"/>
    </row>
    <row r="13872" spans="27:27" ht="17.899999999999999" customHeight="1">
      <c r="AA13872"/>
    </row>
    <row r="13873" spans="27:27" ht="17.899999999999999" customHeight="1">
      <c r="AA13873"/>
    </row>
    <row r="13874" spans="27:27" ht="17.899999999999999" customHeight="1">
      <c r="AA13874"/>
    </row>
    <row r="13875" spans="27:27" ht="17.899999999999999" customHeight="1">
      <c r="AA13875"/>
    </row>
    <row r="13876" spans="27:27" ht="17.899999999999999" customHeight="1">
      <c r="AA13876"/>
    </row>
    <row r="13877" spans="27:27" ht="17.899999999999999" customHeight="1">
      <c r="AA13877"/>
    </row>
    <row r="13878" spans="27:27" ht="17.899999999999999" customHeight="1">
      <c r="AA13878"/>
    </row>
    <row r="13879" spans="27:27" ht="17.899999999999999" customHeight="1">
      <c r="AA13879"/>
    </row>
    <row r="13880" spans="27:27" ht="17.899999999999999" customHeight="1">
      <c r="AA13880"/>
    </row>
    <row r="13881" spans="27:27" ht="17.899999999999999" customHeight="1">
      <c r="AA13881"/>
    </row>
    <row r="13882" spans="27:27" ht="17.899999999999999" customHeight="1">
      <c r="AA13882"/>
    </row>
    <row r="13883" spans="27:27" ht="17.899999999999999" customHeight="1">
      <c r="AA13883"/>
    </row>
    <row r="13884" spans="27:27" ht="17.899999999999999" customHeight="1">
      <c r="AA13884"/>
    </row>
    <row r="13885" spans="27:27" ht="17.899999999999999" customHeight="1">
      <c r="AA13885"/>
    </row>
    <row r="13886" spans="27:27" ht="17.899999999999999" customHeight="1">
      <c r="AA13886"/>
    </row>
    <row r="13887" spans="27:27" ht="17.899999999999999" customHeight="1">
      <c r="AA13887"/>
    </row>
    <row r="13888" spans="27:27" ht="17.899999999999999" customHeight="1">
      <c r="AA13888"/>
    </row>
    <row r="13889" spans="27:27" ht="17.899999999999999" customHeight="1">
      <c r="AA13889"/>
    </row>
    <row r="13890" spans="27:27" ht="17.899999999999999" customHeight="1">
      <c r="AA13890"/>
    </row>
    <row r="13891" spans="27:27" ht="17.899999999999999" customHeight="1">
      <c r="AA13891"/>
    </row>
    <row r="13892" spans="27:27" ht="17.899999999999999" customHeight="1">
      <c r="AA13892"/>
    </row>
    <row r="13893" spans="27:27" ht="17.899999999999999" customHeight="1">
      <c r="AA13893"/>
    </row>
    <row r="13894" spans="27:27" ht="17.899999999999999" customHeight="1">
      <c r="AA13894"/>
    </row>
    <row r="13895" spans="27:27" ht="17.899999999999999" customHeight="1">
      <c r="AA13895"/>
    </row>
    <row r="13896" spans="27:27" ht="17.899999999999999" customHeight="1">
      <c r="AA13896"/>
    </row>
    <row r="13897" spans="27:27" ht="17.899999999999999" customHeight="1">
      <c r="AA13897"/>
    </row>
    <row r="13898" spans="27:27" ht="17.899999999999999" customHeight="1">
      <c r="AA13898"/>
    </row>
    <row r="13899" spans="27:27" ht="17.899999999999999" customHeight="1">
      <c r="AA13899"/>
    </row>
    <row r="13900" spans="27:27" ht="17.899999999999999" customHeight="1">
      <c r="AA13900"/>
    </row>
    <row r="13901" spans="27:27" ht="17.899999999999999" customHeight="1">
      <c r="AA13901"/>
    </row>
    <row r="13902" spans="27:27" ht="17.899999999999999" customHeight="1">
      <c r="AA13902"/>
    </row>
    <row r="13903" spans="27:27" ht="17.899999999999999" customHeight="1">
      <c r="AA13903"/>
    </row>
    <row r="13904" spans="27:27" ht="17.899999999999999" customHeight="1">
      <c r="AA13904"/>
    </row>
    <row r="13905" spans="27:27" ht="17.899999999999999" customHeight="1">
      <c r="AA13905"/>
    </row>
    <row r="13906" spans="27:27" ht="17.899999999999999" customHeight="1">
      <c r="AA13906"/>
    </row>
    <row r="13907" spans="27:27" ht="17.899999999999999" customHeight="1">
      <c r="AA13907"/>
    </row>
    <row r="13908" spans="27:27" ht="17.899999999999999" customHeight="1">
      <c r="AA13908"/>
    </row>
    <row r="13909" spans="27:27" ht="17.899999999999999" customHeight="1">
      <c r="AA13909"/>
    </row>
    <row r="13910" spans="27:27" ht="17.899999999999999" customHeight="1">
      <c r="AA13910"/>
    </row>
    <row r="13911" spans="27:27" ht="17.899999999999999" customHeight="1">
      <c r="AA13911"/>
    </row>
    <row r="13912" spans="27:27" ht="17.899999999999999" customHeight="1">
      <c r="AA13912"/>
    </row>
    <row r="13913" spans="27:27" ht="17.899999999999999" customHeight="1">
      <c r="AA13913"/>
    </row>
    <row r="13914" spans="27:27" ht="17.899999999999999" customHeight="1">
      <c r="AA13914"/>
    </row>
    <row r="13915" spans="27:27" ht="17.899999999999999" customHeight="1">
      <c r="AA13915"/>
    </row>
    <row r="13916" spans="27:27" ht="17.899999999999999" customHeight="1">
      <c r="AA13916"/>
    </row>
    <row r="13917" spans="27:27" ht="17.899999999999999" customHeight="1">
      <c r="AA13917"/>
    </row>
    <row r="13918" spans="27:27" ht="17.899999999999999" customHeight="1">
      <c r="AA13918"/>
    </row>
    <row r="13919" spans="27:27" ht="17.899999999999999" customHeight="1">
      <c r="AA13919"/>
    </row>
    <row r="13920" spans="27:27" ht="17.899999999999999" customHeight="1">
      <c r="AA13920"/>
    </row>
    <row r="13921" spans="27:27" ht="17.899999999999999" customHeight="1">
      <c r="AA13921"/>
    </row>
    <row r="13922" spans="27:27" ht="17.899999999999999" customHeight="1">
      <c r="AA13922"/>
    </row>
    <row r="13923" spans="27:27" ht="17.899999999999999" customHeight="1">
      <c r="AA13923"/>
    </row>
    <row r="13924" spans="27:27" ht="17.899999999999999" customHeight="1">
      <c r="AA13924"/>
    </row>
    <row r="13925" spans="27:27" ht="17.899999999999999" customHeight="1">
      <c r="AA13925"/>
    </row>
    <row r="13926" spans="27:27" ht="17.899999999999999" customHeight="1">
      <c r="AA13926"/>
    </row>
    <row r="13927" spans="27:27" ht="17.899999999999999" customHeight="1">
      <c r="AA13927"/>
    </row>
    <row r="13928" spans="27:27" ht="17.899999999999999" customHeight="1">
      <c r="AA13928"/>
    </row>
    <row r="13929" spans="27:27" ht="17.899999999999999" customHeight="1">
      <c r="AA13929"/>
    </row>
    <row r="13930" spans="27:27" ht="17.899999999999999" customHeight="1">
      <c r="AA13930"/>
    </row>
    <row r="13931" spans="27:27" ht="17.899999999999999" customHeight="1">
      <c r="AA13931"/>
    </row>
    <row r="13932" spans="27:27" ht="17.899999999999999" customHeight="1">
      <c r="AA13932"/>
    </row>
    <row r="13933" spans="27:27" ht="17.899999999999999" customHeight="1">
      <c r="AA13933"/>
    </row>
    <row r="13934" spans="27:27" ht="17.899999999999999" customHeight="1">
      <c r="AA13934"/>
    </row>
    <row r="13935" spans="27:27" ht="17.899999999999999" customHeight="1">
      <c r="AA13935"/>
    </row>
    <row r="13936" spans="27:27" ht="17.899999999999999" customHeight="1">
      <c r="AA13936"/>
    </row>
    <row r="13937" spans="27:27" ht="17.899999999999999" customHeight="1">
      <c r="AA13937"/>
    </row>
    <row r="13938" spans="27:27" ht="17.899999999999999" customHeight="1">
      <c r="AA13938"/>
    </row>
    <row r="13939" spans="27:27" ht="17.899999999999999" customHeight="1">
      <c r="AA13939"/>
    </row>
    <row r="13940" spans="27:27" ht="17.899999999999999" customHeight="1">
      <c r="AA13940"/>
    </row>
    <row r="13941" spans="27:27" ht="17.899999999999999" customHeight="1">
      <c r="AA13941"/>
    </row>
    <row r="13942" spans="27:27" ht="17.899999999999999" customHeight="1">
      <c r="AA13942"/>
    </row>
    <row r="13943" spans="27:27" ht="17.899999999999999" customHeight="1">
      <c r="AA13943"/>
    </row>
    <row r="13944" spans="27:27" ht="17.899999999999999" customHeight="1">
      <c r="AA13944"/>
    </row>
    <row r="13945" spans="27:27" ht="17.899999999999999" customHeight="1">
      <c r="AA13945"/>
    </row>
    <row r="13946" spans="27:27" ht="17.899999999999999" customHeight="1">
      <c r="AA13946"/>
    </row>
    <row r="13947" spans="27:27" ht="17.899999999999999" customHeight="1">
      <c r="AA13947"/>
    </row>
    <row r="13948" spans="27:27" ht="17.899999999999999" customHeight="1">
      <c r="AA13948"/>
    </row>
    <row r="13949" spans="27:27" ht="17.899999999999999" customHeight="1">
      <c r="AA13949"/>
    </row>
    <row r="13950" spans="27:27" ht="17.899999999999999" customHeight="1">
      <c r="AA13950"/>
    </row>
    <row r="13951" spans="27:27" ht="17.899999999999999" customHeight="1">
      <c r="AA13951"/>
    </row>
    <row r="13952" spans="27:27" ht="17.899999999999999" customHeight="1">
      <c r="AA13952"/>
    </row>
    <row r="13953" spans="27:27" ht="17.899999999999999" customHeight="1">
      <c r="AA13953"/>
    </row>
    <row r="13954" spans="27:27" ht="17.899999999999999" customHeight="1">
      <c r="AA13954"/>
    </row>
    <row r="13955" spans="27:27" ht="17.899999999999999" customHeight="1">
      <c r="AA13955"/>
    </row>
    <row r="13956" spans="27:27" ht="17.899999999999999" customHeight="1">
      <c r="AA13956"/>
    </row>
    <row r="13957" spans="27:27" ht="17.899999999999999" customHeight="1">
      <c r="AA13957"/>
    </row>
    <row r="13958" spans="27:27" ht="17.899999999999999" customHeight="1">
      <c r="AA13958"/>
    </row>
    <row r="13959" spans="27:27" ht="17.899999999999999" customHeight="1">
      <c r="AA13959"/>
    </row>
    <row r="13960" spans="27:27" ht="17.899999999999999" customHeight="1">
      <c r="AA13960"/>
    </row>
    <row r="13961" spans="27:27" ht="17.899999999999999" customHeight="1">
      <c r="AA13961"/>
    </row>
    <row r="13962" spans="27:27" ht="17.899999999999999" customHeight="1">
      <c r="AA13962"/>
    </row>
    <row r="13963" spans="27:27" ht="17.899999999999999" customHeight="1">
      <c r="AA13963"/>
    </row>
    <row r="13964" spans="27:27" ht="17.899999999999999" customHeight="1">
      <c r="AA13964"/>
    </row>
    <row r="13965" spans="27:27" ht="17.899999999999999" customHeight="1">
      <c r="AA13965"/>
    </row>
    <row r="13966" spans="27:27" ht="17.899999999999999" customHeight="1">
      <c r="AA13966"/>
    </row>
    <row r="13967" spans="27:27" ht="17.899999999999999" customHeight="1">
      <c r="AA13967"/>
    </row>
    <row r="13968" spans="27:27" ht="17.899999999999999" customHeight="1">
      <c r="AA13968"/>
    </row>
    <row r="13969" spans="27:27" ht="17.899999999999999" customHeight="1">
      <c r="AA13969"/>
    </row>
    <row r="13970" spans="27:27" ht="17.899999999999999" customHeight="1">
      <c r="AA13970"/>
    </row>
    <row r="13971" spans="27:27" ht="17.899999999999999" customHeight="1">
      <c r="AA13971"/>
    </row>
    <row r="13972" spans="27:27" ht="17.899999999999999" customHeight="1">
      <c r="AA13972"/>
    </row>
    <row r="13973" spans="27:27" ht="17.899999999999999" customHeight="1">
      <c r="AA13973"/>
    </row>
    <row r="13974" spans="27:27" ht="17.899999999999999" customHeight="1">
      <c r="AA13974"/>
    </row>
    <row r="13975" spans="27:27" ht="17.899999999999999" customHeight="1">
      <c r="AA13975"/>
    </row>
    <row r="13976" spans="27:27" ht="17.899999999999999" customHeight="1">
      <c r="AA13976"/>
    </row>
    <row r="13977" spans="27:27" ht="17.899999999999999" customHeight="1">
      <c r="AA13977"/>
    </row>
    <row r="13978" spans="27:27" ht="17.899999999999999" customHeight="1">
      <c r="AA13978"/>
    </row>
    <row r="13979" spans="27:27" ht="17.899999999999999" customHeight="1">
      <c r="AA13979"/>
    </row>
    <row r="13980" spans="27:27" ht="17.899999999999999" customHeight="1">
      <c r="AA13980"/>
    </row>
    <row r="13981" spans="27:27" ht="17.899999999999999" customHeight="1">
      <c r="AA13981"/>
    </row>
    <row r="13982" spans="27:27" ht="17.899999999999999" customHeight="1">
      <c r="AA13982"/>
    </row>
    <row r="13983" spans="27:27" ht="17.899999999999999" customHeight="1">
      <c r="AA13983"/>
    </row>
    <row r="13984" spans="27:27" ht="17.899999999999999" customHeight="1">
      <c r="AA13984"/>
    </row>
    <row r="13985" spans="27:27" ht="17.899999999999999" customHeight="1">
      <c r="AA13985"/>
    </row>
    <row r="13986" spans="27:27" ht="17.899999999999999" customHeight="1">
      <c r="AA13986"/>
    </row>
    <row r="13987" spans="27:27" ht="17.899999999999999" customHeight="1">
      <c r="AA13987"/>
    </row>
    <row r="13988" spans="27:27" ht="17.899999999999999" customHeight="1">
      <c r="AA13988"/>
    </row>
    <row r="13989" spans="27:27" ht="17.899999999999999" customHeight="1">
      <c r="AA13989"/>
    </row>
    <row r="13990" spans="27:27" ht="17.899999999999999" customHeight="1">
      <c r="AA13990"/>
    </row>
    <row r="13991" spans="27:27" ht="17.899999999999999" customHeight="1">
      <c r="AA13991"/>
    </row>
    <row r="13992" spans="27:27" ht="17.899999999999999" customHeight="1">
      <c r="AA13992"/>
    </row>
    <row r="13993" spans="27:27" ht="17.899999999999999" customHeight="1">
      <c r="AA13993"/>
    </row>
    <row r="13994" spans="27:27" ht="17.899999999999999" customHeight="1">
      <c r="AA13994"/>
    </row>
    <row r="13995" spans="27:27" ht="17.899999999999999" customHeight="1">
      <c r="AA13995"/>
    </row>
    <row r="13996" spans="27:27" ht="17.899999999999999" customHeight="1">
      <c r="AA13996"/>
    </row>
    <row r="13997" spans="27:27" ht="17.899999999999999" customHeight="1">
      <c r="AA13997"/>
    </row>
    <row r="13998" spans="27:27" ht="17.899999999999999" customHeight="1">
      <c r="AA13998"/>
    </row>
    <row r="13999" spans="27:27" ht="17.899999999999999" customHeight="1">
      <c r="AA13999"/>
    </row>
    <row r="14000" spans="27:27" ht="17.899999999999999" customHeight="1">
      <c r="AA14000"/>
    </row>
    <row r="14001" spans="27:27" ht="17.899999999999999" customHeight="1">
      <c r="AA14001"/>
    </row>
    <row r="14002" spans="27:27" ht="17.899999999999999" customHeight="1">
      <c r="AA14002"/>
    </row>
    <row r="14003" spans="27:27" ht="17.899999999999999" customHeight="1">
      <c r="AA14003"/>
    </row>
    <row r="14004" spans="27:27" ht="17.899999999999999" customHeight="1">
      <c r="AA14004"/>
    </row>
    <row r="14005" spans="27:27" ht="17.899999999999999" customHeight="1">
      <c r="AA14005"/>
    </row>
    <row r="14006" spans="27:27" ht="17.899999999999999" customHeight="1">
      <c r="AA14006"/>
    </row>
    <row r="14007" spans="27:27" ht="17.899999999999999" customHeight="1">
      <c r="AA14007"/>
    </row>
    <row r="14008" spans="27:27" ht="17.899999999999999" customHeight="1">
      <c r="AA14008"/>
    </row>
    <row r="14009" spans="27:27" ht="17.899999999999999" customHeight="1">
      <c r="AA14009"/>
    </row>
    <row r="14010" spans="27:27" ht="17.899999999999999" customHeight="1">
      <c r="AA14010"/>
    </row>
    <row r="14011" spans="27:27" ht="17.899999999999999" customHeight="1">
      <c r="AA14011"/>
    </row>
    <row r="14012" spans="27:27" ht="17.899999999999999" customHeight="1">
      <c r="AA14012"/>
    </row>
    <row r="14013" spans="27:27" ht="17.899999999999999" customHeight="1">
      <c r="AA14013"/>
    </row>
    <row r="14014" spans="27:27" ht="17.899999999999999" customHeight="1">
      <c r="AA14014"/>
    </row>
    <row r="14015" spans="27:27" ht="17.899999999999999" customHeight="1">
      <c r="AA14015"/>
    </row>
    <row r="14016" spans="27:27" ht="17.899999999999999" customHeight="1">
      <c r="AA14016"/>
    </row>
    <row r="14017" spans="27:27" ht="17.899999999999999" customHeight="1">
      <c r="AA14017"/>
    </row>
    <row r="14018" spans="27:27" ht="17.899999999999999" customHeight="1">
      <c r="AA14018"/>
    </row>
    <row r="14019" spans="27:27" ht="17.899999999999999" customHeight="1">
      <c r="AA14019"/>
    </row>
    <row r="14020" spans="27:27" ht="17.899999999999999" customHeight="1">
      <c r="AA14020"/>
    </row>
    <row r="14021" spans="27:27" ht="17.899999999999999" customHeight="1">
      <c r="AA14021"/>
    </row>
    <row r="14022" spans="27:27" ht="17.899999999999999" customHeight="1">
      <c r="AA14022"/>
    </row>
    <row r="14023" spans="27:27" ht="17.899999999999999" customHeight="1">
      <c r="AA14023"/>
    </row>
    <row r="14024" spans="27:27" ht="17.899999999999999" customHeight="1">
      <c r="AA14024"/>
    </row>
    <row r="14025" spans="27:27" ht="17.899999999999999" customHeight="1">
      <c r="AA14025"/>
    </row>
    <row r="14026" spans="27:27" ht="17.899999999999999" customHeight="1">
      <c r="AA14026"/>
    </row>
    <row r="14027" spans="27:27" ht="17.899999999999999" customHeight="1">
      <c r="AA14027"/>
    </row>
    <row r="14028" spans="27:27" ht="17.899999999999999" customHeight="1">
      <c r="AA14028"/>
    </row>
    <row r="14029" spans="27:27" ht="17.899999999999999" customHeight="1">
      <c r="AA14029"/>
    </row>
    <row r="14030" spans="27:27" ht="17.899999999999999" customHeight="1">
      <c r="AA14030"/>
    </row>
    <row r="14031" spans="27:27" ht="17.899999999999999" customHeight="1">
      <c r="AA14031"/>
    </row>
    <row r="14032" spans="27:27" ht="17.899999999999999" customHeight="1">
      <c r="AA14032"/>
    </row>
    <row r="14033" spans="27:27" ht="17.899999999999999" customHeight="1">
      <c r="AA14033"/>
    </row>
    <row r="14034" spans="27:27" ht="17.899999999999999" customHeight="1">
      <c r="AA14034"/>
    </row>
    <row r="14035" spans="27:27" ht="17.899999999999999" customHeight="1">
      <c r="AA14035"/>
    </row>
    <row r="14036" spans="27:27" ht="17.899999999999999" customHeight="1">
      <c r="AA14036"/>
    </row>
    <row r="14037" spans="27:27" ht="17.899999999999999" customHeight="1">
      <c r="AA14037"/>
    </row>
    <row r="14038" spans="27:27" ht="17.899999999999999" customHeight="1">
      <c r="AA14038"/>
    </row>
    <row r="14039" spans="27:27" ht="17.899999999999999" customHeight="1">
      <c r="AA14039"/>
    </row>
    <row r="14040" spans="27:27" ht="17.899999999999999" customHeight="1">
      <c r="AA14040"/>
    </row>
    <row r="14041" spans="27:27" ht="17.899999999999999" customHeight="1">
      <c r="AA14041"/>
    </row>
    <row r="14042" spans="27:27" ht="17.899999999999999" customHeight="1">
      <c r="AA14042"/>
    </row>
    <row r="14043" spans="27:27" ht="17.899999999999999" customHeight="1">
      <c r="AA14043"/>
    </row>
    <row r="14044" spans="27:27" ht="17.899999999999999" customHeight="1">
      <c r="AA14044"/>
    </row>
    <row r="14045" spans="27:27" ht="17.899999999999999" customHeight="1">
      <c r="AA14045"/>
    </row>
    <row r="14046" spans="27:27" ht="17.899999999999999" customHeight="1">
      <c r="AA14046"/>
    </row>
    <row r="14047" spans="27:27" ht="17.899999999999999" customHeight="1">
      <c r="AA14047"/>
    </row>
    <row r="14048" spans="27:27" ht="17.899999999999999" customHeight="1">
      <c r="AA14048"/>
    </row>
    <row r="14049" spans="27:27" ht="17.899999999999999" customHeight="1">
      <c r="AA14049"/>
    </row>
    <row r="14050" spans="27:27" ht="17.899999999999999" customHeight="1">
      <c r="AA14050"/>
    </row>
    <row r="14051" spans="27:27" ht="17.899999999999999" customHeight="1">
      <c r="AA14051"/>
    </row>
    <row r="14052" spans="27:27" ht="17.899999999999999" customHeight="1">
      <c r="AA14052"/>
    </row>
    <row r="14053" spans="27:27" ht="17.899999999999999" customHeight="1">
      <c r="AA14053"/>
    </row>
    <row r="14054" spans="27:27" ht="17.899999999999999" customHeight="1">
      <c r="AA14054"/>
    </row>
    <row r="14055" spans="27:27" ht="17.899999999999999" customHeight="1">
      <c r="AA14055"/>
    </row>
    <row r="14056" spans="27:27" ht="17.899999999999999" customHeight="1">
      <c r="AA14056"/>
    </row>
    <row r="14057" spans="27:27" ht="17.899999999999999" customHeight="1">
      <c r="AA14057"/>
    </row>
    <row r="14058" spans="27:27" ht="17.899999999999999" customHeight="1">
      <c r="AA14058"/>
    </row>
    <row r="14059" spans="27:27" ht="17.899999999999999" customHeight="1">
      <c r="AA14059"/>
    </row>
    <row r="14060" spans="27:27" ht="17.899999999999999" customHeight="1">
      <c r="AA14060"/>
    </row>
    <row r="14061" spans="27:27" ht="17.899999999999999" customHeight="1">
      <c r="AA14061"/>
    </row>
    <row r="14062" spans="27:27" ht="17.899999999999999" customHeight="1">
      <c r="AA14062"/>
    </row>
    <row r="14063" spans="27:27" ht="17.899999999999999" customHeight="1">
      <c r="AA14063"/>
    </row>
    <row r="14064" spans="27:27" ht="17.899999999999999" customHeight="1">
      <c r="AA14064"/>
    </row>
    <row r="14065" spans="27:27" ht="17.899999999999999" customHeight="1">
      <c r="AA14065"/>
    </row>
    <row r="14066" spans="27:27" ht="17.899999999999999" customHeight="1">
      <c r="AA14066"/>
    </row>
    <row r="14067" spans="27:27" ht="17.899999999999999" customHeight="1">
      <c r="AA14067"/>
    </row>
    <row r="14068" spans="27:27" ht="17.899999999999999" customHeight="1">
      <c r="AA14068"/>
    </row>
    <row r="14069" spans="27:27" ht="17.899999999999999" customHeight="1">
      <c r="AA14069"/>
    </row>
    <row r="14070" spans="27:27" ht="17.899999999999999" customHeight="1">
      <c r="AA14070"/>
    </row>
    <row r="14071" spans="27:27" ht="17.899999999999999" customHeight="1">
      <c r="AA14071"/>
    </row>
    <row r="14072" spans="27:27" ht="17.899999999999999" customHeight="1">
      <c r="AA14072"/>
    </row>
    <row r="14073" spans="27:27" ht="17.899999999999999" customHeight="1">
      <c r="AA14073"/>
    </row>
    <row r="14074" spans="27:27" ht="17.899999999999999" customHeight="1">
      <c r="AA14074"/>
    </row>
    <row r="14075" spans="27:27" ht="17.899999999999999" customHeight="1">
      <c r="AA14075"/>
    </row>
    <row r="14076" spans="27:27" ht="17.899999999999999" customHeight="1">
      <c r="AA14076"/>
    </row>
    <row r="14077" spans="27:27" ht="17.899999999999999" customHeight="1">
      <c r="AA14077"/>
    </row>
    <row r="14078" spans="27:27" ht="17.899999999999999" customHeight="1">
      <c r="AA14078"/>
    </row>
    <row r="14079" spans="27:27" ht="17.899999999999999" customHeight="1">
      <c r="AA14079"/>
    </row>
    <row r="14080" spans="27:27" ht="17.899999999999999" customHeight="1">
      <c r="AA14080"/>
    </row>
    <row r="14081" spans="27:27" ht="17.899999999999999" customHeight="1">
      <c r="AA14081"/>
    </row>
    <row r="14082" spans="27:27" ht="17.899999999999999" customHeight="1">
      <c r="AA14082"/>
    </row>
    <row r="14083" spans="27:27" ht="17.899999999999999" customHeight="1">
      <c r="AA14083"/>
    </row>
    <row r="14084" spans="27:27" ht="17.899999999999999" customHeight="1">
      <c r="AA14084"/>
    </row>
    <row r="14085" spans="27:27" ht="17.899999999999999" customHeight="1">
      <c r="AA14085"/>
    </row>
    <row r="14086" spans="27:27" ht="17.899999999999999" customHeight="1">
      <c r="AA14086"/>
    </row>
    <row r="14087" spans="27:27" ht="17.899999999999999" customHeight="1">
      <c r="AA14087"/>
    </row>
    <row r="14088" spans="27:27" ht="17.899999999999999" customHeight="1">
      <c r="AA14088"/>
    </row>
    <row r="14089" spans="27:27" ht="17.899999999999999" customHeight="1">
      <c r="AA14089"/>
    </row>
    <row r="14090" spans="27:27" ht="17.899999999999999" customHeight="1">
      <c r="AA14090"/>
    </row>
    <row r="14091" spans="27:27" ht="17.899999999999999" customHeight="1">
      <c r="AA14091"/>
    </row>
    <row r="14092" spans="27:27" ht="17.899999999999999" customHeight="1">
      <c r="AA14092"/>
    </row>
    <row r="14093" spans="27:27" ht="17.899999999999999" customHeight="1">
      <c r="AA14093"/>
    </row>
    <row r="14094" spans="27:27" ht="17.899999999999999" customHeight="1">
      <c r="AA14094"/>
    </row>
    <row r="14095" spans="27:27" ht="17.899999999999999" customHeight="1">
      <c r="AA14095"/>
    </row>
    <row r="14096" spans="27:27" ht="17.899999999999999" customHeight="1">
      <c r="AA14096"/>
    </row>
    <row r="14097" spans="27:27" ht="17.899999999999999" customHeight="1">
      <c r="AA14097"/>
    </row>
    <row r="14098" spans="27:27" ht="17.899999999999999" customHeight="1">
      <c r="AA14098"/>
    </row>
    <row r="14099" spans="27:27" ht="17.899999999999999" customHeight="1">
      <c r="AA14099"/>
    </row>
    <row r="14100" spans="27:27" ht="17.899999999999999" customHeight="1">
      <c r="AA14100"/>
    </row>
    <row r="14101" spans="27:27" ht="17.899999999999999" customHeight="1">
      <c r="AA14101"/>
    </row>
    <row r="14102" spans="27:27" ht="17.899999999999999" customHeight="1">
      <c r="AA14102"/>
    </row>
    <row r="14103" spans="27:27" ht="17.899999999999999" customHeight="1">
      <c r="AA14103"/>
    </row>
    <row r="14104" spans="27:27" ht="17.899999999999999" customHeight="1">
      <c r="AA14104"/>
    </row>
    <row r="14105" spans="27:27" ht="17.899999999999999" customHeight="1">
      <c r="AA14105"/>
    </row>
    <row r="14106" spans="27:27" ht="17.899999999999999" customHeight="1">
      <c r="AA14106"/>
    </row>
    <row r="14107" spans="27:27" ht="17.899999999999999" customHeight="1">
      <c r="AA14107"/>
    </row>
    <row r="14108" spans="27:27" ht="17.899999999999999" customHeight="1">
      <c r="AA14108"/>
    </row>
    <row r="14109" spans="27:27" ht="17.899999999999999" customHeight="1">
      <c r="AA14109"/>
    </row>
    <row r="14110" spans="27:27" ht="17.899999999999999" customHeight="1">
      <c r="AA14110"/>
    </row>
    <row r="14111" spans="27:27" ht="17.899999999999999" customHeight="1">
      <c r="AA14111"/>
    </row>
    <row r="14112" spans="27:27" ht="17.899999999999999" customHeight="1">
      <c r="AA14112"/>
    </row>
    <row r="14113" spans="27:27" ht="17.899999999999999" customHeight="1">
      <c r="AA14113"/>
    </row>
    <row r="14114" spans="27:27" ht="17.899999999999999" customHeight="1">
      <c r="AA14114"/>
    </row>
    <row r="14115" spans="27:27" ht="17.899999999999999" customHeight="1">
      <c r="AA14115"/>
    </row>
    <row r="14116" spans="27:27" ht="17.899999999999999" customHeight="1">
      <c r="AA14116"/>
    </row>
    <row r="14117" spans="27:27" ht="17.899999999999999" customHeight="1">
      <c r="AA14117"/>
    </row>
    <row r="14118" spans="27:27" ht="17.899999999999999" customHeight="1">
      <c r="AA14118"/>
    </row>
    <row r="14119" spans="27:27" ht="17.899999999999999" customHeight="1">
      <c r="AA14119"/>
    </row>
    <row r="14120" spans="27:27" ht="17.899999999999999" customHeight="1">
      <c r="AA14120"/>
    </row>
    <row r="14121" spans="27:27" ht="17.899999999999999" customHeight="1">
      <c r="AA14121"/>
    </row>
    <row r="14122" spans="27:27" ht="17.899999999999999" customHeight="1">
      <c r="AA14122"/>
    </row>
    <row r="14123" spans="27:27" ht="17.899999999999999" customHeight="1">
      <c r="AA14123"/>
    </row>
    <row r="14124" spans="27:27" ht="17.899999999999999" customHeight="1">
      <c r="AA14124"/>
    </row>
    <row r="14125" spans="27:27" ht="17.899999999999999" customHeight="1">
      <c r="AA14125"/>
    </row>
    <row r="14126" spans="27:27" ht="17.899999999999999" customHeight="1">
      <c r="AA14126"/>
    </row>
    <row r="14127" spans="27:27" ht="17.899999999999999" customHeight="1">
      <c r="AA14127"/>
    </row>
    <row r="14128" spans="27:27" ht="17.899999999999999" customHeight="1">
      <c r="AA14128"/>
    </row>
    <row r="14129" spans="27:27" ht="17.899999999999999" customHeight="1">
      <c r="AA14129"/>
    </row>
    <row r="14130" spans="27:27" ht="17.899999999999999" customHeight="1">
      <c r="AA14130"/>
    </row>
    <row r="14131" spans="27:27" ht="17.899999999999999" customHeight="1">
      <c r="AA14131"/>
    </row>
    <row r="14132" spans="27:27" ht="17.899999999999999" customHeight="1">
      <c r="AA14132"/>
    </row>
    <row r="14133" spans="27:27" ht="17.899999999999999" customHeight="1">
      <c r="AA14133"/>
    </row>
    <row r="14134" spans="27:27" ht="17.899999999999999" customHeight="1">
      <c r="AA14134"/>
    </row>
    <row r="14135" spans="27:27" ht="17.899999999999999" customHeight="1">
      <c r="AA14135"/>
    </row>
    <row r="14136" spans="27:27" ht="17.899999999999999" customHeight="1">
      <c r="AA14136"/>
    </row>
    <row r="14137" spans="27:27" ht="17.899999999999999" customHeight="1">
      <c r="AA14137"/>
    </row>
    <row r="14138" spans="27:27" ht="17.899999999999999" customHeight="1">
      <c r="AA14138"/>
    </row>
    <row r="14139" spans="27:27" ht="17.899999999999999" customHeight="1">
      <c r="AA14139"/>
    </row>
    <row r="14140" spans="27:27" ht="17.899999999999999" customHeight="1">
      <c r="AA14140"/>
    </row>
    <row r="14141" spans="27:27" ht="17.899999999999999" customHeight="1">
      <c r="AA14141"/>
    </row>
    <row r="14142" spans="27:27" ht="17.899999999999999" customHeight="1">
      <c r="AA14142"/>
    </row>
    <row r="14143" spans="27:27" ht="17.899999999999999" customHeight="1">
      <c r="AA14143"/>
    </row>
    <row r="14144" spans="27:27" ht="17.899999999999999" customHeight="1">
      <c r="AA14144"/>
    </row>
    <row r="14145" spans="27:27" ht="17.899999999999999" customHeight="1">
      <c r="AA14145"/>
    </row>
    <row r="14146" spans="27:27" ht="17.899999999999999" customHeight="1">
      <c r="AA14146"/>
    </row>
    <row r="14147" spans="27:27" ht="17.899999999999999" customHeight="1">
      <c r="AA14147"/>
    </row>
    <row r="14148" spans="27:27" ht="17.899999999999999" customHeight="1">
      <c r="AA14148"/>
    </row>
    <row r="14149" spans="27:27" ht="17.899999999999999" customHeight="1">
      <c r="AA14149"/>
    </row>
    <row r="14150" spans="27:27" ht="17.899999999999999" customHeight="1">
      <c r="AA14150"/>
    </row>
    <row r="14151" spans="27:27" ht="17.899999999999999" customHeight="1">
      <c r="AA14151"/>
    </row>
    <row r="14152" spans="27:27" ht="17.899999999999999" customHeight="1">
      <c r="AA14152"/>
    </row>
    <row r="14153" spans="27:27" ht="17.899999999999999" customHeight="1">
      <c r="AA14153"/>
    </row>
    <row r="14154" spans="27:27" ht="17.899999999999999" customHeight="1">
      <c r="AA14154"/>
    </row>
    <row r="14155" spans="27:27" ht="17.899999999999999" customHeight="1">
      <c r="AA14155"/>
    </row>
    <row r="14156" spans="27:27" ht="17.899999999999999" customHeight="1">
      <c r="AA14156"/>
    </row>
    <row r="14157" spans="27:27" ht="17.899999999999999" customHeight="1">
      <c r="AA14157"/>
    </row>
    <row r="14158" spans="27:27" ht="17.899999999999999" customHeight="1">
      <c r="AA14158"/>
    </row>
    <row r="14159" spans="27:27" ht="17.899999999999999" customHeight="1">
      <c r="AA14159"/>
    </row>
    <row r="14160" spans="27:27" ht="17.899999999999999" customHeight="1">
      <c r="AA14160"/>
    </row>
    <row r="14161" spans="27:27" ht="17.899999999999999" customHeight="1">
      <c r="AA14161"/>
    </row>
    <row r="14162" spans="27:27" ht="17.899999999999999" customHeight="1">
      <c r="AA14162"/>
    </row>
    <row r="14163" spans="27:27" ht="17.899999999999999" customHeight="1">
      <c r="AA14163"/>
    </row>
    <row r="14164" spans="27:27" ht="17.899999999999999" customHeight="1">
      <c r="AA14164"/>
    </row>
    <row r="14165" spans="27:27" ht="17.899999999999999" customHeight="1">
      <c r="AA14165"/>
    </row>
    <row r="14166" spans="27:27" ht="17.899999999999999" customHeight="1">
      <c r="AA14166"/>
    </row>
    <row r="14167" spans="27:27" ht="17.899999999999999" customHeight="1">
      <c r="AA14167"/>
    </row>
    <row r="14168" spans="27:27" ht="17.899999999999999" customHeight="1">
      <c r="AA14168"/>
    </row>
    <row r="14169" spans="27:27" ht="17.899999999999999" customHeight="1">
      <c r="AA14169"/>
    </row>
    <row r="14170" spans="27:27" ht="17.899999999999999" customHeight="1">
      <c r="AA14170"/>
    </row>
    <row r="14171" spans="27:27" ht="17.899999999999999" customHeight="1">
      <c r="AA14171"/>
    </row>
    <row r="14172" spans="27:27" ht="17.899999999999999" customHeight="1">
      <c r="AA14172"/>
    </row>
    <row r="14173" spans="27:27" ht="17.899999999999999" customHeight="1">
      <c r="AA14173"/>
    </row>
    <row r="14174" spans="27:27" ht="17.899999999999999" customHeight="1">
      <c r="AA14174"/>
    </row>
    <row r="14175" spans="27:27" ht="17.899999999999999" customHeight="1">
      <c r="AA14175"/>
    </row>
    <row r="14176" spans="27:27" ht="17.899999999999999" customHeight="1">
      <c r="AA14176"/>
    </row>
    <row r="14177" spans="27:27" ht="17.899999999999999" customHeight="1">
      <c r="AA14177"/>
    </row>
    <row r="14178" spans="27:27" ht="17.899999999999999" customHeight="1">
      <c r="AA14178"/>
    </row>
    <row r="14179" spans="27:27" ht="17.899999999999999" customHeight="1">
      <c r="AA14179"/>
    </row>
    <row r="14180" spans="27:27" ht="17.899999999999999" customHeight="1">
      <c r="AA14180"/>
    </row>
    <row r="14181" spans="27:27" ht="17.899999999999999" customHeight="1">
      <c r="AA14181"/>
    </row>
    <row r="14182" spans="27:27" ht="17.899999999999999" customHeight="1">
      <c r="AA14182"/>
    </row>
    <row r="14183" spans="27:27" ht="17.899999999999999" customHeight="1">
      <c r="AA14183"/>
    </row>
    <row r="14184" spans="27:27" ht="17.899999999999999" customHeight="1">
      <c r="AA14184"/>
    </row>
    <row r="14185" spans="27:27" ht="17.899999999999999" customHeight="1">
      <c r="AA14185"/>
    </row>
    <row r="14186" spans="27:27" ht="17.899999999999999" customHeight="1">
      <c r="AA14186"/>
    </row>
    <row r="14187" spans="27:27" ht="17.899999999999999" customHeight="1">
      <c r="AA14187"/>
    </row>
    <row r="14188" spans="27:27" ht="17.899999999999999" customHeight="1">
      <c r="AA14188"/>
    </row>
    <row r="14189" spans="27:27" ht="17.899999999999999" customHeight="1">
      <c r="AA14189"/>
    </row>
    <row r="14190" spans="27:27" ht="17.899999999999999" customHeight="1">
      <c r="AA14190"/>
    </row>
    <row r="14191" spans="27:27" ht="17.899999999999999" customHeight="1">
      <c r="AA14191"/>
    </row>
    <row r="14192" spans="27:27" ht="17.899999999999999" customHeight="1">
      <c r="AA14192"/>
    </row>
    <row r="14193" spans="27:27" ht="17.899999999999999" customHeight="1">
      <c r="AA14193"/>
    </row>
    <row r="14194" spans="27:27" ht="17.899999999999999" customHeight="1">
      <c r="AA14194"/>
    </row>
    <row r="14195" spans="27:27" ht="17.899999999999999" customHeight="1">
      <c r="AA14195"/>
    </row>
    <row r="14196" spans="27:27" ht="17.899999999999999" customHeight="1">
      <c r="AA14196"/>
    </row>
    <row r="14197" spans="27:27" ht="17.899999999999999" customHeight="1">
      <c r="AA14197"/>
    </row>
    <row r="14198" spans="27:27" ht="17.899999999999999" customHeight="1">
      <c r="AA14198"/>
    </row>
    <row r="14199" spans="27:27" ht="17.899999999999999" customHeight="1">
      <c r="AA14199"/>
    </row>
    <row r="14200" spans="27:27" ht="17.899999999999999" customHeight="1">
      <c r="AA14200"/>
    </row>
    <row r="14201" spans="27:27" ht="17.899999999999999" customHeight="1">
      <c r="AA14201"/>
    </row>
    <row r="14202" spans="27:27" ht="17.899999999999999" customHeight="1">
      <c r="AA14202"/>
    </row>
    <row r="14203" spans="27:27" ht="17.899999999999999" customHeight="1">
      <c r="AA14203"/>
    </row>
    <row r="14204" spans="27:27" ht="17.899999999999999" customHeight="1">
      <c r="AA14204"/>
    </row>
    <row r="14205" spans="27:27" ht="17.899999999999999" customHeight="1">
      <c r="AA14205"/>
    </row>
    <row r="14206" spans="27:27" ht="17.899999999999999" customHeight="1">
      <c r="AA14206"/>
    </row>
    <row r="14207" spans="27:27" ht="17.899999999999999" customHeight="1">
      <c r="AA14207"/>
    </row>
    <row r="14208" spans="27:27" ht="17.899999999999999" customHeight="1">
      <c r="AA14208"/>
    </row>
    <row r="14209" spans="27:27" ht="17.899999999999999" customHeight="1">
      <c r="AA14209"/>
    </row>
    <row r="14210" spans="27:27" ht="17.899999999999999" customHeight="1">
      <c r="AA14210"/>
    </row>
    <row r="14211" spans="27:27" ht="17.899999999999999" customHeight="1">
      <c r="AA14211"/>
    </row>
    <row r="14212" spans="27:27" ht="17.899999999999999" customHeight="1">
      <c r="AA14212"/>
    </row>
    <row r="14213" spans="27:27" ht="17.899999999999999" customHeight="1">
      <c r="AA14213"/>
    </row>
    <row r="14214" spans="27:27" ht="17.899999999999999" customHeight="1">
      <c r="AA14214"/>
    </row>
    <row r="14215" spans="27:27" ht="17.899999999999999" customHeight="1">
      <c r="AA14215"/>
    </row>
    <row r="14216" spans="27:27" ht="17.899999999999999" customHeight="1">
      <c r="AA14216"/>
    </row>
    <row r="14217" spans="27:27" ht="17.899999999999999" customHeight="1">
      <c r="AA14217"/>
    </row>
    <row r="14218" spans="27:27" ht="17.899999999999999" customHeight="1">
      <c r="AA14218"/>
    </row>
    <row r="14219" spans="27:27" ht="17.899999999999999" customHeight="1">
      <c r="AA14219"/>
    </row>
    <row r="14220" spans="27:27" ht="17.899999999999999" customHeight="1">
      <c r="AA14220"/>
    </row>
    <row r="14221" spans="27:27" ht="17.899999999999999" customHeight="1">
      <c r="AA14221"/>
    </row>
    <row r="14222" spans="27:27" ht="17.899999999999999" customHeight="1">
      <c r="AA14222"/>
    </row>
    <row r="14223" spans="27:27" ht="17.899999999999999" customHeight="1">
      <c r="AA14223"/>
    </row>
    <row r="14224" spans="27:27" ht="17.899999999999999" customHeight="1">
      <c r="AA14224"/>
    </row>
    <row r="14225" spans="27:27" ht="17.899999999999999" customHeight="1">
      <c r="AA14225"/>
    </row>
    <row r="14226" spans="27:27" ht="17.899999999999999" customHeight="1">
      <c r="AA14226"/>
    </row>
    <row r="14227" spans="27:27" ht="17.899999999999999" customHeight="1">
      <c r="AA14227"/>
    </row>
    <row r="14228" spans="27:27" ht="17.899999999999999" customHeight="1">
      <c r="AA14228"/>
    </row>
    <row r="14229" spans="27:27" ht="17.899999999999999" customHeight="1">
      <c r="AA14229"/>
    </row>
    <row r="14230" spans="27:27" ht="17.899999999999999" customHeight="1">
      <c r="AA14230"/>
    </row>
    <row r="14231" spans="27:27" ht="17.899999999999999" customHeight="1">
      <c r="AA14231"/>
    </row>
    <row r="14232" spans="27:27" ht="17.899999999999999" customHeight="1">
      <c r="AA14232"/>
    </row>
    <row r="14233" spans="27:27" ht="17.899999999999999" customHeight="1">
      <c r="AA14233"/>
    </row>
    <row r="14234" spans="27:27" ht="17.899999999999999" customHeight="1">
      <c r="AA14234"/>
    </row>
    <row r="14235" spans="27:27" ht="17.899999999999999" customHeight="1">
      <c r="AA14235"/>
    </row>
    <row r="14236" spans="27:27" ht="17.899999999999999" customHeight="1">
      <c r="AA14236"/>
    </row>
    <row r="14237" spans="27:27" ht="17.899999999999999" customHeight="1">
      <c r="AA14237"/>
    </row>
    <row r="14238" spans="27:27" ht="17.899999999999999" customHeight="1">
      <c r="AA14238"/>
    </row>
    <row r="14239" spans="27:27" ht="17.899999999999999" customHeight="1">
      <c r="AA14239"/>
    </row>
    <row r="14240" spans="27:27" ht="17.899999999999999" customHeight="1">
      <c r="AA14240"/>
    </row>
    <row r="14241" spans="27:27" ht="17.899999999999999" customHeight="1">
      <c r="AA14241"/>
    </row>
    <row r="14242" spans="27:27" ht="17.899999999999999" customHeight="1">
      <c r="AA14242"/>
    </row>
    <row r="14243" spans="27:27" ht="17.899999999999999" customHeight="1">
      <c r="AA14243"/>
    </row>
    <row r="14244" spans="27:27" ht="17.899999999999999" customHeight="1">
      <c r="AA14244"/>
    </row>
    <row r="14245" spans="27:27" ht="17.899999999999999" customHeight="1">
      <c r="AA14245"/>
    </row>
    <row r="14246" spans="27:27" ht="17.899999999999999" customHeight="1">
      <c r="AA14246"/>
    </row>
    <row r="14247" spans="27:27" ht="17.899999999999999" customHeight="1">
      <c r="AA14247"/>
    </row>
    <row r="14248" spans="27:27" ht="17.899999999999999" customHeight="1">
      <c r="AA14248"/>
    </row>
    <row r="14249" spans="27:27" ht="17.899999999999999" customHeight="1">
      <c r="AA14249"/>
    </row>
    <row r="14250" spans="27:27" ht="17.899999999999999" customHeight="1">
      <c r="AA14250"/>
    </row>
    <row r="14251" spans="27:27" ht="17.899999999999999" customHeight="1">
      <c r="AA14251"/>
    </row>
    <row r="14252" spans="27:27" ht="17.899999999999999" customHeight="1">
      <c r="AA14252"/>
    </row>
    <row r="14253" spans="27:27" ht="17.899999999999999" customHeight="1">
      <c r="AA14253"/>
    </row>
    <row r="14254" spans="27:27" ht="17.899999999999999" customHeight="1">
      <c r="AA14254"/>
    </row>
    <row r="14255" spans="27:27" ht="17.899999999999999" customHeight="1">
      <c r="AA14255"/>
    </row>
    <row r="14256" spans="27:27" ht="17.899999999999999" customHeight="1">
      <c r="AA14256"/>
    </row>
    <row r="14257" spans="27:27" ht="17.899999999999999" customHeight="1">
      <c r="AA14257"/>
    </row>
    <row r="14258" spans="27:27" ht="17.899999999999999" customHeight="1">
      <c r="AA14258"/>
    </row>
    <row r="14259" spans="27:27" ht="17.899999999999999" customHeight="1">
      <c r="AA14259"/>
    </row>
    <row r="14260" spans="27:27" ht="17.899999999999999" customHeight="1">
      <c r="AA14260"/>
    </row>
    <row r="14261" spans="27:27" ht="17.899999999999999" customHeight="1">
      <c r="AA14261"/>
    </row>
    <row r="14262" spans="27:27" ht="17.899999999999999" customHeight="1">
      <c r="AA14262"/>
    </row>
    <row r="14263" spans="27:27" ht="17.899999999999999" customHeight="1">
      <c r="AA14263"/>
    </row>
    <row r="14264" spans="27:27" ht="17.899999999999999" customHeight="1">
      <c r="AA14264"/>
    </row>
    <row r="14265" spans="27:27" ht="17.899999999999999" customHeight="1">
      <c r="AA14265"/>
    </row>
    <row r="14266" spans="27:27" ht="17.899999999999999" customHeight="1">
      <c r="AA14266"/>
    </row>
    <row r="14267" spans="27:27" ht="17.899999999999999" customHeight="1">
      <c r="AA14267"/>
    </row>
    <row r="14268" spans="27:27" ht="17.899999999999999" customHeight="1">
      <c r="AA14268"/>
    </row>
    <row r="14269" spans="27:27" ht="17.899999999999999" customHeight="1">
      <c r="AA14269"/>
    </row>
    <row r="14270" spans="27:27" ht="17.899999999999999" customHeight="1">
      <c r="AA14270"/>
    </row>
    <row r="14271" spans="27:27" ht="17.899999999999999" customHeight="1">
      <c r="AA14271"/>
    </row>
    <row r="14272" spans="27:27" ht="17.899999999999999" customHeight="1">
      <c r="AA14272"/>
    </row>
    <row r="14273" spans="27:27" ht="17.899999999999999" customHeight="1">
      <c r="AA14273"/>
    </row>
    <row r="14274" spans="27:27" ht="17.899999999999999" customHeight="1">
      <c r="AA14274"/>
    </row>
    <row r="14275" spans="27:27" ht="17.899999999999999" customHeight="1">
      <c r="AA14275"/>
    </row>
    <row r="14276" spans="27:27" ht="17.899999999999999" customHeight="1">
      <c r="AA14276"/>
    </row>
    <row r="14277" spans="27:27" ht="17.899999999999999" customHeight="1">
      <c r="AA14277"/>
    </row>
    <row r="14278" spans="27:27" ht="17.899999999999999" customHeight="1">
      <c r="AA14278"/>
    </row>
    <row r="14279" spans="27:27" ht="17.899999999999999" customHeight="1">
      <c r="AA14279"/>
    </row>
    <row r="14280" spans="27:27" ht="17.899999999999999" customHeight="1">
      <c r="AA14280"/>
    </row>
    <row r="14281" spans="27:27" ht="17.899999999999999" customHeight="1">
      <c r="AA14281"/>
    </row>
    <row r="14282" spans="27:27" ht="17.899999999999999" customHeight="1">
      <c r="AA14282"/>
    </row>
    <row r="14283" spans="27:27" ht="17.899999999999999" customHeight="1">
      <c r="AA14283"/>
    </row>
    <row r="14284" spans="27:27" ht="17.899999999999999" customHeight="1">
      <c r="AA14284"/>
    </row>
    <row r="14285" spans="27:27" ht="17.899999999999999" customHeight="1">
      <c r="AA14285"/>
    </row>
    <row r="14286" spans="27:27" ht="17.899999999999999" customHeight="1">
      <c r="AA14286"/>
    </row>
    <row r="14287" spans="27:27" ht="17.899999999999999" customHeight="1">
      <c r="AA14287"/>
    </row>
    <row r="14288" spans="27:27" ht="17.899999999999999" customHeight="1">
      <c r="AA14288"/>
    </row>
    <row r="14289" spans="27:27" ht="17.899999999999999" customHeight="1">
      <c r="AA14289"/>
    </row>
    <row r="14290" spans="27:27" ht="17.899999999999999" customHeight="1">
      <c r="AA14290"/>
    </row>
    <row r="14291" spans="27:27" ht="17.899999999999999" customHeight="1">
      <c r="AA14291"/>
    </row>
    <row r="14292" spans="27:27" ht="17.899999999999999" customHeight="1">
      <c r="AA14292"/>
    </row>
    <row r="14293" spans="27:27" ht="17.899999999999999" customHeight="1">
      <c r="AA14293"/>
    </row>
    <row r="14294" spans="27:27" ht="17.899999999999999" customHeight="1">
      <c r="AA14294"/>
    </row>
    <row r="14295" spans="27:27" ht="17.899999999999999" customHeight="1">
      <c r="AA14295"/>
    </row>
    <row r="14296" spans="27:27" ht="17.899999999999999" customHeight="1">
      <c r="AA14296"/>
    </row>
    <row r="14297" spans="27:27" ht="17.899999999999999" customHeight="1">
      <c r="AA14297"/>
    </row>
    <row r="14298" spans="27:27" ht="17.899999999999999" customHeight="1">
      <c r="AA14298"/>
    </row>
    <row r="14299" spans="27:27" ht="17.899999999999999" customHeight="1">
      <c r="AA14299"/>
    </row>
    <row r="14300" spans="27:27" ht="17.899999999999999" customHeight="1">
      <c r="AA14300"/>
    </row>
    <row r="14301" spans="27:27" ht="17.899999999999999" customHeight="1">
      <c r="AA14301"/>
    </row>
    <row r="14302" spans="27:27" ht="17.899999999999999" customHeight="1">
      <c r="AA14302"/>
    </row>
    <row r="14303" spans="27:27" ht="17.899999999999999" customHeight="1">
      <c r="AA14303"/>
    </row>
    <row r="14304" spans="27:27" ht="17.899999999999999" customHeight="1">
      <c r="AA14304"/>
    </row>
    <row r="14305" spans="27:27" ht="17.899999999999999" customHeight="1">
      <c r="AA14305"/>
    </row>
    <row r="14306" spans="27:27" ht="17.899999999999999" customHeight="1">
      <c r="AA14306"/>
    </row>
    <row r="14307" spans="27:27" ht="17.899999999999999" customHeight="1">
      <c r="AA14307"/>
    </row>
    <row r="14308" spans="27:27" ht="17.899999999999999" customHeight="1">
      <c r="AA14308"/>
    </row>
    <row r="14309" spans="27:27" ht="17.899999999999999" customHeight="1">
      <c r="AA14309"/>
    </row>
    <row r="14310" spans="27:27" ht="17.899999999999999" customHeight="1">
      <c r="AA14310"/>
    </row>
    <row r="14311" spans="27:27" ht="17.899999999999999" customHeight="1">
      <c r="AA14311"/>
    </row>
    <row r="14312" spans="27:27" ht="17.899999999999999" customHeight="1">
      <c r="AA14312"/>
    </row>
    <row r="14313" spans="27:27" ht="17.899999999999999" customHeight="1">
      <c r="AA14313"/>
    </row>
    <row r="14314" spans="27:27" ht="17.899999999999999" customHeight="1">
      <c r="AA14314"/>
    </row>
    <row r="14315" spans="27:27" ht="17.899999999999999" customHeight="1">
      <c r="AA14315"/>
    </row>
    <row r="14316" spans="27:27" ht="17.899999999999999" customHeight="1">
      <c r="AA14316"/>
    </row>
    <row r="14317" spans="27:27" ht="17.899999999999999" customHeight="1">
      <c r="AA14317"/>
    </row>
    <row r="14318" spans="27:27" ht="17.899999999999999" customHeight="1">
      <c r="AA14318"/>
    </row>
    <row r="14319" spans="27:27" ht="17.899999999999999" customHeight="1">
      <c r="AA14319"/>
    </row>
    <row r="14320" spans="27:27" ht="17.899999999999999" customHeight="1">
      <c r="AA14320"/>
    </row>
    <row r="14321" spans="27:27" ht="17.899999999999999" customHeight="1">
      <c r="AA14321"/>
    </row>
    <row r="14322" spans="27:27" ht="17.899999999999999" customHeight="1">
      <c r="AA14322"/>
    </row>
    <row r="14323" spans="27:27" ht="17.899999999999999" customHeight="1">
      <c r="AA14323"/>
    </row>
    <row r="14324" spans="27:27" ht="17.899999999999999" customHeight="1">
      <c r="AA14324"/>
    </row>
    <row r="14325" spans="27:27" ht="17.899999999999999" customHeight="1">
      <c r="AA14325"/>
    </row>
    <row r="14326" spans="27:27" ht="17.899999999999999" customHeight="1">
      <c r="AA14326"/>
    </row>
    <row r="14327" spans="27:27" ht="17.899999999999999" customHeight="1">
      <c r="AA14327"/>
    </row>
    <row r="14328" spans="27:27" ht="17.899999999999999" customHeight="1">
      <c r="AA14328"/>
    </row>
    <row r="14329" spans="27:27" ht="17.899999999999999" customHeight="1">
      <c r="AA14329"/>
    </row>
    <row r="14330" spans="27:27" ht="17.899999999999999" customHeight="1">
      <c r="AA14330"/>
    </row>
    <row r="14331" spans="27:27" ht="17.899999999999999" customHeight="1">
      <c r="AA14331"/>
    </row>
    <row r="14332" spans="27:27" ht="17.899999999999999" customHeight="1">
      <c r="AA14332"/>
    </row>
    <row r="14333" spans="27:27" ht="17.899999999999999" customHeight="1">
      <c r="AA14333"/>
    </row>
    <row r="14334" spans="27:27" ht="17.899999999999999" customHeight="1">
      <c r="AA14334"/>
    </row>
    <row r="14335" spans="27:27" ht="17.899999999999999" customHeight="1">
      <c r="AA14335"/>
    </row>
    <row r="14336" spans="27:27" ht="17.899999999999999" customHeight="1">
      <c r="AA14336"/>
    </row>
    <row r="14337" spans="27:27" ht="17.899999999999999" customHeight="1">
      <c r="AA14337"/>
    </row>
    <row r="14338" spans="27:27" ht="17.899999999999999" customHeight="1">
      <c r="AA14338"/>
    </row>
    <row r="14339" spans="27:27" ht="17.899999999999999" customHeight="1">
      <c r="AA14339"/>
    </row>
    <row r="14340" spans="27:27" ht="17.899999999999999" customHeight="1">
      <c r="AA14340"/>
    </row>
    <row r="14341" spans="27:27" ht="17.899999999999999" customHeight="1">
      <c r="AA14341"/>
    </row>
    <row r="14342" spans="27:27" ht="17.899999999999999" customHeight="1">
      <c r="AA14342"/>
    </row>
    <row r="14343" spans="27:27" ht="17.899999999999999" customHeight="1">
      <c r="AA14343"/>
    </row>
    <row r="14344" spans="27:27" ht="17.899999999999999" customHeight="1">
      <c r="AA14344"/>
    </row>
    <row r="14345" spans="27:27" ht="17.899999999999999" customHeight="1">
      <c r="AA14345"/>
    </row>
    <row r="14346" spans="27:27" ht="17.899999999999999" customHeight="1">
      <c r="AA14346"/>
    </row>
    <row r="14347" spans="27:27" ht="17.899999999999999" customHeight="1">
      <c r="AA14347"/>
    </row>
    <row r="14348" spans="27:27" ht="17.899999999999999" customHeight="1">
      <c r="AA14348"/>
    </row>
    <row r="14349" spans="27:27" ht="17.899999999999999" customHeight="1">
      <c r="AA14349"/>
    </row>
    <row r="14350" spans="27:27" ht="17.899999999999999" customHeight="1">
      <c r="AA14350"/>
    </row>
    <row r="14351" spans="27:27" ht="17.899999999999999" customHeight="1">
      <c r="AA14351"/>
    </row>
    <row r="14352" spans="27:27" ht="17.899999999999999" customHeight="1">
      <c r="AA14352"/>
    </row>
    <row r="14353" spans="27:27" ht="17.899999999999999" customHeight="1">
      <c r="AA14353"/>
    </row>
    <row r="14354" spans="27:27" ht="17.899999999999999" customHeight="1">
      <c r="AA14354"/>
    </row>
    <row r="14355" spans="27:27" ht="17.899999999999999" customHeight="1">
      <c r="AA14355"/>
    </row>
    <row r="14356" spans="27:27" ht="17.899999999999999" customHeight="1">
      <c r="AA14356"/>
    </row>
    <row r="14357" spans="27:27" ht="17.899999999999999" customHeight="1">
      <c r="AA14357"/>
    </row>
    <row r="14358" spans="27:27" ht="17.899999999999999" customHeight="1">
      <c r="AA14358"/>
    </row>
    <row r="14359" spans="27:27" ht="17.899999999999999" customHeight="1">
      <c r="AA14359"/>
    </row>
    <row r="14360" spans="27:27" ht="17.899999999999999" customHeight="1">
      <c r="AA14360"/>
    </row>
    <row r="14361" spans="27:27" ht="17.899999999999999" customHeight="1">
      <c r="AA14361"/>
    </row>
    <row r="14362" spans="27:27" ht="17.899999999999999" customHeight="1">
      <c r="AA14362"/>
    </row>
    <row r="14363" spans="27:27" ht="17.899999999999999" customHeight="1">
      <c r="AA14363"/>
    </row>
    <row r="14364" spans="27:27" ht="17.899999999999999" customHeight="1">
      <c r="AA14364"/>
    </row>
    <row r="14365" spans="27:27" ht="17.899999999999999" customHeight="1">
      <c r="AA14365"/>
    </row>
    <row r="14366" spans="27:27" ht="17.899999999999999" customHeight="1">
      <c r="AA14366"/>
    </row>
    <row r="14367" spans="27:27" ht="17.899999999999999" customHeight="1">
      <c r="AA14367"/>
    </row>
    <row r="14368" spans="27:27" ht="17.899999999999999" customHeight="1">
      <c r="AA14368"/>
    </row>
    <row r="14369" spans="27:27" ht="17.899999999999999" customHeight="1">
      <c r="AA14369"/>
    </row>
    <row r="14370" spans="27:27" ht="17.899999999999999" customHeight="1">
      <c r="AA14370"/>
    </row>
    <row r="14371" spans="27:27" ht="17.899999999999999" customHeight="1">
      <c r="AA14371"/>
    </row>
    <row r="14372" spans="27:27" ht="17.899999999999999" customHeight="1">
      <c r="AA14372"/>
    </row>
    <row r="14373" spans="27:27" ht="17.899999999999999" customHeight="1">
      <c r="AA14373"/>
    </row>
    <row r="14374" spans="27:27" ht="17.899999999999999" customHeight="1">
      <c r="AA14374"/>
    </row>
    <row r="14375" spans="27:27" ht="17.899999999999999" customHeight="1">
      <c r="AA14375"/>
    </row>
    <row r="14376" spans="27:27" ht="17.899999999999999" customHeight="1">
      <c r="AA14376"/>
    </row>
    <row r="14377" spans="27:27" ht="17.899999999999999" customHeight="1">
      <c r="AA14377"/>
    </row>
    <row r="14378" spans="27:27" ht="17.899999999999999" customHeight="1">
      <c r="AA14378"/>
    </row>
    <row r="14379" spans="27:27" ht="17.899999999999999" customHeight="1">
      <c r="AA14379"/>
    </row>
    <row r="14380" spans="27:27" ht="17.899999999999999" customHeight="1">
      <c r="AA14380"/>
    </row>
    <row r="14381" spans="27:27" ht="17.899999999999999" customHeight="1">
      <c r="AA14381"/>
    </row>
    <row r="14382" spans="27:27" ht="17.899999999999999" customHeight="1">
      <c r="AA14382"/>
    </row>
    <row r="14383" spans="27:27" ht="17.899999999999999" customHeight="1">
      <c r="AA14383"/>
    </row>
    <row r="14384" spans="27:27" ht="17.899999999999999" customHeight="1">
      <c r="AA14384"/>
    </row>
    <row r="14385" spans="27:27" ht="17.899999999999999" customHeight="1">
      <c r="AA14385"/>
    </row>
    <row r="14386" spans="27:27" ht="17.899999999999999" customHeight="1">
      <c r="AA14386"/>
    </row>
    <row r="14387" spans="27:27" ht="17.899999999999999" customHeight="1">
      <c r="AA14387"/>
    </row>
    <row r="14388" spans="27:27" ht="17.899999999999999" customHeight="1">
      <c r="AA14388"/>
    </row>
    <row r="14389" spans="27:27" ht="17.899999999999999" customHeight="1">
      <c r="AA14389"/>
    </row>
    <row r="14390" spans="27:27" ht="17.899999999999999" customHeight="1">
      <c r="AA14390"/>
    </row>
    <row r="14391" spans="27:27" ht="17.899999999999999" customHeight="1">
      <c r="AA14391"/>
    </row>
    <row r="14392" spans="27:27" ht="17.899999999999999" customHeight="1">
      <c r="AA14392"/>
    </row>
    <row r="14393" spans="27:27" ht="17.899999999999999" customHeight="1">
      <c r="AA14393"/>
    </row>
    <row r="14394" spans="27:27" ht="17.899999999999999" customHeight="1">
      <c r="AA14394"/>
    </row>
    <row r="14395" spans="27:27" ht="17.899999999999999" customHeight="1">
      <c r="AA14395"/>
    </row>
    <row r="14396" spans="27:27" ht="17.899999999999999" customHeight="1">
      <c r="AA14396"/>
    </row>
    <row r="14397" spans="27:27" ht="17.899999999999999" customHeight="1">
      <c r="AA14397"/>
    </row>
    <row r="14398" spans="27:27" ht="17.899999999999999" customHeight="1">
      <c r="AA14398"/>
    </row>
    <row r="14399" spans="27:27" ht="17.899999999999999" customHeight="1">
      <c r="AA14399"/>
    </row>
    <row r="14400" spans="27:27" ht="17.899999999999999" customHeight="1">
      <c r="AA14400"/>
    </row>
    <row r="14401" spans="27:27" ht="17.899999999999999" customHeight="1">
      <c r="AA14401"/>
    </row>
    <row r="14402" spans="27:27" ht="17.899999999999999" customHeight="1">
      <c r="AA14402"/>
    </row>
    <row r="14403" spans="27:27" ht="17.899999999999999" customHeight="1">
      <c r="AA14403"/>
    </row>
    <row r="14404" spans="27:27" ht="17.899999999999999" customHeight="1">
      <c r="AA14404"/>
    </row>
    <row r="14405" spans="27:27" ht="17.899999999999999" customHeight="1">
      <c r="AA14405"/>
    </row>
    <row r="14406" spans="27:27" ht="17.899999999999999" customHeight="1">
      <c r="AA14406"/>
    </row>
    <row r="14407" spans="27:27" ht="17.899999999999999" customHeight="1">
      <c r="AA14407"/>
    </row>
    <row r="14408" spans="27:27" ht="17.899999999999999" customHeight="1">
      <c r="AA14408"/>
    </row>
    <row r="14409" spans="27:27" ht="17.899999999999999" customHeight="1">
      <c r="AA14409"/>
    </row>
    <row r="14410" spans="27:27" ht="17.899999999999999" customHeight="1">
      <c r="AA14410"/>
    </row>
    <row r="14411" spans="27:27" ht="17.899999999999999" customHeight="1">
      <c r="AA14411"/>
    </row>
    <row r="14412" spans="27:27" ht="17.899999999999999" customHeight="1">
      <c r="AA14412"/>
    </row>
    <row r="14413" spans="27:27" ht="17.899999999999999" customHeight="1">
      <c r="AA14413"/>
    </row>
    <row r="14414" spans="27:27" ht="17.899999999999999" customHeight="1">
      <c r="AA14414"/>
    </row>
    <row r="14415" spans="27:27" ht="17.899999999999999" customHeight="1">
      <c r="AA14415"/>
    </row>
    <row r="14416" spans="27:27" ht="17.899999999999999" customHeight="1">
      <c r="AA14416"/>
    </row>
    <row r="14417" spans="27:27" ht="17.899999999999999" customHeight="1">
      <c r="AA14417"/>
    </row>
    <row r="14418" spans="27:27" ht="17.899999999999999" customHeight="1">
      <c r="AA14418"/>
    </row>
    <row r="14419" spans="27:27" ht="17.899999999999999" customHeight="1">
      <c r="AA14419"/>
    </row>
    <row r="14420" spans="27:27" ht="17.899999999999999" customHeight="1">
      <c r="AA14420"/>
    </row>
    <row r="14421" spans="27:27" ht="17.899999999999999" customHeight="1">
      <c r="AA14421"/>
    </row>
    <row r="14422" spans="27:27" ht="17.899999999999999" customHeight="1">
      <c r="AA14422"/>
    </row>
    <row r="14423" spans="27:27" ht="17.899999999999999" customHeight="1">
      <c r="AA14423"/>
    </row>
    <row r="14424" spans="27:27" ht="17.899999999999999" customHeight="1">
      <c r="AA14424"/>
    </row>
    <row r="14425" spans="27:27" ht="17.899999999999999" customHeight="1">
      <c r="AA14425"/>
    </row>
    <row r="14426" spans="27:27" ht="17.899999999999999" customHeight="1">
      <c r="AA14426"/>
    </row>
    <row r="14427" spans="27:27" ht="17.899999999999999" customHeight="1">
      <c r="AA14427"/>
    </row>
    <row r="14428" spans="27:27" ht="17.899999999999999" customHeight="1">
      <c r="AA14428"/>
    </row>
    <row r="14429" spans="27:27" ht="17.899999999999999" customHeight="1">
      <c r="AA14429"/>
    </row>
    <row r="14430" spans="27:27" ht="17.899999999999999" customHeight="1">
      <c r="AA14430"/>
    </row>
    <row r="14431" spans="27:27" ht="17.899999999999999" customHeight="1">
      <c r="AA14431"/>
    </row>
    <row r="14432" spans="27:27" ht="17.899999999999999" customHeight="1">
      <c r="AA14432"/>
    </row>
    <row r="14433" spans="27:27" ht="17.899999999999999" customHeight="1">
      <c r="AA14433"/>
    </row>
    <row r="14434" spans="27:27" ht="17.899999999999999" customHeight="1">
      <c r="AA14434"/>
    </row>
    <row r="14435" spans="27:27" ht="17.899999999999999" customHeight="1">
      <c r="AA14435"/>
    </row>
    <row r="14436" spans="27:27" ht="17.899999999999999" customHeight="1">
      <c r="AA14436"/>
    </row>
    <row r="14437" spans="27:27" ht="17.899999999999999" customHeight="1">
      <c r="AA14437"/>
    </row>
    <row r="14438" spans="27:27" ht="17.899999999999999" customHeight="1">
      <c r="AA14438"/>
    </row>
    <row r="14439" spans="27:27" ht="17.899999999999999" customHeight="1">
      <c r="AA14439"/>
    </row>
    <row r="14440" spans="27:27" ht="17.899999999999999" customHeight="1">
      <c r="AA14440"/>
    </row>
    <row r="14441" spans="27:27" ht="17.899999999999999" customHeight="1">
      <c r="AA14441"/>
    </row>
    <row r="14442" spans="27:27" ht="17.899999999999999" customHeight="1">
      <c r="AA14442"/>
    </row>
    <row r="14443" spans="27:27" ht="17.899999999999999" customHeight="1">
      <c r="AA14443"/>
    </row>
    <row r="14444" spans="27:27" ht="17.899999999999999" customHeight="1">
      <c r="AA14444"/>
    </row>
    <row r="14445" spans="27:27" ht="17.899999999999999" customHeight="1">
      <c r="AA14445"/>
    </row>
    <row r="14446" spans="27:27" ht="17.899999999999999" customHeight="1">
      <c r="AA14446"/>
    </row>
    <row r="14447" spans="27:27" ht="17.899999999999999" customHeight="1">
      <c r="AA14447"/>
    </row>
    <row r="14448" spans="27:27" ht="17.899999999999999" customHeight="1">
      <c r="AA14448"/>
    </row>
    <row r="14449" spans="27:27" ht="17.899999999999999" customHeight="1">
      <c r="AA14449"/>
    </row>
    <row r="14450" spans="27:27" ht="17.899999999999999" customHeight="1">
      <c r="AA14450"/>
    </row>
    <row r="14451" spans="27:27" ht="17.899999999999999" customHeight="1">
      <c r="AA14451"/>
    </row>
    <row r="14452" spans="27:27" ht="17.899999999999999" customHeight="1">
      <c r="AA14452"/>
    </row>
    <row r="14453" spans="27:27" ht="17.899999999999999" customHeight="1">
      <c r="AA14453"/>
    </row>
    <row r="14454" spans="27:27" ht="17.899999999999999" customHeight="1">
      <c r="AA14454"/>
    </row>
    <row r="14455" spans="27:27" ht="17.899999999999999" customHeight="1">
      <c r="AA14455"/>
    </row>
    <row r="14456" spans="27:27" ht="17.899999999999999" customHeight="1">
      <c r="AA14456"/>
    </row>
    <row r="14457" spans="27:27" ht="17.899999999999999" customHeight="1">
      <c r="AA14457"/>
    </row>
    <row r="14458" spans="27:27" ht="17.899999999999999" customHeight="1">
      <c r="AA14458"/>
    </row>
    <row r="14459" spans="27:27" ht="17.899999999999999" customHeight="1">
      <c r="AA14459"/>
    </row>
    <row r="14460" spans="27:27" ht="17.899999999999999" customHeight="1">
      <c r="AA14460"/>
    </row>
    <row r="14461" spans="27:27" ht="17.899999999999999" customHeight="1">
      <c r="AA14461"/>
    </row>
    <row r="14462" spans="27:27" ht="17.899999999999999" customHeight="1">
      <c r="AA14462"/>
    </row>
    <row r="14463" spans="27:27" ht="17.899999999999999" customHeight="1">
      <c r="AA14463"/>
    </row>
    <row r="14464" spans="27:27" ht="17.899999999999999" customHeight="1">
      <c r="AA14464"/>
    </row>
    <row r="14465" spans="27:27" ht="17.899999999999999" customHeight="1">
      <c r="AA14465"/>
    </row>
    <row r="14466" spans="27:27" ht="17.899999999999999" customHeight="1">
      <c r="AA14466"/>
    </row>
    <row r="14467" spans="27:27" ht="17.899999999999999" customHeight="1">
      <c r="AA14467"/>
    </row>
    <row r="14468" spans="27:27" ht="17.899999999999999" customHeight="1">
      <c r="AA14468"/>
    </row>
    <row r="14469" spans="27:27" ht="17.899999999999999" customHeight="1">
      <c r="AA14469"/>
    </row>
    <row r="14470" spans="27:27" ht="17.899999999999999" customHeight="1">
      <c r="AA14470"/>
    </row>
    <row r="14471" spans="27:27" ht="17.899999999999999" customHeight="1">
      <c r="AA14471"/>
    </row>
    <row r="14472" spans="27:27" ht="17.899999999999999" customHeight="1">
      <c r="AA14472"/>
    </row>
    <row r="14473" spans="27:27" ht="17.899999999999999" customHeight="1">
      <c r="AA14473"/>
    </row>
    <row r="14474" spans="27:27" ht="17.899999999999999" customHeight="1">
      <c r="AA14474"/>
    </row>
    <row r="14475" spans="27:27" ht="17.899999999999999" customHeight="1">
      <c r="AA14475"/>
    </row>
    <row r="14476" spans="27:27" ht="17.899999999999999" customHeight="1">
      <c r="AA14476"/>
    </row>
    <row r="14477" spans="27:27" ht="17.899999999999999" customHeight="1">
      <c r="AA14477"/>
    </row>
    <row r="14478" spans="27:27" ht="17.899999999999999" customHeight="1">
      <c r="AA14478"/>
    </row>
    <row r="14479" spans="27:27" ht="17.899999999999999" customHeight="1">
      <c r="AA14479"/>
    </row>
    <row r="14480" spans="27:27" ht="17.899999999999999" customHeight="1">
      <c r="AA14480"/>
    </row>
    <row r="14481" spans="27:27" ht="17.899999999999999" customHeight="1">
      <c r="AA14481"/>
    </row>
    <row r="14482" spans="27:27" ht="17.899999999999999" customHeight="1">
      <c r="AA14482"/>
    </row>
    <row r="14483" spans="27:27" ht="17.899999999999999" customHeight="1">
      <c r="AA14483"/>
    </row>
    <row r="14484" spans="27:27" ht="17.899999999999999" customHeight="1">
      <c r="AA14484"/>
    </row>
    <row r="14485" spans="27:27" ht="17.899999999999999" customHeight="1">
      <c r="AA14485"/>
    </row>
    <row r="14486" spans="27:27" ht="17.899999999999999" customHeight="1">
      <c r="AA14486"/>
    </row>
    <row r="14487" spans="27:27" ht="17.899999999999999" customHeight="1">
      <c r="AA14487"/>
    </row>
    <row r="14488" spans="27:27" ht="17.899999999999999" customHeight="1">
      <c r="AA14488"/>
    </row>
    <row r="14489" spans="27:27" ht="17.899999999999999" customHeight="1">
      <c r="AA14489"/>
    </row>
    <row r="14490" spans="27:27" ht="17.899999999999999" customHeight="1">
      <c r="AA14490"/>
    </row>
    <row r="14491" spans="27:27" ht="17.899999999999999" customHeight="1">
      <c r="AA14491"/>
    </row>
    <row r="14492" spans="27:27" ht="17.899999999999999" customHeight="1">
      <c r="AA14492"/>
    </row>
    <row r="14493" spans="27:27" ht="17.899999999999999" customHeight="1">
      <c r="AA14493"/>
    </row>
    <row r="14494" spans="27:27" ht="17.899999999999999" customHeight="1">
      <c r="AA14494"/>
    </row>
    <row r="14495" spans="27:27" ht="17.899999999999999" customHeight="1">
      <c r="AA14495"/>
    </row>
    <row r="14496" spans="27:27" ht="17.899999999999999" customHeight="1">
      <c r="AA14496"/>
    </row>
    <row r="14497" spans="27:27" ht="17.899999999999999" customHeight="1">
      <c r="AA14497"/>
    </row>
    <row r="14498" spans="27:27" ht="17.899999999999999" customHeight="1">
      <c r="AA14498"/>
    </row>
    <row r="14499" spans="27:27" ht="17.899999999999999" customHeight="1">
      <c r="AA14499"/>
    </row>
    <row r="14500" spans="27:27" ht="17.899999999999999" customHeight="1">
      <c r="AA14500"/>
    </row>
    <row r="14501" spans="27:27" ht="17.899999999999999" customHeight="1">
      <c r="AA14501"/>
    </row>
    <row r="14502" spans="27:27" ht="17.899999999999999" customHeight="1">
      <c r="AA14502"/>
    </row>
    <row r="14503" spans="27:27" ht="17.899999999999999" customHeight="1">
      <c r="AA14503"/>
    </row>
    <row r="14504" spans="27:27" ht="17.899999999999999" customHeight="1">
      <c r="AA14504"/>
    </row>
    <row r="14505" spans="27:27" ht="17.899999999999999" customHeight="1">
      <c r="AA14505"/>
    </row>
    <row r="14506" spans="27:27" ht="17.899999999999999" customHeight="1">
      <c r="AA14506"/>
    </row>
    <row r="14507" spans="27:27" ht="17.899999999999999" customHeight="1">
      <c r="AA14507"/>
    </row>
    <row r="14508" spans="27:27" ht="17.899999999999999" customHeight="1">
      <c r="AA14508"/>
    </row>
    <row r="14509" spans="27:27" ht="17.899999999999999" customHeight="1">
      <c r="AA14509"/>
    </row>
    <row r="14510" spans="27:27" ht="17.899999999999999" customHeight="1">
      <c r="AA14510"/>
    </row>
    <row r="14511" spans="27:27" ht="17.899999999999999" customHeight="1">
      <c r="AA14511"/>
    </row>
    <row r="14512" spans="27:27" ht="17.899999999999999" customHeight="1">
      <c r="AA14512"/>
    </row>
    <row r="14513" spans="27:27" ht="17.899999999999999" customHeight="1">
      <c r="AA14513"/>
    </row>
    <row r="14514" spans="27:27" ht="17.899999999999999" customHeight="1">
      <c r="AA14514"/>
    </row>
    <row r="14515" spans="27:27" ht="17.899999999999999" customHeight="1">
      <c r="AA14515"/>
    </row>
    <row r="14516" spans="27:27" ht="17.899999999999999" customHeight="1">
      <c r="AA14516"/>
    </row>
    <row r="14517" spans="27:27" ht="17.899999999999999" customHeight="1">
      <c r="AA14517"/>
    </row>
    <row r="14518" spans="27:27" ht="17.899999999999999" customHeight="1">
      <c r="AA14518"/>
    </row>
    <row r="14519" spans="27:27" ht="17.899999999999999" customHeight="1">
      <c r="AA14519"/>
    </row>
    <row r="14520" spans="27:27" ht="17.899999999999999" customHeight="1">
      <c r="AA14520"/>
    </row>
    <row r="14521" spans="27:27" ht="17.899999999999999" customHeight="1">
      <c r="AA14521"/>
    </row>
    <row r="14522" spans="27:27" ht="17.899999999999999" customHeight="1">
      <c r="AA14522"/>
    </row>
    <row r="14523" spans="27:27" ht="17.899999999999999" customHeight="1">
      <c r="AA14523"/>
    </row>
    <row r="14524" spans="27:27" ht="17.899999999999999" customHeight="1">
      <c r="AA14524"/>
    </row>
    <row r="14525" spans="27:27" ht="17.899999999999999" customHeight="1">
      <c r="AA14525"/>
    </row>
    <row r="14526" spans="27:27" ht="17.899999999999999" customHeight="1">
      <c r="AA14526"/>
    </row>
    <row r="14527" spans="27:27" ht="17.899999999999999" customHeight="1">
      <c r="AA14527"/>
    </row>
    <row r="14528" spans="27:27" ht="17.899999999999999" customHeight="1">
      <c r="AA14528"/>
    </row>
    <row r="14529" spans="27:27" ht="17.899999999999999" customHeight="1">
      <c r="AA14529"/>
    </row>
    <row r="14530" spans="27:27" ht="17.899999999999999" customHeight="1">
      <c r="AA14530"/>
    </row>
    <row r="14531" spans="27:27" ht="17.899999999999999" customHeight="1">
      <c r="AA14531"/>
    </row>
    <row r="14532" spans="27:27" ht="17.899999999999999" customHeight="1">
      <c r="AA14532"/>
    </row>
    <row r="14533" spans="27:27" ht="17.899999999999999" customHeight="1">
      <c r="AA14533"/>
    </row>
    <row r="14534" spans="27:27" ht="17.899999999999999" customHeight="1">
      <c r="AA14534"/>
    </row>
    <row r="14535" spans="27:27" ht="17.899999999999999" customHeight="1">
      <c r="AA14535"/>
    </row>
    <row r="14536" spans="27:27" ht="17.899999999999999" customHeight="1">
      <c r="AA14536"/>
    </row>
    <row r="14537" spans="27:27" ht="17.899999999999999" customHeight="1">
      <c r="AA14537"/>
    </row>
    <row r="14538" spans="27:27" ht="17.899999999999999" customHeight="1">
      <c r="AA14538"/>
    </row>
    <row r="14539" spans="27:27" ht="17.899999999999999" customHeight="1">
      <c r="AA14539"/>
    </row>
    <row r="14540" spans="27:27" ht="17.899999999999999" customHeight="1">
      <c r="AA14540"/>
    </row>
    <row r="14541" spans="27:27" ht="17.899999999999999" customHeight="1">
      <c r="AA14541"/>
    </row>
    <row r="14542" spans="27:27" ht="17.899999999999999" customHeight="1">
      <c r="AA14542"/>
    </row>
    <row r="14543" spans="27:27" ht="17.899999999999999" customHeight="1">
      <c r="AA14543"/>
    </row>
    <row r="14544" spans="27:27" ht="17.899999999999999" customHeight="1">
      <c r="AA14544"/>
    </row>
    <row r="14545" spans="27:27" ht="17.899999999999999" customHeight="1">
      <c r="AA14545"/>
    </row>
    <row r="14546" spans="27:27" ht="17.899999999999999" customHeight="1">
      <c r="AA14546"/>
    </row>
    <row r="14547" spans="27:27" ht="17.899999999999999" customHeight="1">
      <c r="AA14547"/>
    </row>
    <row r="14548" spans="27:27" ht="17.899999999999999" customHeight="1">
      <c r="AA14548"/>
    </row>
    <row r="14549" spans="27:27" ht="17.899999999999999" customHeight="1">
      <c r="AA14549"/>
    </row>
    <row r="14550" spans="27:27" ht="17.899999999999999" customHeight="1">
      <c r="AA14550"/>
    </row>
    <row r="14551" spans="27:27" ht="17.899999999999999" customHeight="1">
      <c r="AA14551"/>
    </row>
    <row r="14552" spans="27:27" ht="17.899999999999999" customHeight="1">
      <c r="AA14552"/>
    </row>
    <row r="14553" spans="27:27" ht="17.899999999999999" customHeight="1">
      <c r="AA14553"/>
    </row>
    <row r="14554" spans="27:27" ht="17.899999999999999" customHeight="1">
      <c r="AA14554"/>
    </row>
    <row r="14555" spans="27:27" ht="17.899999999999999" customHeight="1">
      <c r="AA14555"/>
    </row>
    <row r="14556" spans="27:27" ht="17.899999999999999" customHeight="1">
      <c r="AA14556"/>
    </row>
    <row r="14557" spans="27:27" ht="17.899999999999999" customHeight="1">
      <c r="AA14557"/>
    </row>
    <row r="14558" spans="27:27" ht="17.899999999999999" customHeight="1">
      <c r="AA14558"/>
    </row>
    <row r="14559" spans="27:27" ht="17.899999999999999" customHeight="1">
      <c r="AA14559"/>
    </row>
    <row r="14560" spans="27:27" ht="17.899999999999999" customHeight="1">
      <c r="AA14560"/>
    </row>
    <row r="14561" spans="27:27" ht="17.899999999999999" customHeight="1">
      <c r="AA14561"/>
    </row>
    <row r="14562" spans="27:27" ht="17.899999999999999" customHeight="1">
      <c r="AA14562"/>
    </row>
    <row r="14563" spans="27:27" ht="17.899999999999999" customHeight="1">
      <c r="AA14563"/>
    </row>
    <row r="14564" spans="27:27" ht="17.899999999999999" customHeight="1">
      <c r="AA14564"/>
    </row>
    <row r="14565" spans="27:27" ht="17.899999999999999" customHeight="1">
      <c r="AA14565"/>
    </row>
    <row r="14566" spans="27:27" ht="17.899999999999999" customHeight="1">
      <c r="AA14566"/>
    </row>
    <row r="14567" spans="27:27" ht="17.899999999999999" customHeight="1">
      <c r="AA14567"/>
    </row>
    <row r="14568" spans="27:27" ht="17.899999999999999" customHeight="1">
      <c r="AA14568"/>
    </row>
    <row r="14569" spans="27:27" ht="17.899999999999999" customHeight="1">
      <c r="AA14569"/>
    </row>
    <row r="14570" spans="27:27" ht="17.899999999999999" customHeight="1">
      <c r="AA14570"/>
    </row>
    <row r="14571" spans="27:27" ht="17.899999999999999" customHeight="1">
      <c r="AA14571"/>
    </row>
    <row r="14572" spans="27:27" ht="17.899999999999999" customHeight="1">
      <c r="AA14572"/>
    </row>
    <row r="14573" spans="27:27" ht="17.899999999999999" customHeight="1">
      <c r="AA14573"/>
    </row>
    <row r="14574" spans="27:27" ht="17.899999999999999" customHeight="1">
      <c r="AA14574"/>
    </row>
    <row r="14575" spans="27:27" ht="17.899999999999999" customHeight="1">
      <c r="AA14575"/>
    </row>
    <row r="14576" spans="27:27" ht="17.899999999999999" customHeight="1">
      <c r="AA14576"/>
    </row>
    <row r="14577" spans="27:27" ht="17.899999999999999" customHeight="1">
      <c r="AA14577"/>
    </row>
    <row r="14578" spans="27:27" ht="17.899999999999999" customHeight="1">
      <c r="AA14578"/>
    </row>
    <row r="14579" spans="27:27" ht="17.899999999999999" customHeight="1">
      <c r="AA14579"/>
    </row>
    <row r="14580" spans="27:27" ht="17.899999999999999" customHeight="1">
      <c r="AA14580"/>
    </row>
    <row r="14581" spans="27:27" ht="17.899999999999999" customHeight="1">
      <c r="AA14581"/>
    </row>
    <row r="14582" spans="27:27" ht="17.899999999999999" customHeight="1">
      <c r="AA14582"/>
    </row>
    <row r="14583" spans="27:27" ht="17.899999999999999" customHeight="1">
      <c r="AA14583"/>
    </row>
    <row r="14584" spans="27:27" ht="17.899999999999999" customHeight="1">
      <c r="AA14584"/>
    </row>
    <row r="14585" spans="27:27" ht="17.899999999999999" customHeight="1">
      <c r="AA14585"/>
    </row>
    <row r="14586" spans="27:27" ht="17.899999999999999" customHeight="1">
      <c r="AA14586"/>
    </row>
    <row r="14587" spans="27:27" ht="17.899999999999999" customHeight="1">
      <c r="AA14587"/>
    </row>
    <row r="14588" spans="27:27" ht="17.899999999999999" customHeight="1">
      <c r="AA14588"/>
    </row>
    <row r="14589" spans="27:27" ht="17.899999999999999" customHeight="1">
      <c r="AA14589"/>
    </row>
    <row r="14590" spans="27:27" ht="17.899999999999999" customHeight="1">
      <c r="AA14590"/>
    </row>
    <row r="14591" spans="27:27" ht="17.899999999999999" customHeight="1">
      <c r="AA14591"/>
    </row>
    <row r="14592" spans="27:27" ht="17.899999999999999" customHeight="1">
      <c r="AA14592"/>
    </row>
    <row r="14593" spans="27:27" ht="17.899999999999999" customHeight="1">
      <c r="AA14593"/>
    </row>
    <row r="14594" spans="27:27" ht="17.899999999999999" customHeight="1">
      <c r="AA14594"/>
    </row>
    <row r="14595" spans="27:27" ht="17.899999999999999" customHeight="1">
      <c r="AA14595"/>
    </row>
    <row r="14596" spans="27:27" ht="17.899999999999999" customHeight="1">
      <c r="AA14596"/>
    </row>
    <row r="14597" spans="27:27" ht="17.899999999999999" customHeight="1">
      <c r="AA14597"/>
    </row>
    <row r="14598" spans="27:27" ht="17.899999999999999" customHeight="1">
      <c r="AA14598"/>
    </row>
    <row r="14599" spans="27:27" ht="17.899999999999999" customHeight="1">
      <c r="AA14599"/>
    </row>
    <row r="14600" spans="27:27" ht="17.899999999999999" customHeight="1">
      <c r="AA14600"/>
    </row>
    <row r="14601" spans="27:27" ht="17.899999999999999" customHeight="1">
      <c r="AA14601"/>
    </row>
    <row r="14602" spans="27:27" ht="17.899999999999999" customHeight="1">
      <c r="AA14602"/>
    </row>
    <row r="14603" spans="27:27" ht="17.899999999999999" customHeight="1">
      <c r="AA14603"/>
    </row>
    <row r="14604" spans="27:27" ht="17.899999999999999" customHeight="1">
      <c r="AA14604"/>
    </row>
    <row r="14605" spans="27:27" ht="17.899999999999999" customHeight="1">
      <c r="AA14605"/>
    </row>
    <row r="14606" spans="27:27" ht="17.899999999999999" customHeight="1">
      <c r="AA14606"/>
    </row>
    <row r="14607" spans="27:27" ht="17.899999999999999" customHeight="1">
      <c r="AA14607"/>
    </row>
    <row r="14608" spans="27:27" ht="17.899999999999999" customHeight="1">
      <c r="AA14608"/>
    </row>
    <row r="14609" spans="27:27" ht="17.899999999999999" customHeight="1">
      <c r="AA14609"/>
    </row>
    <row r="14610" spans="27:27" ht="17.899999999999999" customHeight="1">
      <c r="AA14610"/>
    </row>
    <row r="14611" spans="27:27" ht="17.899999999999999" customHeight="1">
      <c r="AA14611"/>
    </row>
    <row r="14612" spans="27:27" ht="17.899999999999999" customHeight="1">
      <c r="AA14612"/>
    </row>
    <row r="14613" spans="27:27" ht="17.899999999999999" customHeight="1">
      <c r="AA14613"/>
    </row>
    <row r="14614" spans="27:27" ht="17.899999999999999" customHeight="1">
      <c r="AA14614"/>
    </row>
    <row r="14615" spans="27:27" ht="17.899999999999999" customHeight="1">
      <c r="AA14615"/>
    </row>
    <row r="14616" spans="27:27" ht="17.899999999999999" customHeight="1">
      <c r="AA14616"/>
    </row>
    <row r="14617" spans="27:27" ht="17.899999999999999" customHeight="1">
      <c r="AA14617"/>
    </row>
    <row r="14618" spans="27:27" ht="17.899999999999999" customHeight="1">
      <c r="AA14618"/>
    </row>
    <row r="14619" spans="27:27" ht="17.899999999999999" customHeight="1">
      <c r="AA14619"/>
    </row>
    <row r="14620" spans="27:27" ht="17.899999999999999" customHeight="1">
      <c r="AA14620"/>
    </row>
    <row r="14621" spans="27:27" ht="17.899999999999999" customHeight="1">
      <c r="AA14621"/>
    </row>
    <row r="14622" spans="27:27" ht="17.899999999999999" customHeight="1">
      <c r="AA14622"/>
    </row>
    <row r="14623" spans="27:27" ht="17.899999999999999" customHeight="1">
      <c r="AA14623"/>
    </row>
    <row r="14624" spans="27:27" ht="17.899999999999999" customHeight="1">
      <c r="AA14624"/>
    </row>
    <row r="14625" spans="27:27" ht="17.899999999999999" customHeight="1">
      <c r="AA14625"/>
    </row>
    <row r="14626" spans="27:27" ht="17.899999999999999" customHeight="1">
      <c r="AA14626"/>
    </row>
    <row r="14627" spans="27:27" ht="17.899999999999999" customHeight="1">
      <c r="AA14627"/>
    </row>
    <row r="14628" spans="27:27" ht="17.899999999999999" customHeight="1">
      <c r="AA14628"/>
    </row>
    <row r="14629" spans="27:27" ht="17.899999999999999" customHeight="1">
      <c r="AA14629"/>
    </row>
    <row r="14630" spans="27:27" ht="17.899999999999999" customHeight="1">
      <c r="AA14630"/>
    </row>
    <row r="14631" spans="27:27" ht="17.899999999999999" customHeight="1">
      <c r="AA14631"/>
    </row>
    <row r="14632" spans="27:27" ht="17.899999999999999" customHeight="1">
      <c r="AA14632"/>
    </row>
    <row r="14633" spans="27:27" ht="17.899999999999999" customHeight="1">
      <c r="AA14633"/>
    </row>
    <row r="14634" spans="27:27" ht="17.899999999999999" customHeight="1">
      <c r="AA14634"/>
    </row>
    <row r="14635" spans="27:27" ht="17.899999999999999" customHeight="1">
      <c r="AA14635"/>
    </row>
    <row r="14636" spans="27:27" ht="17.899999999999999" customHeight="1">
      <c r="AA14636"/>
    </row>
    <row r="14637" spans="27:27" ht="17.899999999999999" customHeight="1">
      <c r="AA14637"/>
    </row>
    <row r="14638" spans="27:27" ht="17.899999999999999" customHeight="1">
      <c r="AA14638"/>
    </row>
    <row r="14639" spans="27:27" ht="17.899999999999999" customHeight="1">
      <c r="AA14639"/>
    </row>
    <row r="14640" spans="27:27" ht="17.899999999999999" customHeight="1">
      <c r="AA14640"/>
    </row>
    <row r="14641" spans="27:27" ht="17.899999999999999" customHeight="1">
      <c r="AA14641"/>
    </row>
    <row r="14642" spans="27:27" ht="17.899999999999999" customHeight="1">
      <c r="AA14642"/>
    </row>
    <row r="14643" spans="27:27" ht="17.899999999999999" customHeight="1">
      <c r="AA14643"/>
    </row>
    <row r="14644" spans="27:27" ht="17.899999999999999" customHeight="1">
      <c r="AA14644"/>
    </row>
    <row r="14645" spans="27:27" ht="17.899999999999999" customHeight="1">
      <c r="AA14645"/>
    </row>
    <row r="14646" spans="27:27" ht="17.899999999999999" customHeight="1">
      <c r="AA14646"/>
    </row>
    <row r="14647" spans="27:27" ht="17.899999999999999" customHeight="1">
      <c r="AA14647"/>
    </row>
    <row r="14648" spans="27:27" ht="17.899999999999999" customHeight="1">
      <c r="AA14648"/>
    </row>
    <row r="14649" spans="27:27" ht="17.899999999999999" customHeight="1">
      <c r="AA14649"/>
    </row>
    <row r="14650" spans="27:27" ht="17.899999999999999" customHeight="1">
      <c r="AA14650"/>
    </row>
    <row r="14651" spans="27:27" ht="17.899999999999999" customHeight="1">
      <c r="AA14651"/>
    </row>
    <row r="14652" spans="27:27" ht="17.899999999999999" customHeight="1">
      <c r="AA14652"/>
    </row>
    <row r="14653" spans="27:27" ht="17.899999999999999" customHeight="1">
      <c r="AA14653"/>
    </row>
    <row r="14654" spans="27:27" ht="17.899999999999999" customHeight="1">
      <c r="AA14654"/>
    </row>
    <row r="14655" spans="27:27" ht="17.899999999999999" customHeight="1">
      <c r="AA14655"/>
    </row>
    <row r="14656" spans="27:27" ht="17.899999999999999" customHeight="1">
      <c r="AA14656"/>
    </row>
    <row r="14657" spans="27:27" ht="17.899999999999999" customHeight="1">
      <c r="AA14657"/>
    </row>
    <row r="14658" spans="27:27" ht="17.899999999999999" customHeight="1">
      <c r="AA14658"/>
    </row>
    <row r="14659" spans="27:27" ht="17.899999999999999" customHeight="1">
      <c r="AA14659"/>
    </row>
    <row r="14660" spans="27:27" ht="17.899999999999999" customHeight="1">
      <c r="AA14660"/>
    </row>
    <row r="14661" spans="27:27" ht="17.899999999999999" customHeight="1">
      <c r="AA14661"/>
    </row>
    <row r="14662" spans="27:27" ht="17.899999999999999" customHeight="1">
      <c r="AA14662"/>
    </row>
    <row r="14663" spans="27:27" ht="17.899999999999999" customHeight="1">
      <c r="AA14663"/>
    </row>
    <row r="14664" spans="27:27" ht="17.899999999999999" customHeight="1">
      <c r="AA14664"/>
    </row>
    <row r="14665" spans="27:27" ht="17.899999999999999" customHeight="1">
      <c r="AA14665"/>
    </row>
    <row r="14666" spans="27:27" ht="17.899999999999999" customHeight="1">
      <c r="AA14666"/>
    </row>
    <row r="14667" spans="27:27" ht="17.899999999999999" customHeight="1">
      <c r="AA14667"/>
    </row>
    <row r="14668" spans="27:27" ht="17.899999999999999" customHeight="1">
      <c r="AA14668"/>
    </row>
    <row r="14669" spans="27:27" ht="17.899999999999999" customHeight="1">
      <c r="AA14669"/>
    </row>
    <row r="14670" spans="27:27" ht="17.899999999999999" customHeight="1">
      <c r="AA14670"/>
    </row>
    <row r="14671" spans="27:27" ht="17.899999999999999" customHeight="1">
      <c r="AA14671"/>
    </row>
    <row r="14672" spans="27:27" ht="17.899999999999999" customHeight="1">
      <c r="AA14672"/>
    </row>
    <row r="14673" spans="27:27" ht="17.899999999999999" customHeight="1">
      <c r="AA14673"/>
    </row>
    <row r="14674" spans="27:27" ht="17.899999999999999" customHeight="1">
      <c r="AA14674"/>
    </row>
    <row r="14675" spans="27:27" ht="17.899999999999999" customHeight="1">
      <c r="AA14675"/>
    </row>
    <row r="14676" spans="27:27" ht="17.899999999999999" customHeight="1">
      <c r="AA14676"/>
    </row>
    <row r="14677" spans="27:27" ht="17.899999999999999" customHeight="1">
      <c r="AA14677"/>
    </row>
    <row r="14678" spans="27:27" ht="17.899999999999999" customHeight="1">
      <c r="AA14678"/>
    </row>
    <row r="14679" spans="27:27" ht="17.899999999999999" customHeight="1">
      <c r="AA14679"/>
    </row>
    <row r="14680" spans="27:27" ht="17.899999999999999" customHeight="1">
      <c r="AA14680"/>
    </row>
    <row r="14681" spans="27:27" ht="17.899999999999999" customHeight="1">
      <c r="AA14681"/>
    </row>
    <row r="14682" spans="27:27" ht="17.899999999999999" customHeight="1">
      <c r="AA14682"/>
    </row>
    <row r="14683" spans="27:27" ht="17.899999999999999" customHeight="1">
      <c r="AA14683"/>
    </row>
    <row r="14684" spans="27:27" ht="17.899999999999999" customHeight="1">
      <c r="AA14684"/>
    </row>
    <row r="14685" spans="27:27" ht="17.899999999999999" customHeight="1">
      <c r="AA14685"/>
    </row>
    <row r="14686" spans="27:27" ht="17.899999999999999" customHeight="1">
      <c r="AA14686"/>
    </row>
    <row r="14687" spans="27:27" ht="17.899999999999999" customHeight="1">
      <c r="AA14687"/>
    </row>
    <row r="14688" spans="27:27" ht="17.899999999999999" customHeight="1">
      <c r="AA14688"/>
    </row>
    <row r="14689" spans="27:27" ht="17.899999999999999" customHeight="1">
      <c r="AA14689"/>
    </row>
    <row r="14690" spans="27:27" ht="17.899999999999999" customHeight="1">
      <c r="AA14690"/>
    </row>
    <row r="14691" spans="27:27" ht="17.899999999999999" customHeight="1">
      <c r="AA14691"/>
    </row>
    <row r="14692" spans="27:27" ht="17.899999999999999" customHeight="1">
      <c r="AA14692"/>
    </row>
    <row r="14693" spans="27:27" ht="17.899999999999999" customHeight="1">
      <c r="AA14693"/>
    </row>
    <row r="14694" spans="27:27" ht="17.899999999999999" customHeight="1">
      <c r="AA14694"/>
    </row>
    <row r="14695" spans="27:27" ht="17.899999999999999" customHeight="1">
      <c r="AA14695"/>
    </row>
    <row r="14696" spans="27:27" ht="17.899999999999999" customHeight="1">
      <c r="AA14696"/>
    </row>
    <row r="14697" spans="27:27" ht="17.899999999999999" customHeight="1">
      <c r="AA14697"/>
    </row>
    <row r="14698" spans="27:27" ht="17.899999999999999" customHeight="1">
      <c r="AA14698"/>
    </row>
    <row r="14699" spans="27:27" ht="17.899999999999999" customHeight="1">
      <c r="AA14699"/>
    </row>
    <row r="14700" spans="27:27" ht="17.899999999999999" customHeight="1">
      <c r="AA14700"/>
    </row>
    <row r="14701" spans="27:27" ht="17.899999999999999" customHeight="1">
      <c r="AA14701"/>
    </row>
    <row r="14702" spans="27:27" ht="17.899999999999999" customHeight="1">
      <c r="AA14702"/>
    </row>
    <row r="14703" spans="27:27" ht="17.899999999999999" customHeight="1">
      <c r="AA14703"/>
    </row>
    <row r="14704" spans="27:27" ht="17.899999999999999" customHeight="1">
      <c r="AA14704"/>
    </row>
    <row r="14705" spans="27:27" ht="17.899999999999999" customHeight="1">
      <c r="AA14705"/>
    </row>
    <row r="14706" spans="27:27" ht="17.899999999999999" customHeight="1">
      <c r="AA14706"/>
    </row>
    <row r="14707" spans="27:27" ht="17.899999999999999" customHeight="1">
      <c r="AA14707"/>
    </row>
    <row r="14708" spans="27:27" ht="17.899999999999999" customHeight="1">
      <c r="AA14708"/>
    </row>
    <row r="14709" spans="27:27" ht="17.899999999999999" customHeight="1">
      <c r="AA14709"/>
    </row>
    <row r="14710" spans="27:27" ht="17.899999999999999" customHeight="1">
      <c r="AA14710"/>
    </row>
    <row r="14711" spans="27:27" ht="17.899999999999999" customHeight="1">
      <c r="AA14711"/>
    </row>
    <row r="14712" spans="27:27" ht="17.899999999999999" customHeight="1">
      <c r="AA14712"/>
    </row>
    <row r="14713" spans="27:27" ht="17.899999999999999" customHeight="1">
      <c r="AA14713"/>
    </row>
    <row r="14714" spans="27:27" ht="17.899999999999999" customHeight="1">
      <c r="AA14714"/>
    </row>
    <row r="14715" spans="27:27" ht="17.899999999999999" customHeight="1">
      <c r="AA14715"/>
    </row>
    <row r="14716" spans="27:27" ht="17.899999999999999" customHeight="1">
      <c r="AA14716"/>
    </row>
    <row r="14717" spans="27:27" ht="17.899999999999999" customHeight="1">
      <c r="AA14717"/>
    </row>
    <row r="14718" spans="27:27" ht="17.899999999999999" customHeight="1">
      <c r="AA14718"/>
    </row>
    <row r="14719" spans="27:27" ht="17.899999999999999" customHeight="1">
      <c r="AA14719"/>
    </row>
    <row r="14720" spans="27:27" ht="17.899999999999999" customHeight="1">
      <c r="AA14720"/>
    </row>
    <row r="14721" spans="27:27" ht="17.899999999999999" customHeight="1">
      <c r="AA14721"/>
    </row>
    <row r="14722" spans="27:27" ht="17.899999999999999" customHeight="1">
      <c r="AA14722"/>
    </row>
    <row r="14723" spans="27:27" ht="17.899999999999999" customHeight="1">
      <c r="AA14723"/>
    </row>
    <row r="14724" spans="27:27" ht="17.899999999999999" customHeight="1">
      <c r="AA14724"/>
    </row>
    <row r="14725" spans="27:27" ht="17.899999999999999" customHeight="1">
      <c r="AA14725"/>
    </row>
    <row r="14726" spans="27:27" ht="17.899999999999999" customHeight="1">
      <c r="AA14726"/>
    </row>
    <row r="14727" spans="27:27" ht="17.899999999999999" customHeight="1">
      <c r="AA14727"/>
    </row>
    <row r="14728" spans="27:27" ht="17.899999999999999" customHeight="1">
      <c r="AA14728"/>
    </row>
    <row r="14729" spans="27:27" ht="17.899999999999999" customHeight="1">
      <c r="AA14729"/>
    </row>
    <row r="14730" spans="27:27" ht="17.899999999999999" customHeight="1">
      <c r="AA14730"/>
    </row>
    <row r="14731" spans="27:27" ht="17.899999999999999" customHeight="1">
      <c r="AA14731"/>
    </row>
    <row r="14732" spans="27:27" ht="17.899999999999999" customHeight="1">
      <c r="AA14732"/>
    </row>
    <row r="14733" spans="27:27" ht="17.899999999999999" customHeight="1">
      <c r="AA14733"/>
    </row>
    <row r="14734" spans="27:27" ht="17.899999999999999" customHeight="1">
      <c r="AA14734"/>
    </row>
    <row r="14735" spans="27:27" ht="17.899999999999999" customHeight="1">
      <c r="AA14735"/>
    </row>
    <row r="14736" spans="27:27" ht="17.899999999999999" customHeight="1">
      <c r="AA14736"/>
    </row>
    <row r="14737" spans="27:27" ht="17.899999999999999" customHeight="1">
      <c r="AA14737"/>
    </row>
    <row r="14738" spans="27:27" ht="17.899999999999999" customHeight="1">
      <c r="AA14738"/>
    </row>
    <row r="14739" spans="27:27" ht="17.899999999999999" customHeight="1">
      <c r="AA14739"/>
    </row>
    <row r="14740" spans="27:27" ht="17.899999999999999" customHeight="1">
      <c r="AA14740"/>
    </row>
    <row r="14741" spans="27:27" ht="17.899999999999999" customHeight="1">
      <c r="AA14741"/>
    </row>
    <row r="14742" spans="27:27" ht="17.899999999999999" customHeight="1">
      <c r="AA14742"/>
    </row>
    <row r="14743" spans="27:27" ht="17.899999999999999" customHeight="1">
      <c r="AA14743"/>
    </row>
    <row r="14744" spans="27:27" ht="17.899999999999999" customHeight="1">
      <c r="AA14744"/>
    </row>
    <row r="14745" spans="27:27" ht="17.899999999999999" customHeight="1">
      <c r="AA14745"/>
    </row>
    <row r="14746" spans="27:27" ht="17.899999999999999" customHeight="1">
      <c r="AA14746"/>
    </row>
    <row r="14747" spans="27:27" ht="17.899999999999999" customHeight="1">
      <c r="AA14747"/>
    </row>
    <row r="14748" spans="27:27" ht="17.899999999999999" customHeight="1">
      <c r="AA14748"/>
    </row>
    <row r="14749" spans="27:27" ht="17.899999999999999" customHeight="1">
      <c r="AA14749"/>
    </row>
    <row r="14750" spans="27:27" ht="17.899999999999999" customHeight="1">
      <c r="AA14750"/>
    </row>
    <row r="14751" spans="27:27" ht="17.899999999999999" customHeight="1">
      <c r="AA14751"/>
    </row>
    <row r="14752" spans="27:27" ht="17.899999999999999" customHeight="1">
      <c r="AA14752"/>
    </row>
    <row r="14753" spans="27:27" ht="17.899999999999999" customHeight="1">
      <c r="AA14753"/>
    </row>
    <row r="14754" spans="27:27" ht="17.899999999999999" customHeight="1">
      <c r="AA14754"/>
    </row>
    <row r="14755" spans="27:27" ht="17.899999999999999" customHeight="1">
      <c r="AA14755"/>
    </row>
    <row r="14756" spans="27:27" ht="17.899999999999999" customHeight="1">
      <c r="AA14756"/>
    </row>
    <row r="14757" spans="27:27" ht="17.899999999999999" customHeight="1">
      <c r="AA14757"/>
    </row>
    <row r="14758" spans="27:27" ht="17.899999999999999" customHeight="1">
      <c r="AA14758"/>
    </row>
    <row r="14759" spans="27:27" ht="17.899999999999999" customHeight="1">
      <c r="AA14759"/>
    </row>
    <row r="14760" spans="27:27" ht="17.899999999999999" customHeight="1">
      <c r="AA14760"/>
    </row>
    <row r="14761" spans="27:27" ht="17.899999999999999" customHeight="1">
      <c r="AA14761"/>
    </row>
    <row r="14762" spans="27:27" ht="17.899999999999999" customHeight="1">
      <c r="AA14762"/>
    </row>
    <row r="14763" spans="27:27" ht="17.899999999999999" customHeight="1">
      <c r="AA14763"/>
    </row>
    <row r="14764" spans="27:27" ht="17.899999999999999" customHeight="1">
      <c r="AA14764"/>
    </row>
    <row r="14765" spans="27:27" ht="17.899999999999999" customHeight="1">
      <c r="AA14765"/>
    </row>
    <row r="14766" spans="27:27" ht="17.899999999999999" customHeight="1">
      <c r="AA14766"/>
    </row>
    <row r="14767" spans="27:27" ht="17.899999999999999" customHeight="1">
      <c r="AA14767"/>
    </row>
    <row r="14768" spans="27:27" ht="17.899999999999999" customHeight="1">
      <c r="AA14768"/>
    </row>
    <row r="14769" spans="27:27" ht="17.899999999999999" customHeight="1">
      <c r="AA14769"/>
    </row>
    <row r="14770" spans="27:27" ht="17.899999999999999" customHeight="1">
      <c r="AA14770"/>
    </row>
    <row r="14771" spans="27:27" ht="17.899999999999999" customHeight="1">
      <c r="AA14771"/>
    </row>
    <row r="14772" spans="27:27" ht="17.899999999999999" customHeight="1">
      <c r="AA14772"/>
    </row>
    <row r="14773" spans="27:27" ht="17.899999999999999" customHeight="1">
      <c r="AA14773"/>
    </row>
    <row r="14774" spans="27:27" ht="17.899999999999999" customHeight="1">
      <c r="AA14774"/>
    </row>
    <row r="14775" spans="27:27" ht="17.899999999999999" customHeight="1">
      <c r="AA14775"/>
    </row>
    <row r="14776" spans="27:27" ht="17.899999999999999" customHeight="1">
      <c r="AA14776"/>
    </row>
    <row r="14777" spans="27:27" ht="17.899999999999999" customHeight="1">
      <c r="AA14777"/>
    </row>
    <row r="14778" spans="27:27" ht="17.899999999999999" customHeight="1">
      <c r="AA14778"/>
    </row>
    <row r="14779" spans="27:27" ht="17.899999999999999" customHeight="1">
      <c r="AA14779"/>
    </row>
    <row r="14780" spans="27:27" ht="17.899999999999999" customHeight="1">
      <c r="AA14780"/>
    </row>
    <row r="14781" spans="27:27" ht="17.899999999999999" customHeight="1">
      <c r="AA14781"/>
    </row>
    <row r="14782" spans="27:27" ht="17.899999999999999" customHeight="1">
      <c r="AA14782"/>
    </row>
    <row r="14783" spans="27:27" ht="17.899999999999999" customHeight="1">
      <c r="AA14783"/>
    </row>
    <row r="14784" spans="27:27" ht="17.899999999999999" customHeight="1">
      <c r="AA14784"/>
    </row>
    <row r="14785" spans="27:27" ht="17.899999999999999" customHeight="1">
      <c r="AA14785"/>
    </row>
    <row r="14786" spans="27:27" ht="17.899999999999999" customHeight="1">
      <c r="AA14786"/>
    </row>
    <row r="14787" spans="27:27" ht="17.899999999999999" customHeight="1">
      <c r="AA14787"/>
    </row>
    <row r="14788" spans="27:27" ht="17.899999999999999" customHeight="1">
      <c r="AA14788"/>
    </row>
    <row r="14789" spans="27:27" ht="17.899999999999999" customHeight="1">
      <c r="AA14789"/>
    </row>
    <row r="14790" spans="27:27" ht="17.899999999999999" customHeight="1">
      <c r="AA14790"/>
    </row>
    <row r="14791" spans="27:27" ht="17.899999999999999" customHeight="1">
      <c r="AA14791"/>
    </row>
    <row r="14792" spans="27:27" ht="17.899999999999999" customHeight="1">
      <c r="AA14792"/>
    </row>
    <row r="14793" spans="27:27" ht="17.899999999999999" customHeight="1">
      <c r="AA14793"/>
    </row>
    <row r="14794" spans="27:27" ht="17.899999999999999" customHeight="1">
      <c r="AA14794"/>
    </row>
    <row r="14795" spans="27:27" ht="17.899999999999999" customHeight="1">
      <c r="AA14795"/>
    </row>
    <row r="14796" spans="27:27" ht="17.899999999999999" customHeight="1">
      <c r="AA14796"/>
    </row>
    <row r="14797" spans="27:27" ht="17.899999999999999" customHeight="1">
      <c r="AA14797"/>
    </row>
    <row r="14798" spans="27:27" ht="17.899999999999999" customHeight="1">
      <c r="AA14798"/>
    </row>
    <row r="14799" spans="27:27" ht="17.899999999999999" customHeight="1">
      <c r="AA14799"/>
    </row>
    <row r="14800" spans="27:27" ht="17.899999999999999" customHeight="1">
      <c r="AA14800"/>
    </row>
    <row r="14801" spans="27:27" ht="17.899999999999999" customHeight="1">
      <c r="AA14801"/>
    </row>
    <row r="14802" spans="27:27" ht="17.899999999999999" customHeight="1">
      <c r="AA14802"/>
    </row>
    <row r="14803" spans="27:27" ht="17.899999999999999" customHeight="1">
      <c r="AA14803"/>
    </row>
    <row r="14804" spans="27:27" ht="17.899999999999999" customHeight="1">
      <c r="AA14804"/>
    </row>
    <row r="14805" spans="27:27" ht="17.899999999999999" customHeight="1">
      <c r="AA14805"/>
    </row>
    <row r="14806" spans="27:27" ht="17.899999999999999" customHeight="1">
      <c r="AA14806"/>
    </row>
    <row r="14807" spans="27:27" ht="17.899999999999999" customHeight="1">
      <c r="AA14807"/>
    </row>
    <row r="14808" spans="27:27" ht="17.899999999999999" customHeight="1">
      <c r="AA14808"/>
    </row>
    <row r="14809" spans="27:27" ht="17.899999999999999" customHeight="1">
      <c r="AA14809"/>
    </row>
    <row r="14810" spans="27:27" ht="17.899999999999999" customHeight="1">
      <c r="AA14810"/>
    </row>
    <row r="14811" spans="27:27" ht="17.899999999999999" customHeight="1">
      <c r="AA14811"/>
    </row>
    <row r="14812" spans="27:27" ht="17.899999999999999" customHeight="1">
      <c r="AA14812"/>
    </row>
    <row r="14813" spans="27:27" ht="17.899999999999999" customHeight="1">
      <c r="AA14813"/>
    </row>
    <row r="14814" spans="27:27" ht="17.899999999999999" customHeight="1">
      <c r="AA14814"/>
    </row>
    <row r="14815" spans="27:27" ht="17.899999999999999" customHeight="1">
      <c r="AA14815"/>
    </row>
    <row r="14816" spans="27:27" ht="17.899999999999999" customHeight="1">
      <c r="AA14816"/>
    </row>
    <row r="14817" spans="27:27" ht="17.899999999999999" customHeight="1">
      <c r="AA14817"/>
    </row>
    <row r="14818" spans="27:27" ht="17.899999999999999" customHeight="1">
      <c r="AA14818"/>
    </row>
    <row r="14819" spans="27:27" ht="17.899999999999999" customHeight="1">
      <c r="AA14819"/>
    </row>
    <row r="14820" spans="27:27" ht="17.899999999999999" customHeight="1">
      <c r="AA14820"/>
    </row>
    <row r="14821" spans="27:27" ht="17.899999999999999" customHeight="1">
      <c r="AA14821"/>
    </row>
    <row r="14822" spans="27:27" ht="17.899999999999999" customHeight="1">
      <c r="AA14822"/>
    </row>
    <row r="14823" spans="27:27" ht="17.899999999999999" customHeight="1">
      <c r="AA14823"/>
    </row>
    <row r="14824" spans="27:27" ht="17.899999999999999" customHeight="1">
      <c r="AA14824"/>
    </row>
    <row r="14825" spans="27:27" ht="17.899999999999999" customHeight="1">
      <c r="AA14825"/>
    </row>
    <row r="14826" spans="27:27" ht="17.899999999999999" customHeight="1">
      <c r="AA14826"/>
    </row>
    <row r="14827" spans="27:27" ht="17.899999999999999" customHeight="1">
      <c r="AA14827"/>
    </row>
    <row r="14828" spans="27:27" ht="17.899999999999999" customHeight="1">
      <c r="AA14828"/>
    </row>
    <row r="14829" spans="27:27" ht="17.899999999999999" customHeight="1">
      <c r="AA14829"/>
    </row>
    <row r="14830" spans="27:27" ht="17.899999999999999" customHeight="1">
      <c r="AA14830"/>
    </row>
    <row r="14831" spans="27:27" ht="17.899999999999999" customHeight="1">
      <c r="AA14831"/>
    </row>
    <row r="14832" spans="27:27" ht="17.899999999999999" customHeight="1">
      <c r="AA14832"/>
    </row>
    <row r="14833" spans="27:27" ht="17.899999999999999" customHeight="1">
      <c r="AA14833"/>
    </row>
    <row r="14834" spans="27:27" ht="17.899999999999999" customHeight="1">
      <c r="AA14834"/>
    </row>
    <row r="14835" spans="27:27" ht="17.899999999999999" customHeight="1">
      <c r="AA14835"/>
    </row>
    <row r="14836" spans="27:27" ht="17.899999999999999" customHeight="1">
      <c r="AA14836"/>
    </row>
    <row r="14837" spans="27:27" ht="17.899999999999999" customHeight="1">
      <c r="AA14837"/>
    </row>
    <row r="14838" spans="27:27" ht="17.899999999999999" customHeight="1">
      <c r="AA14838"/>
    </row>
    <row r="14839" spans="27:27" ht="17.899999999999999" customHeight="1">
      <c r="AA14839"/>
    </row>
    <row r="14840" spans="27:27" ht="17.899999999999999" customHeight="1">
      <c r="AA14840"/>
    </row>
    <row r="14841" spans="27:27" ht="17.899999999999999" customHeight="1">
      <c r="AA14841"/>
    </row>
    <row r="14842" spans="27:27" ht="17.899999999999999" customHeight="1">
      <c r="AA14842"/>
    </row>
    <row r="14843" spans="27:27" ht="17.899999999999999" customHeight="1">
      <c r="AA14843"/>
    </row>
    <row r="14844" spans="27:27" ht="17.899999999999999" customHeight="1">
      <c r="AA14844"/>
    </row>
    <row r="14845" spans="27:27" ht="17.899999999999999" customHeight="1">
      <c r="AA14845"/>
    </row>
    <row r="14846" spans="27:27" ht="17.899999999999999" customHeight="1">
      <c r="AA14846"/>
    </row>
    <row r="14847" spans="27:27" ht="17.899999999999999" customHeight="1">
      <c r="AA14847"/>
    </row>
    <row r="14848" spans="27:27" ht="17.899999999999999" customHeight="1">
      <c r="AA14848"/>
    </row>
    <row r="14849" spans="27:27" ht="17.899999999999999" customHeight="1">
      <c r="AA14849"/>
    </row>
    <row r="14850" spans="27:27" ht="17.899999999999999" customHeight="1">
      <c r="AA14850"/>
    </row>
    <row r="14851" spans="27:27" ht="17.899999999999999" customHeight="1">
      <c r="AA14851"/>
    </row>
    <row r="14852" spans="27:27" ht="17.899999999999999" customHeight="1">
      <c r="AA14852"/>
    </row>
    <row r="14853" spans="27:27" ht="17.899999999999999" customHeight="1">
      <c r="AA14853"/>
    </row>
    <row r="14854" spans="27:27" ht="17.899999999999999" customHeight="1">
      <c r="AA14854"/>
    </row>
    <row r="14855" spans="27:27" ht="17.899999999999999" customHeight="1">
      <c r="AA14855"/>
    </row>
    <row r="14856" spans="27:27" ht="17.899999999999999" customHeight="1">
      <c r="AA14856"/>
    </row>
    <row r="14857" spans="27:27" ht="17.899999999999999" customHeight="1">
      <c r="AA14857"/>
    </row>
    <row r="14858" spans="27:27" ht="17.899999999999999" customHeight="1">
      <c r="AA14858"/>
    </row>
    <row r="14859" spans="27:27" ht="17.899999999999999" customHeight="1">
      <c r="AA14859"/>
    </row>
    <row r="14860" spans="27:27" ht="17.899999999999999" customHeight="1">
      <c r="AA14860"/>
    </row>
    <row r="14861" spans="27:27" ht="17.899999999999999" customHeight="1">
      <c r="AA14861"/>
    </row>
    <row r="14862" spans="27:27" ht="17.899999999999999" customHeight="1">
      <c r="AA14862"/>
    </row>
    <row r="14863" spans="27:27" ht="17.899999999999999" customHeight="1">
      <c r="AA14863"/>
    </row>
    <row r="14864" spans="27:27" ht="17.899999999999999" customHeight="1">
      <c r="AA14864"/>
    </row>
    <row r="14865" spans="27:27" ht="17.899999999999999" customHeight="1">
      <c r="AA14865"/>
    </row>
    <row r="14866" spans="27:27" ht="17.899999999999999" customHeight="1">
      <c r="AA14866"/>
    </row>
    <row r="14867" spans="27:27" ht="17.899999999999999" customHeight="1">
      <c r="AA14867"/>
    </row>
    <row r="14868" spans="27:27" ht="17.899999999999999" customHeight="1">
      <c r="AA14868"/>
    </row>
    <row r="14869" spans="27:27" ht="17.899999999999999" customHeight="1">
      <c r="AA14869"/>
    </row>
    <row r="14870" spans="27:27" ht="17.899999999999999" customHeight="1">
      <c r="AA14870"/>
    </row>
    <row r="14871" spans="27:27" ht="17.899999999999999" customHeight="1">
      <c r="AA14871"/>
    </row>
    <row r="14872" spans="27:27" ht="17.899999999999999" customHeight="1">
      <c r="AA14872"/>
    </row>
    <row r="14873" spans="27:27" ht="17.899999999999999" customHeight="1">
      <c r="AA14873"/>
    </row>
    <row r="14874" spans="27:27" ht="17.899999999999999" customHeight="1">
      <c r="AA14874"/>
    </row>
    <row r="14875" spans="27:27" ht="17.899999999999999" customHeight="1">
      <c r="AA14875"/>
    </row>
    <row r="14876" spans="27:27" ht="17.899999999999999" customHeight="1">
      <c r="AA14876"/>
    </row>
    <row r="14877" spans="27:27" ht="17.899999999999999" customHeight="1">
      <c r="AA14877"/>
    </row>
    <row r="14878" spans="27:27" ht="17.899999999999999" customHeight="1">
      <c r="AA14878"/>
    </row>
    <row r="14879" spans="27:27" ht="17.899999999999999" customHeight="1">
      <c r="AA14879"/>
    </row>
    <row r="14880" spans="27:27" ht="17.899999999999999" customHeight="1">
      <c r="AA14880"/>
    </row>
    <row r="14881" spans="27:27" ht="17.899999999999999" customHeight="1">
      <c r="AA14881"/>
    </row>
    <row r="14882" spans="27:27" ht="17.899999999999999" customHeight="1">
      <c r="AA14882"/>
    </row>
    <row r="14883" spans="27:27" ht="17.899999999999999" customHeight="1">
      <c r="AA14883"/>
    </row>
    <row r="14884" spans="27:27" ht="17.899999999999999" customHeight="1">
      <c r="AA14884"/>
    </row>
    <row r="14885" spans="27:27" ht="17.899999999999999" customHeight="1">
      <c r="AA14885"/>
    </row>
    <row r="14886" spans="27:27" ht="17.899999999999999" customHeight="1">
      <c r="AA14886"/>
    </row>
    <row r="14887" spans="27:27" ht="17.899999999999999" customHeight="1">
      <c r="AA14887"/>
    </row>
    <row r="14888" spans="27:27" ht="17.899999999999999" customHeight="1">
      <c r="AA14888"/>
    </row>
    <row r="14889" spans="27:27" ht="17.899999999999999" customHeight="1">
      <c r="AA14889"/>
    </row>
    <row r="14890" spans="27:27" ht="17.899999999999999" customHeight="1">
      <c r="AA14890"/>
    </row>
    <row r="14891" spans="27:27" ht="17.899999999999999" customHeight="1">
      <c r="AA14891"/>
    </row>
    <row r="14892" spans="27:27" ht="17.899999999999999" customHeight="1">
      <c r="AA14892"/>
    </row>
    <row r="14893" spans="27:27" ht="17.899999999999999" customHeight="1">
      <c r="AA14893"/>
    </row>
    <row r="14894" spans="27:27" ht="17.899999999999999" customHeight="1">
      <c r="AA14894"/>
    </row>
    <row r="14895" spans="27:27" ht="17.899999999999999" customHeight="1">
      <c r="AA14895"/>
    </row>
    <row r="14896" spans="27:27" ht="17.899999999999999" customHeight="1">
      <c r="AA14896"/>
    </row>
    <row r="14897" spans="27:27" ht="17.899999999999999" customHeight="1">
      <c r="AA14897"/>
    </row>
    <row r="14898" spans="27:27" ht="17.899999999999999" customHeight="1">
      <c r="AA14898"/>
    </row>
    <row r="14899" spans="27:27" ht="17.899999999999999" customHeight="1">
      <c r="AA14899"/>
    </row>
    <row r="14900" spans="27:27" ht="17.899999999999999" customHeight="1">
      <c r="AA14900"/>
    </row>
    <row r="14901" spans="27:27" ht="17.899999999999999" customHeight="1">
      <c r="AA14901"/>
    </row>
    <row r="14902" spans="27:27" ht="17.899999999999999" customHeight="1">
      <c r="AA14902"/>
    </row>
    <row r="14903" spans="27:27" ht="17.899999999999999" customHeight="1">
      <c r="AA14903"/>
    </row>
    <row r="14904" spans="27:27" ht="17.899999999999999" customHeight="1">
      <c r="AA14904"/>
    </row>
    <row r="14905" spans="27:27" ht="17.899999999999999" customHeight="1">
      <c r="AA14905"/>
    </row>
    <row r="14906" spans="27:27" ht="17.899999999999999" customHeight="1">
      <c r="AA14906"/>
    </row>
    <row r="14907" spans="27:27" ht="17.899999999999999" customHeight="1">
      <c r="AA14907"/>
    </row>
    <row r="14908" spans="27:27" ht="17.899999999999999" customHeight="1">
      <c r="AA14908"/>
    </row>
    <row r="14909" spans="27:27" ht="17.899999999999999" customHeight="1">
      <c r="AA14909"/>
    </row>
    <row r="14910" spans="27:27" ht="17.899999999999999" customHeight="1">
      <c r="AA14910"/>
    </row>
    <row r="14911" spans="27:27" ht="17.899999999999999" customHeight="1">
      <c r="AA14911"/>
    </row>
    <row r="14912" spans="27:27" ht="17.899999999999999" customHeight="1">
      <c r="AA14912"/>
    </row>
    <row r="14913" spans="27:27" ht="17.899999999999999" customHeight="1">
      <c r="AA14913"/>
    </row>
    <row r="14914" spans="27:27" ht="17.899999999999999" customHeight="1">
      <c r="AA14914"/>
    </row>
    <row r="14915" spans="27:27" ht="17.899999999999999" customHeight="1">
      <c r="AA14915"/>
    </row>
    <row r="14916" spans="27:27" ht="17.899999999999999" customHeight="1">
      <c r="AA14916"/>
    </row>
    <row r="14917" spans="27:27" ht="17.899999999999999" customHeight="1">
      <c r="AA14917"/>
    </row>
    <row r="14918" spans="27:27" ht="17.899999999999999" customHeight="1">
      <c r="AA14918"/>
    </row>
    <row r="14919" spans="27:27" ht="17.899999999999999" customHeight="1">
      <c r="AA14919"/>
    </row>
    <row r="14920" spans="27:27" ht="17.899999999999999" customHeight="1">
      <c r="AA14920"/>
    </row>
    <row r="14921" spans="27:27" ht="17.899999999999999" customHeight="1">
      <c r="AA14921"/>
    </row>
    <row r="14922" spans="27:27" ht="17.899999999999999" customHeight="1">
      <c r="AA14922"/>
    </row>
    <row r="14923" spans="27:27" ht="17.899999999999999" customHeight="1">
      <c r="AA14923"/>
    </row>
    <row r="14924" spans="27:27" ht="17.899999999999999" customHeight="1">
      <c r="AA14924"/>
    </row>
    <row r="14925" spans="27:27" ht="17.899999999999999" customHeight="1">
      <c r="AA14925"/>
    </row>
    <row r="14926" spans="27:27" ht="17.899999999999999" customHeight="1">
      <c r="AA14926"/>
    </row>
    <row r="14927" spans="27:27" ht="17.899999999999999" customHeight="1">
      <c r="AA14927"/>
    </row>
    <row r="14928" spans="27:27" ht="17.899999999999999" customHeight="1">
      <c r="AA14928"/>
    </row>
    <row r="14929" spans="27:27" ht="17.899999999999999" customHeight="1">
      <c r="AA14929"/>
    </row>
    <row r="14930" spans="27:27" ht="17.899999999999999" customHeight="1">
      <c r="AA14930"/>
    </row>
    <row r="14931" spans="27:27" ht="17.899999999999999" customHeight="1">
      <c r="AA14931"/>
    </row>
    <row r="14932" spans="27:27" ht="17.899999999999999" customHeight="1">
      <c r="AA14932"/>
    </row>
    <row r="14933" spans="27:27" ht="17.899999999999999" customHeight="1">
      <c r="AA14933"/>
    </row>
    <row r="14934" spans="27:27" ht="17.899999999999999" customHeight="1">
      <c r="AA14934"/>
    </row>
    <row r="14935" spans="27:27" ht="17.899999999999999" customHeight="1">
      <c r="AA14935"/>
    </row>
    <row r="14936" spans="27:27" ht="17.899999999999999" customHeight="1">
      <c r="AA14936"/>
    </row>
    <row r="14937" spans="27:27" ht="17.899999999999999" customHeight="1">
      <c r="AA14937"/>
    </row>
    <row r="14938" spans="27:27" ht="17.899999999999999" customHeight="1">
      <c r="AA14938"/>
    </row>
    <row r="14939" spans="27:27" ht="17.899999999999999" customHeight="1">
      <c r="AA14939"/>
    </row>
    <row r="14940" spans="27:27" ht="17.899999999999999" customHeight="1">
      <c r="AA14940"/>
    </row>
    <row r="14941" spans="27:27" ht="17.899999999999999" customHeight="1">
      <c r="AA14941"/>
    </row>
    <row r="14942" spans="27:27" ht="17.899999999999999" customHeight="1">
      <c r="AA14942"/>
    </row>
    <row r="14943" spans="27:27" ht="17.899999999999999" customHeight="1">
      <c r="AA14943"/>
    </row>
    <row r="14944" spans="27:27" ht="17.899999999999999" customHeight="1">
      <c r="AA14944"/>
    </row>
    <row r="14945" spans="27:27" ht="17.899999999999999" customHeight="1">
      <c r="AA14945"/>
    </row>
    <row r="14946" spans="27:27" ht="17.899999999999999" customHeight="1">
      <c r="AA14946"/>
    </row>
    <row r="14947" spans="27:27" ht="17.899999999999999" customHeight="1">
      <c r="AA14947"/>
    </row>
    <row r="14948" spans="27:27" ht="17.899999999999999" customHeight="1">
      <c r="AA14948"/>
    </row>
    <row r="14949" spans="27:27" ht="17.899999999999999" customHeight="1">
      <c r="AA14949"/>
    </row>
    <row r="14950" spans="27:27" ht="17.899999999999999" customHeight="1">
      <c r="AA14950"/>
    </row>
    <row r="14951" spans="27:27" ht="17.899999999999999" customHeight="1">
      <c r="AA14951"/>
    </row>
    <row r="14952" spans="27:27" ht="17.899999999999999" customHeight="1">
      <c r="AA14952"/>
    </row>
    <row r="14953" spans="27:27" ht="17.899999999999999" customHeight="1">
      <c r="AA14953"/>
    </row>
    <row r="14954" spans="27:27" ht="17.899999999999999" customHeight="1">
      <c r="AA14954"/>
    </row>
    <row r="14955" spans="27:27" ht="17.899999999999999" customHeight="1">
      <c r="AA14955"/>
    </row>
    <row r="14956" spans="27:27" ht="17.899999999999999" customHeight="1">
      <c r="AA14956"/>
    </row>
    <row r="14957" spans="27:27" ht="17.899999999999999" customHeight="1">
      <c r="AA14957"/>
    </row>
    <row r="14958" spans="27:27" ht="17.899999999999999" customHeight="1">
      <c r="AA14958"/>
    </row>
    <row r="14959" spans="27:27" ht="17.899999999999999" customHeight="1">
      <c r="AA14959"/>
    </row>
    <row r="14960" spans="27:27" ht="17.899999999999999" customHeight="1">
      <c r="AA14960"/>
    </row>
    <row r="14961" spans="27:27" ht="17.899999999999999" customHeight="1">
      <c r="AA14961"/>
    </row>
    <row r="14962" spans="27:27" ht="17.899999999999999" customHeight="1">
      <c r="AA14962"/>
    </row>
    <row r="14963" spans="27:27" ht="17.899999999999999" customHeight="1">
      <c r="AA14963"/>
    </row>
    <row r="14964" spans="27:27" ht="17.899999999999999" customHeight="1">
      <c r="AA14964"/>
    </row>
    <row r="14965" spans="27:27" ht="17.899999999999999" customHeight="1">
      <c r="AA14965"/>
    </row>
    <row r="14966" spans="27:27" ht="17.899999999999999" customHeight="1">
      <c r="AA14966"/>
    </row>
    <row r="14967" spans="27:27" ht="17.899999999999999" customHeight="1">
      <c r="AA14967"/>
    </row>
    <row r="14968" spans="27:27" ht="17.899999999999999" customHeight="1">
      <c r="AA14968"/>
    </row>
    <row r="14969" spans="27:27" ht="17.899999999999999" customHeight="1">
      <c r="AA14969"/>
    </row>
    <row r="14970" spans="27:27" ht="17.899999999999999" customHeight="1">
      <c r="AA14970"/>
    </row>
    <row r="14971" spans="27:27" ht="17.899999999999999" customHeight="1">
      <c r="AA14971"/>
    </row>
    <row r="14972" spans="27:27" ht="17.899999999999999" customHeight="1">
      <c r="AA14972"/>
    </row>
    <row r="14973" spans="27:27" ht="17.899999999999999" customHeight="1">
      <c r="AA14973"/>
    </row>
    <row r="14974" spans="27:27" ht="17.899999999999999" customHeight="1">
      <c r="AA14974"/>
    </row>
    <row r="14975" spans="27:27" ht="17.899999999999999" customHeight="1">
      <c r="AA14975"/>
    </row>
    <row r="14976" spans="27:27" ht="17.899999999999999" customHeight="1">
      <c r="AA14976"/>
    </row>
    <row r="14977" spans="27:27" ht="17.899999999999999" customHeight="1">
      <c r="AA14977"/>
    </row>
    <row r="14978" spans="27:27" ht="17.899999999999999" customHeight="1">
      <c r="AA14978"/>
    </row>
    <row r="14979" spans="27:27" ht="17.899999999999999" customHeight="1">
      <c r="AA14979"/>
    </row>
    <row r="14980" spans="27:27" ht="17.899999999999999" customHeight="1">
      <c r="AA14980"/>
    </row>
    <row r="14981" spans="27:27" ht="17.899999999999999" customHeight="1">
      <c r="AA14981"/>
    </row>
    <row r="14982" spans="27:27" ht="17.899999999999999" customHeight="1">
      <c r="AA14982"/>
    </row>
    <row r="14983" spans="27:27" ht="17.899999999999999" customHeight="1">
      <c r="AA14983"/>
    </row>
    <row r="14984" spans="27:27" ht="17.899999999999999" customHeight="1">
      <c r="AA14984"/>
    </row>
    <row r="14985" spans="27:27" ht="17.899999999999999" customHeight="1">
      <c r="AA14985"/>
    </row>
    <row r="14986" spans="27:27" ht="17.899999999999999" customHeight="1">
      <c r="AA14986"/>
    </row>
    <row r="14987" spans="27:27" ht="17.899999999999999" customHeight="1">
      <c r="AA14987"/>
    </row>
    <row r="14988" spans="27:27" ht="17.899999999999999" customHeight="1">
      <c r="AA14988"/>
    </row>
    <row r="14989" spans="27:27" ht="17.899999999999999" customHeight="1">
      <c r="AA14989"/>
    </row>
    <row r="14990" spans="27:27" ht="17.899999999999999" customHeight="1">
      <c r="AA14990"/>
    </row>
    <row r="14991" spans="27:27" ht="17.899999999999999" customHeight="1">
      <c r="AA14991"/>
    </row>
    <row r="14992" spans="27:27" ht="17.899999999999999" customHeight="1">
      <c r="AA14992"/>
    </row>
    <row r="14993" spans="27:27" ht="17.899999999999999" customHeight="1">
      <c r="AA14993"/>
    </row>
    <row r="14994" spans="27:27" ht="17.899999999999999" customHeight="1">
      <c r="AA14994"/>
    </row>
    <row r="14995" spans="27:27" ht="17.899999999999999" customHeight="1">
      <c r="AA14995"/>
    </row>
    <row r="14996" spans="27:27" ht="17.899999999999999" customHeight="1">
      <c r="AA14996"/>
    </row>
    <row r="14997" spans="27:27" ht="17.899999999999999" customHeight="1">
      <c r="AA14997"/>
    </row>
    <row r="14998" spans="27:27" ht="17.899999999999999" customHeight="1">
      <c r="AA14998"/>
    </row>
    <row r="14999" spans="27:27" ht="17.899999999999999" customHeight="1">
      <c r="AA14999"/>
    </row>
    <row r="15000" spans="27:27" ht="17.899999999999999" customHeight="1">
      <c r="AA15000"/>
    </row>
    <row r="15001" spans="27:27" ht="17.899999999999999" customHeight="1">
      <c r="AA15001"/>
    </row>
    <row r="15002" spans="27:27" ht="17.899999999999999" customHeight="1">
      <c r="AA15002"/>
    </row>
    <row r="15003" spans="27:27" ht="17.899999999999999" customHeight="1">
      <c r="AA15003"/>
    </row>
    <row r="15004" spans="27:27" ht="17.899999999999999" customHeight="1">
      <c r="AA15004"/>
    </row>
    <row r="15005" spans="27:27" ht="17.899999999999999" customHeight="1">
      <c r="AA15005"/>
    </row>
    <row r="15006" spans="27:27" ht="17.899999999999999" customHeight="1">
      <c r="AA15006"/>
    </row>
    <row r="15007" spans="27:27" ht="17.899999999999999" customHeight="1">
      <c r="AA15007"/>
    </row>
    <row r="15008" spans="27:27" ht="17.899999999999999" customHeight="1">
      <c r="AA15008"/>
    </row>
    <row r="15009" spans="27:27" ht="17.899999999999999" customHeight="1">
      <c r="AA15009"/>
    </row>
    <row r="15010" spans="27:27" ht="17.899999999999999" customHeight="1">
      <c r="AA15010"/>
    </row>
    <row r="15011" spans="27:27" ht="17.899999999999999" customHeight="1">
      <c r="AA15011"/>
    </row>
    <row r="15012" spans="27:27" ht="17.899999999999999" customHeight="1">
      <c r="AA15012"/>
    </row>
    <row r="15013" spans="27:27" ht="17.899999999999999" customHeight="1">
      <c r="AA15013"/>
    </row>
    <row r="15014" spans="27:27" ht="17.899999999999999" customHeight="1">
      <c r="AA15014"/>
    </row>
    <row r="15015" spans="27:27" ht="17.899999999999999" customHeight="1">
      <c r="AA15015"/>
    </row>
    <row r="15016" spans="27:27" ht="17.899999999999999" customHeight="1">
      <c r="AA15016"/>
    </row>
    <row r="15017" spans="27:27" ht="17.899999999999999" customHeight="1">
      <c r="AA15017"/>
    </row>
    <row r="15018" spans="27:27" ht="17.899999999999999" customHeight="1">
      <c r="AA15018"/>
    </row>
    <row r="15019" spans="27:27" ht="17.899999999999999" customHeight="1">
      <c r="AA15019"/>
    </row>
    <row r="15020" spans="27:27" ht="17.899999999999999" customHeight="1">
      <c r="AA15020"/>
    </row>
    <row r="15021" spans="27:27" ht="17.899999999999999" customHeight="1">
      <c r="AA15021"/>
    </row>
    <row r="15022" spans="27:27" ht="17.899999999999999" customHeight="1">
      <c r="AA15022"/>
    </row>
    <row r="15023" spans="27:27" ht="17.899999999999999" customHeight="1">
      <c r="AA15023"/>
    </row>
    <row r="15024" spans="27:27" ht="17.899999999999999" customHeight="1">
      <c r="AA15024"/>
    </row>
    <row r="15025" spans="27:27" ht="17.899999999999999" customHeight="1">
      <c r="AA15025"/>
    </row>
    <row r="15026" spans="27:27" ht="17.899999999999999" customHeight="1">
      <c r="AA15026"/>
    </row>
    <row r="15027" spans="27:27" ht="17.899999999999999" customHeight="1">
      <c r="AA15027"/>
    </row>
    <row r="15028" spans="27:27" ht="17.899999999999999" customHeight="1">
      <c r="AA15028"/>
    </row>
    <row r="15029" spans="27:27" ht="17.899999999999999" customHeight="1">
      <c r="AA15029"/>
    </row>
    <row r="15030" spans="27:27" ht="17.899999999999999" customHeight="1">
      <c r="AA15030"/>
    </row>
    <row r="15031" spans="27:27" ht="17.899999999999999" customHeight="1">
      <c r="AA15031"/>
    </row>
    <row r="15032" spans="27:27" ht="17.899999999999999" customHeight="1">
      <c r="AA15032"/>
    </row>
    <row r="15033" spans="27:27" ht="17.899999999999999" customHeight="1">
      <c r="AA15033"/>
    </row>
    <row r="15034" spans="27:27" ht="17.899999999999999" customHeight="1">
      <c r="AA15034"/>
    </row>
    <row r="15035" spans="27:27" ht="17.899999999999999" customHeight="1">
      <c r="AA15035"/>
    </row>
    <row r="15036" spans="27:27" ht="17.899999999999999" customHeight="1">
      <c r="AA15036"/>
    </row>
    <row r="15037" spans="27:27" ht="17.899999999999999" customHeight="1">
      <c r="AA15037"/>
    </row>
    <row r="15038" spans="27:27" ht="17.899999999999999" customHeight="1">
      <c r="AA15038"/>
    </row>
    <row r="15039" spans="27:27" ht="17.899999999999999" customHeight="1">
      <c r="AA15039"/>
    </row>
    <row r="15040" spans="27:27" ht="17.899999999999999" customHeight="1">
      <c r="AA15040"/>
    </row>
    <row r="15041" spans="27:27" ht="17.899999999999999" customHeight="1">
      <c r="AA15041"/>
    </row>
    <row r="15042" spans="27:27" ht="17.899999999999999" customHeight="1">
      <c r="AA15042"/>
    </row>
    <row r="15043" spans="27:27" ht="17.899999999999999" customHeight="1">
      <c r="AA15043"/>
    </row>
    <row r="15044" spans="27:27" ht="17.899999999999999" customHeight="1">
      <c r="AA15044"/>
    </row>
    <row r="15045" spans="27:27" ht="17.899999999999999" customHeight="1">
      <c r="AA15045"/>
    </row>
    <row r="15046" spans="27:27" ht="17.899999999999999" customHeight="1">
      <c r="AA15046"/>
    </row>
    <row r="15047" spans="27:27" ht="17.899999999999999" customHeight="1">
      <c r="AA15047"/>
    </row>
    <row r="15048" spans="27:27" ht="17.899999999999999" customHeight="1">
      <c r="AA15048"/>
    </row>
    <row r="15049" spans="27:27" ht="17.899999999999999" customHeight="1">
      <c r="AA15049"/>
    </row>
    <row r="15050" spans="27:27" ht="17.899999999999999" customHeight="1">
      <c r="AA15050"/>
    </row>
    <row r="15051" spans="27:27" ht="17.899999999999999" customHeight="1">
      <c r="AA15051"/>
    </row>
    <row r="15052" spans="27:27" ht="17.899999999999999" customHeight="1">
      <c r="AA15052"/>
    </row>
    <row r="15053" spans="27:27" ht="17.899999999999999" customHeight="1">
      <c r="AA15053"/>
    </row>
    <row r="15054" spans="27:27" ht="17.899999999999999" customHeight="1">
      <c r="AA15054"/>
    </row>
    <row r="15055" spans="27:27" ht="17.899999999999999" customHeight="1">
      <c r="AA15055"/>
    </row>
    <row r="15056" spans="27:27" ht="17.899999999999999" customHeight="1">
      <c r="AA15056"/>
    </row>
    <row r="15057" spans="27:27" ht="17.899999999999999" customHeight="1">
      <c r="AA15057"/>
    </row>
    <row r="15058" spans="27:27" ht="17.899999999999999" customHeight="1">
      <c r="AA15058"/>
    </row>
    <row r="15059" spans="27:27" ht="17.899999999999999" customHeight="1">
      <c r="AA15059"/>
    </row>
    <row r="15060" spans="27:27" ht="17.899999999999999" customHeight="1">
      <c r="AA15060"/>
    </row>
    <row r="15061" spans="27:27" ht="17.899999999999999" customHeight="1">
      <c r="AA15061"/>
    </row>
    <row r="15062" spans="27:27" ht="17.899999999999999" customHeight="1">
      <c r="AA15062"/>
    </row>
    <row r="15063" spans="27:27" ht="17.899999999999999" customHeight="1">
      <c r="AA15063"/>
    </row>
    <row r="15064" spans="27:27" ht="17.899999999999999" customHeight="1">
      <c r="AA15064"/>
    </row>
    <row r="15065" spans="27:27" ht="17.899999999999999" customHeight="1">
      <c r="AA15065"/>
    </row>
    <row r="15066" spans="27:27" ht="17.899999999999999" customHeight="1">
      <c r="AA15066"/>
    </row>
    <row r="15067" spans="27:27" ht="17.899999999999999" customHeight="1">
      <c r="AA15067"/>
    </row>
    <row r="15068" spans="27:27" ht="17.899999999999999" customHeight="1">
      <c r="AA15068"/>
    </row>
    <row r="15069" spans="27:27" ht="17.899999999999999" customHeight="1">
      <c r="AA15069"/>
    </row>
    <row r="15070" spans="27:27" ht="17.899999999999999" customHeight="1">
      <c r="AA15070"/>
    </row>
    <row r="15071" spans="27:27" ht="17.899999999999999" customHeight="1">
      <c r="AA15071"/>
    </row>
    <row r="15072" spans="27:27" ht="17.899999999999999" customHeight="1">
      <c r="AA15072"/>
    </row>
    <row r="15073" spans="27:27" ht="17.899999999999999" customHeight="1">
      <c r="AA15073"/>
    </row>
    <row r="15074" spans="27:27" ht="17.899999999999999" customHeight="1">
      <c r="AA15074"/>
    </row>
    <row r="15075" spans="27:27" ht="17.899999999999999" customHeight="1">
      <c r="AA15075"/>
    </row>
    <row r="15076" spans="27:27" ht="17.899999999999999" customHeight="1">
      <c r="AA15076"/>
    </row>
    <row r="15077" spans="27:27" ht="17.899999999999999" customHeight="1">
      <c r="AA15077"/>
    </row>
    <row r="15078" spans="27:27" ht="17.899999999999999" customHeight="1">
      <c r="AA15078"/>
    </row>
    <row r="15079" spans="27:27" ht="17.899999999999999" customHeight="1">
      <c r="AA15079"/>
    </row>
    <row r="15080" spans="27:27" ht="17.899999999999999" customHeight="1">
      <c r="AA15080"/>
    </row>
    <row r="15081" spans="27:27" ht="17.899999999999999" customHeight="1">
      <c r="AA15081"/>
    </row>
    <row r="15082" spans="27:27" ht="17.899999999999999" customHeight="1">
      <c r="AA15082"/>
    </row>
    <row r="15083" spans="27:27" ht="17.899999999999999" customHeight="1">
      <c r="AA15083"/>
    </row>
    <row r="15084" spans="27:27" ht="17.899999999999999" customHeight="1">
      <c r="AA15084"/>
    </row>
    <row r="15085" spans="27:27" ht="17.899999999999999" customHeight="1">
      <c r="AA15085"/>
    </row>
    <row r="15086" spans="27:27" ht="17.899999999999999" customHeight="1">
      <c r="AA15086"/>
    </row>
    <row r="15087" spans="27:27" ht="17.899999999999999" customHeight="1">
      <c r="AA15087"/>
    </row>
    <row r="15088" spans="27:27" ht="17.899999999999999" customHeight="1">
      <c r="AA15088"/>
    </row>
    <row r="15089" spans="27:27" ht="17.899999999999999" customHeight="1">
      <c r="AA15089"/>
    </row>
    <row r="15090" spans="27:27" ht="17.899999999999999" customHeight="1">
      <c r="AA15090"/>
    </row>
    <row r="15091" spans="27:27" ht="17.899999999999999" customHeight="1">
      <c r="AA15091"/>
    </row>
    <row r="15092" spans="27:27" ht="17.899999999999999" customHeight="1">
      <c r="AA15092"/>
    </row>
    <row r="15093" spans="27:27" ht="17.899999999999999" customHeight="1">
      <c r="AA15093"/>
    </row>
    <row r="15094" spans="27:27" ht="17.899999999999999" customHeight="1">
      <c r="AA15094"/>
    </row>
    <row r="15095" spans="27:27" ht="17.899999999999999" customHeight="1">
      <c r="AA15095"/>
    </row>
    <row r="15096" spans="27:27" ht="17.899999999999999" customHeight="1">
      <c r="AA15096"/>
    </row>
    <row r="15097" spans="27:27" ht="17.899999999999999" customHeight="1">
      <c r="AA15097"/>
    </row>
    <row r="15098" spans="27:27" ht="17.899999999999999" customHeight="1">
      <c r="AA15098"/>
    </row>
    <row r="15099" spans="27:27" ht="17.899999999999999" customHeight="1">
      <c r="AA15099"/>
    </row>
    <row r="15100" spans="27:27" ht="17.899999999999999" customHeight="1">
      <c r="AA15100"/>
    </row>
    <row r="15101" spans="27:27" ht="17.899999999999999" customHeight="1">
      <c r="AA15101"/>
    </row>
    <row r="15102" spans="27:27" ht="17.899999999999999" customHeight="1">
      <c r="AA15102"/>
    </row>
    <row r="15103" spans="27:27" ht="17.899999999999999" customHeight="1">
      <c r="AA15103"/>
    </row>
    <row r="15104" spans="27:27" ht="17.899999999999999" customHeight="1">
      <c r="AA15104"/>
    </row>
    <row r="15105" spans="27:27" ht="17.899999999999999" customHeight="1">
      <c r="AA15105"/>
    </row>
    <row r="15106" spans="27:27" ht="17.899999999999999" customHeight="1">
      <c r="AA15106"/>
    </row>
    <row r="15107" spans="27:27" ht="17.899999999999999" customHeight="1">
      <c r="AA15107"/>
    </row>
    <row r="15108" spans="27:27" ht="17.899999999999999" customHeight="1">
      <c r="AA15108"/>
    </row>
    <row r="15109" spans="27:27" ht="17.899999999999999" customHeight="1">
      <c r="AA15109"/>
    </row>
    <row r="15110" spans="27:27" ht="17.899999999999999" customHeight="1">
      <c r="AA15110"/>
    </row>
    <row r="15111" spans="27:27" ht="17.899999999999999" customHeight="1">
      <c r="AA15111"/>
    </row>
    <row r="15112" spans="27:27" ht="17.899999999999999" customHeight="1">
      <c r="AA15112"/>
    </row>
    <row r="15113" spans="27:27" ht="17.899999999999999" customHeight="1">
      <c r="AA15113"/>
    </row>
    <row r="15114" spans="27:27" ht="17.899999999999999" customHeight="1">
      <c r="AA15114"/>
    </row>
    <row r="15115" spans="27:27" ht="17.899999999999999" customHeight="1">
      <c r="AA15115"/>
    </row>
    <row r="15116" spans="27:27" ht="17.899999999999999" customHeight="1">
      <c r="AA15116"/>
    </row>
    <row r="15117" spans="27:27" ht="17.899999999999999" customHeight="1">
      <c r="AA15117"/>
    </row>
    <row r="15118" spans="27:27" ht="17.899999999999999" customHeight="1">
      <c r="AA15118"/>
    </row>
    <row r="15119" spans="27:27" ht="17.899999999999999" customHeight="1">
      <c r="AA15119"/>
    </row>
    <row r="15120" spans="27:27" ht="17.899999999999999" customHeight="1">
      <c r="AA15120"/>
    </row>
    <row r="15121" spans="27:27" ht="17.899999999999999" customHeight="1">
      <c r="AA15121"/>
    </row>
    <row r="15122" spans="27:27" ht="17.899999999999999" customHeight="1">
      <c r="AA15122"/>
    </row>
    <row r="15123" spans="27:27" ht="17.899999999999999" customHeight="1">
      <c r="AA15123"/>
    </row>
    <row r="15124" spans="27:27" ht="17.899999999999999" customHeight="1">
      <c r="AA15124"/>
    </row>
    <row r="15125" spans="27:27" ht="17.899999999999999" customHeight="1">
      <c r="AA15125"/>
    </row>
    <row r="15126" spans="27:27" ht="17.899999999999999" customHeight="1">
      <c r="AA15126"/>
    </row>
    <row r="15127" spans="27:27" ht="17.899999999999999" customHeight="1">
      <c r="AA15127"/>
    </row>
    <row r="15128" spans="27:27" ht="17.899999999999999" customHeight="1">
      <c r="AA15128"/>
    </row>
    <row r="15129" spans="27:27" ht="17.899999999999999" customHeight="1">
      <c r="AA15129"/>
    </row>
    <row r="15130" spans="27:27" ht="17.899999999999999" customHeight="1">
      <c r="AA15130"/>
    </row>
    <row r="15131" spans="27:27" ht="17.899999999999999" customHeight="1">
      <c r="AA15131"/>
    </row>
    <row r="15132" spans="27:27" ht="17.899999999999999" customHeight="1">
      <c r="AA15132"/>
    </row>
    <row r="15133" spans="27:27" ht="17.899999999999999" customHeight="1">
      <c r="AA15133"/>
    </row>
    <row r="15134" spans="27:27" ht="17.899999999999999" customHeight="1">
      <c r="AA15134"/>
    </row>
    <row r="15135" spans="27:27" ht="17.899999999999999" customHeight="1">
      <c r="AA15135"/>
    </row>
    <row r="15136" spans="27:27" ht="17.899999999999999" customHeight="1">
      <c r="AA15136"/>
    </row>
    <row r="15137" spans="27:27" ht="17.899999999999999" customHeight="1">
      <c r="AA15137"/>
    </row>
    <row r="15138" spans="27:27" ht="17.899999999999999" customHeight="1">
      <c r="AA15138"/>
    </row>
    <row r="15139" spans="27:27" ht="17.899999999999999" customHeight="1">
      <c r="AA15139"/>
    </row>
    <row r="15140" spans="27:27" ht="17.899999999999999" customHeight="1">
      <c r="AA15140"/>
    </row>
    <row r="15141" spans="27:27" ht="17.899999999999999" customHeight="1">
      <c r="AA15141"/>
    </row>
    <row r="15142" spans="27:27" ht="17.899999999999999" customHeight="1">
      <c r="AA15142"/>
    </row>
    <row r="15143" spans="27:27" ht="17.899999999999999" customHeight="1">
      <c r="AA15143"/>
    </row>
    <row r="15144" spans="27:27" ht="17.899999999999999" customHeight="1">
      <c r="AA15144"/>
    </row>
    <row r="15145" spans="27:27" ht="17.899999999999999" customHeight="1">
      <c r="AA15145"/>
    </row>
    <row r="15146" spans="27:27" ht="17.899999999999999" customHeight="1">
      <c r="AA15146"/>
    </row>
    <row r="15147" spans="27:27" ht="17.899999999999999" customHeight="1">
      <c r="AA15147"/>
    </row>
    <row r="15148" spans="27:27" ht="17.899999999999999" customHeight="1">
      <c r="AA15148"/>
    </row>
    <row r="15149" spans="27:27" ht="17.899999999999999" customHeight="1">
      <c r="AA15149"/>
    </row>
    <row r="15150" spans="27:27" ht="17.899999999999999" customHeight="1">
      <c r="AA15150"/>
    </row>
    <row r="15151" spans="27:27" ht="17.899999999999999" customHeight="1">
      <c r="AA15151"/>
    </row>
    <row r="15152" spans="27:27" ht="17.899999999999999" customHeight="1">
      <c r="AA15152"/>
    </row>
    <row r="15153" spans="27:27" ht="17.899999999999999" customHeight="1">
      <c r="AA15153"/>
    </row>
    <row r="15154" spans="27:27" ht="17.899999999999999" customHeight="1">
      <c r="AA15154"/>
    </row>
    <row r="15155" spans="27:27" ht="17.899999999999999" customHeight="1">
      <c r="AA15155"/>
    </row>
    <row r="15156" spans="27:27" ht="17.899999999999999" customHeight="1">
      <c r="AA15156"/>
    </row>
    <row r="15157" spans="27:27" ht="17.899999999999999" customHeight="1">
      <c r="AA15157"/>
    </row>
    <row r="15158" spans="27:27" ht="17.899999999999999" customHeight="1">
      <c r="AA15158"/>
    </row>
    <row r="15159" spans="27:27" ht="17.899999999999999" customHeight="1">
      <c r="AA15159"/>
    </row>
    <row r="15160" spans="27:27" ht="17.899999999999999" customHeight="1">
      <c r="AA15160"/>
    </row>
    <row r="15161" spans="27:27" ht="17.899999999999999" customHeight="1">
      <c r="AA15161"/>
    </row>
    <row r="15162" spans="27:27" ht="17.899999999999999" customHeight="1">
      <c r="AA15162"/>
    </row>
    <row r="15163" spans="27:27" ht="17.899999999999999" customHeight="1">
      <c r="AA15163"/>
    </row>
    <row r="15164" spans="27:27" ht="17.899999999999999" customHeight="1">
      <c r="AA15164"/>
    </row>
    <row r="15165" spans="27:27" ht="17.899999999999999" customHeight="1">
      <c r="AA15165"/>
    </row>
    <row r="15166" spans="27:27" ht="17.899999999999999" customHeight="1">
      <c r="AA15166"/>
    </row>
    <row r="15167" spans="27:27" ht="17.899999999999999" customHeight="1">
      <c r="AA15167"/>
    </row>
    <row r="15168" spans="27:27" ht="17.899999999999999" customHeight="1">
      <c r="AA15168"/>
    </row>
    <row r="15169" spans="27:27" ht="17.899999999999999" customHeight="1">
      <c r="AA15169"/>
    </row>
    <row r="15170" spans="27:27" ht="17.899999999999999" customHeight="1">
      <c r="AA15170"/>
    </row>
    <row r="15171" spans="27:27" ht="17.899999999999999" customHeight="1">
      <c r="AA15171"/>
    </row>
    <row r="15172" spans="27:27" ht="17.899999999999999" customHeight="1">
      <c r="AA15172"/>
    </row>
    <row r="15173" spans="27:27" ht="17.899999999999999" customHeight="1">
      <c r="AA15173"/>
    </row>
    <row r="15174" spans="27:27" ht="17.899999999999999" customHeight="1">
      <c r="AA15174"/>
    </row>
    <row r="15175" spans="27:27" ht="17.899999999999999" customHeight="1">
      <c r="AA15175"/>
    </row>
    <row r="15176" spans="27:27" ht="17.899999999999999" customHeight="1">
      <c r="AA15176"/>
    </row>
    <row r="15177" spans="27:27" ht="17.899999999999999" customHeight="1">
      <c r="AA15177"/>
    </row>
    <row r="15178" spans="27:27" ht="17.899999999999999" customHeight="1">
      <c r="AA15178"/>
    </row>
    <row r="15179" spans="27:27" ht="17.899999999999999" customHeight="1">
      <c r="AA15179"/>
    </row>
    <row r="15180" spans="27:27" ht="17.899999999999999" customHeight="1">
      <c r="AA15180"/>
    </row>
    <row r="15181" spans="27:27" ht="17.899999999999999" customHeight="1">
      <c r="AA15181"/>
    </row>
    <row r="15182" spans="27:27" ht="17.899999999999999" customHeight="1">
      <c r="AA15182"/>
    </row>
    <row r="15183" spans="27:27" ht="17.899999999999999" customHeight="1">
      <c r="AA15183"/>
    </row>
    <row r="15184" spans="27:27" ht="17.899999999999999" customHeight="1">
      <c r="AA15184"/>
    </row>
    <row r="15185" spans="27:27" ht="17.899999999999999" customHeight="1">
      <c r="AA15185"/>
    </row>
    <row r="15186" spans="27:27" ht="17.899999999999999" customHeight="1">
      <c r="AA15186"/>
    </row>
    <row r="15187" spans="27:27" ht="17.899999999999999" customHeight="1">
      <c r="AA15187"/>
    </row>
    <row r="15188" spans="27:27" ht="17.899999999999999" customHeight="1">
      <c r="AA15188"/>
    </row>
    <row r="15189" spans="27:27" ht="17.899999999999999" customHeight="1">
      <c r="AA15189"/>
    </row>
    <row r="15190" spans="27:27" ht="17.899999999999999" customHeight="1">
      <c r="AA15190"/>
    </row>
    <row r="15191" spans="27:27" ht="17.899999999999999" customHeight="1">
      <c r="AA15191"/>
    </row>
    <row r="15192" spans="27:27" ht="17.899999999999999" customHeight="1">
      <c r="AA15192"/>
    </row>
    <row r="15193" spans="27:27" ht="17.899999999999999" customHeight="1">
      <c r="AA15193"/>
    </row>
    <row r="15194" spans="27:27" ht="17.899999999999999" customHeight="1">
      <c r="AA15194"/>
    </row>
    <row r="15195" spans="27:27" ht="17.899999999999999" customHeight="1">
      <c r="AA15195"/>
    </row>
    <row r="15196" spans="27:27" ht="17.899999999999999" customHeight="1">
      <c r="AA15196"/>
    </row>
    <row r="15197" spans="27:27" ht="17.899999999999999" customHeight="1">
      <c r="AA15197"/>
    </row>
    <row r="15198" spans="27:27" ht="17.899999999999999" customHeight="1">
      <c r="AA15198"/>
    </row>
    <row r="15199" spans="27:27" ht="17.899999999999999" customHeight="1">
      <c r="AA15199"/>
    </row>
    <row r="15200" spans="27:27" ht="17.899999999999999" customHeight="1">
      <c r="AA15200"/>
    </row>
    <row r="15201" spans="27:27" ht="17.899999999999999" customHeight="1">
      <c r="AA15201"/>
    </row>
    <row r="15202" spans="27:27" ht="17.899999999999999" customHeight="1">
      <c r="AA15202"/>
    </row>
    <row r="15203" spans="27:27" ht="17.899999999999999" customHeight="1">
      <c r="AA15203"/>
    </row>
    <row r="15204" spans="27:27" ht="17.899999999999999" customHeight="1">
      <c r="AA15204"/>
    </row>
    <row r="15205" spans="27:27" ht="17.899999999999999" customHeight="1">
      <c r="AA15205"/>
    </row>
    <row r="15206" spans="27:27" ht="17.899999999999999" customHeight="1">
      <c r="AA15206"/>
    </row>
    <row r="15207" spans="27:27" ht="17.899999999999999" customHeight="1">
      <c r="AA15207"/>
    </row>
    <row r="15208" spans="27:27" ht="17.899999999999999" customHeight="1">
      <c r="AA15208"/>
    </row>
    <row r="15209" spans="27:27" ht="17.899999999999999" customHeight="1">
      <c r="AA15209"/>
    </row>
    <row r="15210" spans="27:27" ht="17.899999999999999" customHeight="1">
      <c r="AA15210"/>
    </row>
    <row r="15211" spans="27:27" ht="17.899999999999999" customHeight="1">
      <c r="AA15211"/>
    </row>
    <row r="15212" spans="27:27" ht="17.899999999999999" customHeight="1">
      <c r="AA15212"/>
    </row>
    <row r="15213" spans="27:27" ht="17.899999999999999" customHeight="1">
      <c r="AA15213"/>
    </row>
    <row r="15214" spans="27:27" ht="17.899999999999999" customHeight="1">
      <c r="AA15214"/>
    </row>
    <row r="15215" spans="27:27" ht="17.899999999999999" customHeight="1">
      <c r="AA15215"/>
    </row>
    <row r="15216" spans="27:27" ht="17.899999999999999" customHeight="1">
      <c r="AA15216"/>
    </row>
    <row r="15217" spans="27:27" ht="17.899999999999999" customHeight="1">
      <c r="AA15217"/>
    </row>
    <row r="15218" spans="27:27" ht="17.899999999999999" customHeight="1">
      <c r="AA15218"/>
    </row>
    <row r="15219" spans="27:27" ht="17.899999999999999" customHeight="1">
      <c r="AA15219"/>
    </row>
    <row r="15220" spans="27:27" ht="17.899999999999999" customHeight="1">
      <c r="AA15220"/>
    </row>
    <row r="15221" spans="27:27" ht="17.899999999999999" customHeight="1">
      <c r="AA15221"/>
    </row>
    <row r="15222" spans="27:27" ht="17.899999999999999" customHeight="1">
      <c r="AA15222"/>
    </row>
    <row r="15223" spans="27:27" ht="17.899999999999999" customHeight="1">
      <c r="AA15223"/>
    </row>
    <row r="15224" spans="27:27" ht="17.899999999999999" customHeight="1">
      <c r="AA15224"/>
    </row>
    <row r="15225" spans="27:27" ht="17.899999999999999" customHeight="1">
      <c r="AA15225"/>
    </row>
    <row r="15226" spans="27:27" ht="17.899999999999999" customHeight="1">
      <c r="AA15226"/>
    </row>
    <row r="15227" spans="27:27" ht="17.899999999999999" customHeight="1">
      <c r="AA15227"/>
    </row>
    <row r="15228" spans="27:27" ht="17.899999999999999" customHeight="1">
      <c r="AA15228"/>
    </row>
    <row r="15229" spans="27:27" ht="17.899999999999999" customHeight="1">
      <c r="AA15229"/>
    </row>
    <row r="15230" spans="27:27" ht="17.899999999999999" customHeight="1">
      <c r="AA15230"/>
    </row>
    <row r="15231" spans="27:27" ht="17.899999999999999" customHeight="1">
      <c r="AA15231"/>
    </row>
    <row r="15232" spans="27:27" ht="17.899999999999999" customHeight="1">
      <c r="AA15232"/>
    </row>
    <row r="15233" spans="27:27" ht="17.899999999999999" customHeight="1">
      <c r="AA15233"/>
    </row>
    <row r="15234" spans="27:27" ht="17.899999999999999" customHeight="1">
      <c r="AA15234"/>
    </row>
    <row r="15235" spans="27:27" ht="17.899999999999999" customHeight="1">
      <c r="AA15235"/>
    </row>
    <row r="15236" spans="27:27" ht="17.899999999999999" customHeight="1">
      <c r="AA15236"/>
    </row>
    <row r="15237" spans="27:27" ht="17.899999999999999" customHeight="1">
      <c r="AA15237"/>
    </row>
    <row r="15238" spans="27:27" ht="17.899999999999999" customHeight="1">
      <c r="AA15238"/>
    </row>
    <row r="15239" spans="27:27" ht="17.899999999999999" customHeight="1">
      <c r="AA15239"/>
    </row>
    <row r="15240" spans="27:27" ht="17.899999999999999" customHeight="1">
      <c r="AA15240"/>
    </row>
    <row r="15241" spans="27:27" ht="17.899999999999999" customHeight="1">
      <c r="AA15241"/>
    </row>
    <row r="15242" spans="27:27" ht="17.899999999999999" customHeight="1">
      <c r="AA15242"/>
    </row>
    <row r="15243" spans="27:27" ht="17.899999999999999" customHeight="1">
      <c r="AA15243"/>
    </row>
    <row r="15244" spans="27:27" ht="17.899999999999999" customHeight="1">
      <c r="AA15244"/>
    </row>
    <row r="15245" spans="27:27" ht="17.899999999999999" customHeight="1">
      <c r="AA15245"/>
    </row>
    <row r="15246" spans="27:27" ht="17.899999999999999" customHeight="1">
      <c r="AA15246"/>
    </row>
    <row r="15247" spans="27:27" ht="17.899999999999999" customHeight="1">
      <c r="AA15247"/>
    </row>
    <row r="15248" spans="27:27" ht="17.899999999999999" customHeight="1">
      <c r="AA15248"/>
    </row>
    <row r="15249" spans="27:27" ht="17.899999999999999" customHeight="1">
      <c r="AA15249"/>
    </row>
    <row r="15250" spans="27:27" ht="17.899999999999999" customHeight="1">
      <c r="AA15250"/>
    </row>
    <row r="15251" spans="27:27" ht="17.899999999999999" customHeight="1">
      <c r="AA15251"/>
    </row>
    <row r="15252" spans="27:27" ht="17.899999999999999" customHeight="1">
      <c r="AA15252"/>
    </row>
    <row r="15253" spans="27:27" ht="17.899999999999999" customHeight="1">
      <c r="AA15253"/>
    </row>
    <row r="15254" spans="27:27" ht="17.899999999999999" customHeight="1">
      <c r="AA15254"/>
    </row>
    <row r="15255" spans="27:27" ht="17.899999999999999" customHeight="1">
      <c r="AA15255"/>
    </row>
    <row r="15256" spans="27:27" ht="17.899999999999999" customHeight="1">
      <c r="AA15256"/>
    </row>
    <row r="15257" spans="27:27" ht="17.899999999999999" customHeight="1">
      <c r="AA15257"/>
    </row>
    <row r="15258" spans="27:27" ht="17.899999999999999" customHeight="1">
      <c r="AA15258"/>
    </row>
    <row r="15259" spans="27:27" ht="17.899999999999999" customHeight="1">
      <c r="AA15259"/>
    </row>
    <row r="15260" spans="27:27" ht="17.899999999999999" customHeight="1">
      <c r="AA15260"/>
    </row>
    <row r="15261" spans="27:27" ht="17.899999999999999" customHeight="1">
      <c r="AA15261"/>
    </row>
    <row r="15262" spans="27:27" ht="17.899999999999999" customHeight="1">
      <c r="AA15262"/>
    </row>
    <row r="15263" spans="27:27" ht="17.899999999999999" customHeight="1">
      <c r="AA15263"/>
    </row>
    <row r="15264" spans="27:27" ht="17.899999999999999" customHeight="1">
      <c r="AA15264"/>
    </row>
    <row r="15265" spans="27:27" ht="17.899999999999999" customHeight="1">
      <c r="AA15265"/>
    </row>
    <row r="15266" spans="27:27" ht="17.899999999999999" customHeight="1">
      <c r="AA15266"/>
    </row>
    <row r="15267" spans="27:27" ht="17.899999999999999" customHeight="1">
      <c r="AA15267"/>
    </row>
    <row r="15268" spans="27:27" ht="17.899999999999999" customHeight="1">
      <c r="AA15268"/>
    </row>
    <row r="15269" spans="27:27" ht="17.899999999999999" customHeight="1">
      <c r="AA15269"/>
    </row>
    <row r="15270" spans="27:27" ht="17.899999999999999" customHeight="1">
      <c r="AA15270"/>
    </row>
    <row r="15271" spans="27:27" ht="17.899999999999999" customHeight="1">
      <c r="AA15271"/>
    </row>
    <row r="15272" spans="27:27" ht="17.899999999999999" customHeight="1">
      <c r="AA15272"/>
    </row>
    <row r="15273" spans="27:27" ht="17.899999999999999" customHeight="1">
      <c r="AA15273"/>
    </row>
    <row r="15274" spans="27:27" ht="17.899999999999999" customHeight="1">
      <c r="AA15274"/>
    </row>
    <row r="15275" spans="27:27" ht="17.899999999999999" customHeight="1">
      <c r="AA15275"/>
    </row>
    <row r="15276" spans="27:27" ht="17.899999999999999" customHeight="1">
      <c r="AA15276"/>
    </row>
    <row r="15277" spans="27:27" ht="17.899999999999999" customHeight="1">
      <c r="AA15277"/>
    </row>
    <row r="15278" spans="27:27" ht="17.899999999999999" customHeight="1">
      <c r="AA15278"/>
    </row>
    <row r="15279" spans="27:27" ht="17.899999999999999" customHeight="1">
      <c r="AA15279"/>
    </row>
    <row r="15280" spans="27:27" ht="17.899999999999999" customHeight="1">
      <c r="AA15280"/>
    </row>
    <row r="15281" spans="27:27" ht="17.899999999999999" customHeight="1">
      <c r="AA15281"/>
    </row>
    <row r="15282" spans="27:27" ht="17.899999999999999" customHeight="1">
      <c r="AA15282"/>
    </row>
    <row r="15283" spans="27:27" ht="17.899999999999999" customHeight="1">
      <c r="AA15283"/>
    </row>
    <row r="15284" spans="27:27" ht="17.899999999999999" customHeight="1">
      <c r="AA15284"/>
    </row>
    <row r="15285" spans="27:27" ht="17.899999999999999" customHeight="1">
      <c r="AA15285"/>
    </row>
    <row r="15286" spans="27:27" ht="17.899999999999999" customHeight="1">
      <c r="AA15286"/>
    </row>
    <row r="15287" spans="27:27" ht="17.899999999999999" customHeight="1">
      <c r="AA15287"/>
    </row>
    <row r="15288" spans="27:27" ht="17.899999999999999" customHeight="1">
      <c r="AA15288"/>
    </row>
    <row r="15289" spans="27:27" ht="17.899999999999999" customHeight="1">
      <c r="AA15289"/>
    </row>
    <row r="15290" spans="27:27" ht="17.899999999999999" customHeight="1">
      <c r="AA15290"/>
    </row>
    <row r="15291" spans="27:27" ht="17.899999999999999" customHeight="1">
      <c r="AA15291"/>
    </row>
    <row r="15292" spans="27:27" ht="17.899999999999999" customHeight="1">
      <c r="AA15292"/>
    </row>
    <row r="15293" spans="27:27" ht="17.899999999999999" customHeight="1">
      <c r="AA15293"/>
    </row>
    <row r="15294" spans="27:27" ht="17.899999999999999" customHeight="1">
      <c r="AA15294"/>
    </row>
    <row r="15295" spans="27:27" ht="17.899999999999999" customHeight="1">
      <c r="AA15295"/>
    </row>
    <row r="15296" spans="27:27" ht="17.899999999999999" customHeight="1">
      <c r="AA15296"/>
    </row>
    <row r="15297" spans="27:27" ht="17.899999999999999" customHeight="1">
      <c r="AA15297"/>
    </row>
    <row r="15298" spans="27:27" ht="17.899999999999999" customHeight="1">
      <c r="AA15298"/>
    </row>
    <row r="15299" spans="27:27" ht="17.899999999999999" customHeight="1">
      <c r="AA15299"/>
    </row>
    <row r="15300" spans="27:27" ht="17.899999999999999" customHeight="1">
      <c r="AA15300"/>
    </row>
    <row r="15301" spans="27:27" ht="17.899999999999999" customHeight="1">
      <c r="AA15301"/>
    </row>
    <row r="15302" spans="27:27" ht="17.899999999999999" customHeight="1">
      <c r="AA15302"/>
    </row>
    <row r="15303" spans="27:27" ht="17.899999999999999" customHeight="1">
      <c r="AA15303"/>
    </row>
    <row r="15304" spans="27:27" ht="17.899999999999999" customHeight="1">
      <c r="AA15304"/>
    </row>
    <row r="15305" spans="27:27" ht="17.899999999999999" customHeight="1">
      <c r="AA15305"/>
    </row>
    <row r="15306" spans="27:27" ht="17.899999999999999" customHeight="1">
      <c r="AA15306"/>
    </row>
    <row r="15307" spans="27:27" ht="17.899999999999999" customHeight="1">
      <c r="AA15307"/>
    </row>
    <row r="15308" spans="27:27" ht="17.899999999999999" customHeight="1">
      <c r="AA15308"/>
    </row>
    <row r="15309" spans="27:27" ht="17.899999999999999" customHeight="1">
      <c r="AA15309"/>
    </row>
    <row r="15310" spans="27:27" ht="17.899999999999999" customHeight="1">
      <c r="AA15310"/>
    </row>
    <row r="15311" spans="27:27" ht="17.899999999999999" customHeight="1">
      <c r="AA15311"/>
    </row>
    <row r="15312" spans="27:27" ht="17.899999999999999" customHeight="1">
      <c r="AA15312"/>
    </row>
    <row r="15313" spans="27:27" ht="17.899999999999999" customHeight="1">
      <c r="AA15313"/>
    </row>
    <row r="15314" spans="27:27" ht="17.899999999999999" customHeight="1">
      <c r="AA15314"/>
    </row>
    <row r="15315" spans="27:27" ht="17.899999999999999" customHeight="1">
      <c r="AA15315"/>
    </row>
    <row r="15316" spans="27:27" ht="17.899999999999999" customHeight="1">
      <c r="AA15316"/>
    </row>
    <row r="15317" spans="27:27" ht="17.899999999999999" customHeight="1">
      <c r="AA15317"/>
    </row>
    <row r="15318" spans="27:27" ht="17.899999999999999" customHeight="1">
      <c r="AA15318"/>
    </row>
    <row r="15319" spans="27:27" ht="17.899999999999999" customHeight="1">
      <c r="AA15319"/>
    </row>
    <row r="15320" spans="27:27" ht="17.899999999999999" customHeight="1">
      <c r="AA15320"/>
    </row>
    <row r="15321" spans="27:27" ht="17.899999999999999" customHeight="1">
      <c r="AA15321"/>
    </row>
    <row r="15322" spans="27:27" ht="17.899999999999999" customHeight="1">
      <c r="AA15322"/>
    </row>
    <row r="15323" spans="27:27" ht="17.899999999999999" customHeight="1">
      <c r="AA15323"/>
    </row>
    <row r="15324" spans="27:27" ht="17.899999999999999" customHeight="1">
      <c r="AA15324"/>
    </row>
    <row r="15325" spans="27:27" ht="17.899999999999999" customHeight="1">
      <c r="AA15325"/>
    </row>
    <row r="15326" spans="27:27" ht="17.899999999999999" customHeight="1">
      <c r="AA15326"/>
    </row>
    <row r="15327" spans="27:27" ht="17.899999999999999" customHeight="1">
      <c r="AA15327"/>
    </row>
    <row r="15328" spans="27:27" ht="17.899999999999999" customHeight="1">
      <c r="AA15328"/>
    </row>
    <row r="15329" spans="27:27" ht="17.899999999999999" customHeight="1">
      <c r="AA15329"/>
    </row>
    <row r="15330" spans="27:27" ht="17.899999999999999" customHeight="1">
      <c r="AA15330"/>
    </row>
    <row r="15331" spans="27:27" ht="17.899999999999999" customHeight="1">
      <c r="AA15331"/>
    </row>
    <row r="15332" spans="27:27" ht="17.899999999999999" customHeight="1">
      <c r="AA15332"/>
    </row>
    <row r="15333" spans="27:27" ht="17.899999999999999" customHeight="1">
      <c r="AA15333"/>
    </row>
    <row r="15334" spans="27:27" ht="17.899999999999999" customHeight="1">
      <c r="AA15334"/>
    </row>
    <row r="15335" spans="27:27" ht="17.899999999999999" customHeight="1">
      <c r="AA15335"/>
    </row>
    <row r="15336" spans="27:27" ht="17.899999999999999" customHeight="1">
      <c r="AA15336"/>
    </row>
    <row r="15337" spans="27:27" ht="17.899999999999999" customHeight="1">
      <c r="AA15337"/>
    </row>
    <row r="15338" spans="27:27" ht="17.899999999999999" customHeight="1">
      <c r="AA15338"/>
    </row>
    <row r="15339" spans="27:27" ht="17.899999999999999" customHeight="1">
      <c r="AA15339"/>
    </row>
    <row r="15340" spans="27:27" ht="17.899999999999999" customHeight="1">
      <c r="AA15340"/>
    </row>
    <row r="15341" spans="27:27" ht="17.899999999999999" customHeight="1">
      <c r="AA15341"/>
    </row>
    <row r="15342" spans="27:27" ht="17.899999999999999" customHeight="1">
      <c r="AA15342"/>
    </row>
    <row r="15343" spans="27:27" ht="17.899999999999999" customHeight="1">
      <c r="AA15343"/>
    </row>
    <row r="15344" spans="27:27" ht="17.899999999999999" customHeight="1">
      <c r="AA15344"/>
    </row>
    <row r="15345" spans="27:27" ht="17.899999999999999" customHeight="1">
      <c r="AA15345"/>
    </row>
    <row r="15346" spans="27:27" ht="17.899999999999999" customHeight="1">
      <c r="AA15346"/>
    </row>
    <row r="15347" spans="27:27" ht="17.899999999999999" customHeight="1">
      <c r="AA15347"/>
    </row>
    <row r="15348" spans="27:27" ht="17.899999999999999" customHeight="1">
      <c r="AA15348"/>
    </row>
    <row r="15349" spans="27:27" ht="17.899999999999999" customHeight="1">
      <c r="AA15349"/>
    </row>
    <row r="15350" spans="27:27" ht="17.899999999999999" customHeight="1">
      <c r="AA15350"/>
    </row>
    <row r="15351" spans="27:27" ht="17.899999999999999" customHeight="1">
      <c r="AA15351"/>
    </row>
    <row r="15352" spans="27:27" ht="17.899999999999999" customHeight="1">
      <c r="AA15352"/>
    </row>
    <row r="15353" spans="27:27" ht="17.899999999999999" customHeight="1">
      <c r="AA15353"/>
    </row>
    <row r="15354" spans="27:27" ht="17.899999999999999" customHeight="1">
      <c r="AA15354"/>
    </row>
    <row r="15355" spans="27:27" ht="17.899999999999999" customHeight="1">
      <c r="AA15355"/>
    </row>
    <row r="15356" spans="27:27" ht="17.899999999999999" customHeight="1">
      <c r="AA15356"/>
    </row>
    <row r="15357" spans="27:27" ht="17.899999999999999" customHeight="1">
      <c r="AA15357"/>
    </row>
    <row r="15358" spans="27:27" ht="17.899999999999999" customHeight="1">
      <c r="AA15358"/>
    </row>
    <row r="15359" spans="27:27" ht="17.899999999999999" customHeight="1">
      <c r="AA15359"/>
    </row>
    <row r="15360" spans="27:27" ht="17.899999999999999" customHeight="1">
      <c r="AA15360"/>
    </row>
    <row r="15361" spans="27:27" ht="17.899999999999999" customHeight="1">
      <c r="AA15361"/>
    </row>
    <row r="15362" spans="27:27" ht="17.899999999999999" customHeight="1">
      <c r="AA15362"/>
    </row>
    <row r="15363" spans="27:27" ht="17.899999999999999" customHeight="1">
      <c r="AA15363"/>
    </row>
    <row r="15364" spans="27:27" ht="17.899999999999999" customHeight="1">
      <c r="AA15364"/>
    </row>
    <row r="15365" spans="27:27" ht="17.899999999999999" customHeight="1">
      <c r="AA15365"/>
    </row>
    <row r="15366" spans="27:27" ht="17.899999999999999" customHeight="1">
      <c r="AA15366"/>
    </row>
    <row r="15367" spans="27:27" ht="17.899999999999999" customHeight="1">
      <c r="AA15367"/>
    </row>
    <row r="15368" spans="27:27" ht="17.899999999999999" customHeight="1">
      <c r="AA15368"/>
    </row>
    <row r="15369" spans="27:27" ht="17.899999999999999" customHeight="1">
      <c r="AA15369"/>
    </row>
    <row r="15370" spans="27:27" ht="17.899999999999999" customHeight="1">
      <c r="AA15370"/>
    </row>
    <row r="15371" spans="27:27" ht="17.899999999999999" customHeight="1">
      <c r="AA15371"/>
    </row>
    <row r="15372" spans="27:27" ht="17.899999999999999" customHeight="1">
      <c r="AA15372"/>
    </row>
    <row r="15373" spans="27:27" ht="17.899999999999999" customHeight="1">
      <c r="AA15373"/>
    </row>
    <row r="15374" spans="27:27" ht="17.899999999999999" customHeight="1">
      <c r="AA15374"/>
    </row>
    <row r="15375" spans="27:27" ht="17.899999999999999" customHeight="1">
      <c r="AA15375"/>
    </row>
    <row r="15376" spans="27:27" ht="17.899999999999999" customHeight="1">
      <c r="AA15376"/>
    </row>
    <row r="15377" spans="27:27" ht="17.899999999999999" customHeight="1">
      <c r="AA15377"/>
    </row>
    <row r="15378" spans="27:27" ht="17.899999999999999" customHeight="1">
      <c r="AA15378"/>
    </row>
    <row r="15379" spans="27:27" ht="17.899999999999999" customHeight="1">
      <c r="AA15379"/>
    </row>
    <row r="15380" spans="27:27" ht="17.899999999999999" customHeight="1">
      <c r="AA15380"/>
    </row>
    <row r="15381" spans="27:27" ht="17.899999999999999" customHeight="1">
      <c r="AA15381"/>
    </row>
    <row r="15382" spans="27:27" ht="17.899999999999999" customHeight="1">
      <c r="AA15382"/>
    </row>
    <row r="15383" spans="27:27" ht="17.899999999999999" customHeight="1">
      <c r="AA15383"/>
    </row>
    <row r="15384" spans="27:27" ht="17.899999999999999" customHeight="1">
      <c r="AA15384"/>
    </row>
    <row r="15385" spans="27:27" ht="17.899999999999999" customHeight="1">
      <c r="AA15385"/>
    </row>
    <row r="15386" spans="27:27" ht="17.899999999999999" customHeight="1">
      <c r="AA15386"/>
    </row>
    <row r="15387" spans="27:27" ht="17.899999999999999" customHeight="1">
      <c r="AA15387"/>
    </row>
    <row r="15388" spans="27:27" ht="17.899999999999999" customHeight="1">
      <c r="AA15388"/>
    </row>
    <row r="15389" spans="27:27" ht="17.899999999999999" customHeight="1">
      <c r="AA15389"/>
    </row>
    <row r="15390" spans="27:27" ht="17.899999999999999" customHeight="1">
      <c r="AA15390"/>
    </row>
    <row r="15391" spans="27:27" ht="17.899999999999999" customHeight="1">
      <c r="AA15391"/>
    </row>
    <row r="15392" spans="27:27" ht="17.899999999999999" customHeight="1">
      <c r="AA15392"/>
    </row>
    <row r="15393" spans="27:27" ht="17.899999999999999" customHeight="1">
      <c r="AA15393"/>
    </row>
    <row r="15394" spans="27:27" ht="17.899999999999999" customHeight="1">
      <c r="AA15394"/>
    </row>
    <row r="15395" spans="27:27" ht="17.899999999999999" customHeight="1">
      <c r="AA15395"/>
    </row>
    <row r="15396" spans="27:27" ht="17.899999999999999" customHeight="1">
      <c r="AA15396"/>
    </row>
    <row r="15397" spans="27:27" ht="17.899999999999999" customHeight="1">
      <c r="AA15397"/>
    </row>
    <row r="15398" spans="27:27" ht="17.899999999999999" customHeight="1">
      <c r="AA15398"/>
    </row>
    <row r="15399" spans="27:27" ht="17.899999999999999" customHeight="1">
      <c r="AA15399"/>
    </row>
    <row r="15400" spans="27:27" ht="17.899999999999999" customHeight="1">
      <c r="AA15400"/>
    </row>
    <row r="15401" spans="27:27" ht="17.899999999999999" customHeight="1">
      <c r="AA15401"/>
    </row>
    <row r="15402" spans="27:27" ht="17.899999999999999" customHeight="1">
      <c r="AA15402"/>
    </row>
    <row r="15403" spans="27:27" ht="17.899999999999999" customHeight="1">
      <c r="AA15403"/>
    </row>
    <row r="15404" spans="27:27" ht="17.899999999999999" customHeight="1">
      <c r="AA15404"/>
    </row>
    <row r="15405" spans="27:27" ht="17.899999999999999" customHeight="1">
      <c r="AA15405"/>
    </row>
    <row r="15406" spans="27:27" ht="17.899999999999999" customHeight="1">
      <c r="AA15406"/>
    </row>
    <row r="15407" spans="27:27" ht="17.899999999999999" customHeight="1">
      <c r="AA15407"/>
    </row>
    <row r="15408" spans="27:27" ht="17.899999999999999" customHeight="1">
      <c r="AA15408"/>
    </row>
    <row r="15409" spans="27:27" ht="17.899999999999999" customHeight="1">
      <c r="AA15409"/>
    </row>
    <row r="15410" spans="27:27" ht="17.899999999999999" customHeight="1">
      <c r="AA15410"/>
    </row>
    <row r="15411" spans="27:27" ht="17.899999999999999" customHeight="1">
      <c r="AA15411"/>
    </row>
    <row r="15412" spans="27:27" ht="17.899999999999999" customHeight="1">
      <c r="AA15412"/>
    </row>
    <row r="15413" spans="27:27" ht="17.899999999999999" customHeight="1">
      <c r="AA15413"/>
    </row>
    <row r="15414" spans="27:27" ht="17.899999999999999" customHeight="1">
      <c r="AA15414"/>
    </row>
    <row r="15415" spans="27:27" ht="17.899999999999999" customHeight="1">
      <c r="AA15415"/>
    </row>
    <row r="15416" spans="27:27" ht="17.899999999999999" customHeight="1">
      <c r="AA15416"/>
    </row>
    <row r="15417" spans="27:27" ht="17.899999999999999" customHeight="1">
      <c r="AA15417"/>
    </row>
    <row r="15418" spans="27:27" ht="17.899999999999999" customHeight="1">
      <c r="AA15418"/>
    </row>
    <row r="15419" spans="27:27" ht="17.899999999999999" customHeight="1">
      <c r="AA15419"/>
    </row>
    <row r="15420" spans="27:27" ht="17.899999999999999" customHeight="1">
      <c r="AA15420"/>
    </row>
    <row r="15421" spans="27:27" ht="17.899999999999999" customHeight="1">
      <c r="AA15421"/>
    </row>
    <row r="15422" spans="27:27" ht="17.899999999999999" customHeight="1">
      <c r="AA15422"/>
    </row>
    <row r="15423" spans="27:27" ht="17.899999999999999" customHeight="1">
      <c r="AA15423"/>
    </row>
    <row r="15424" spans="27:27" ht="17.899999999999999" customHeight="1">
      <c r="AA15424"/>
    </row>
    <row r="15425" spans="27:27" ht="17.899999999999999" customHeight="1">
      <c r="AA15425"/>
    </row>
    <row r="15426" spans="27:27" ht="17.899999999999999" customHeight="1">
      <c r="AA15426"/>
    </row>
    <row r="15427" spans="27:27" ht="17.899999999999999" customHeight="1">
      <c r="AA15427"/>
    </row>
    <row r="15428" spans="27:27" ht="17.899999999999999" customHeight="1">
      <c r="AA15428"/>
    </row>
    <row r="15429" spans="27:27" ht="17.899999999999999" customHeight="1">
      <c r="AA15429"/>
    </row>
    <row r="15430" spans="27:27" ht="17.899999999999999" customHeight="1">
      <c r="AA15430"/>
    </row>
    <row r="15431" spans="27:27" ht="17.899999999999999" customHeight="1">
      <c r="AA15431"/>
    </row>
    <row r="15432" spans="27:27" ht="17.899999999999999" customHeight="1">
      <c r="AA15432"/>
    </row>
    <row r="15433" spans="27:27" ht="17.899999999999999" customHeight="1">
      <c r="AA15433"/>
    </row>
    <row r="15434" spans="27:27" ht="17.899999999999999" customHeight="1">
      <c r="AA15434"/>
    </row>
    <row r="15435" spans="27:27" ht="17.899999999999999" customHeight="1">
      <c r="AA15435"/>
    </row>
    <row r="15436" spans="27:27" ht="17.899999999999999" customHeight="1">
      <c r="AA15436"/>
    </row>
    <row r="15437" spans="27:27" ht="17.899999999999999" customHeight="1">
      <c r="AA15437"/>
    </row>
    <row r="15438" spans="27:27" ht="17.899999999999999" customHeight="1">
      <c r="AA15438"/>
    </row>
    <row r="15439" spans="27:27" ht="17.899999999999999" customHeight="1">
      <c r="AA15439"/>
    </row>
    <row r="15440" spans="27:27" ht="17.899999999999999" customHeight="1">
      <c r="AA15440"/>
    </row>
    <row r="15441" spans="27:27" ht="17.899999999999999" customHeight="1">
      <c r="AA15441"/>
    </row>
    <row r="15442" spans="27:27" ht="17.899999999999999" customHeight="1">
      <c r="AA15442"/>
    </row>
    <row r="15443" spans="27:27" ht="17.899999999999999" customHeight="1">
      <c r="AA15443"/>
    </row>
    <row r="15444" spans="27:27" ht="17.899999999999999" customHeight="1">
      <c r="AA15444"/>
    </row>
    <row r="15445" spans="27:27" ht="17.899999999999999" customHeight="1">
      <c r="AA15445"/>
    </row>
    <row r="15446" spans="27:27" ht="17.899999999999999" customHeight="1">
      <c r="AA15446"/>
    </row>
    <row r="15447" spans="27:27" ht="17.899999999999999" customHeight="1">
      <c r="AA15447"/>
    </row>
    <row r="15448" spans="27:27" ht="17.899999999999999" customHeight="1">
      <c r="AA15448"/>
    </row>
    <row r="15449" spans="27:27" ht="17.899999999999999" customHeight="1">
      <c r="AA15449"/>
    </row>
    <row r="15450" spans="27:27" ht="17.899999999999999" customHeight="1">
      <c r="AA15450"/>
    </row>
    <row r="15451" spans="27:27" ht="17.899999999999999" customHeight="1">
      <c r="AA15451"/>
    </row>
    <row r="15452" spans="27:27" ht="17.899999999999999" customHeight="1">
      <c r="AA15452"/>
    </row>
    <row r="15453" spans="27:27" ht="17.899999999999999" customHeight="1">
      <c r="AA15453"/>
    </row>
    <row r="15454" spans="27:27" ht="17.899999999999999" customHeight="1">
      <c r="AA15454"/>
    </row>
    <row r="15455" spans="27:27" ht="17.899999999999999" customHeight="1">
      <c r="AA15455"/>
    </row>
    <row r="15456" spans="27:27" ht="17.899999999999999" customHeight="1">
      <c r="AA15456"/>
    </row>
    <row r="15457" spans="27:27" ht="17.899999999999999" customHeight="1">
      <c r="AA15457"/>
    </row>
    <row r="15458" spans="27:27" ht="17.899999999999999" customHeight="1">
      <c r="AA15458"/>
    </row>
    <row r="15459" spans="27:27" ht="17.899999999999999" customHeight="1">
      <c r="AA15459"/>
    </row>
    <row r="15460" spans="27:27" ht="17.899999999999999" customHeight="1">
      <c r="AA15460"/>
    </row>
    <row r="15461" spans="27:27" ht="17.899999999999999" customHeight="1">
      <c r="AA15461"/>
    </row>
    <row r="15462" spans="27:27" ht="17.899999999999999" customHeight="1">
      <c r="AA15462"/>
    </row>
    <row r="15463" spans="27:27" ht="17.899999999999999" customHeight="1">
      <c r="AA15463"/>
    </row>
    <row r="15464" spans="27:27" ht="17.899999999999999" customHeight="1">
      <c r="AA15464"/>
    </row>
    <row r="15465" spans="27:27" ht="17.899999999999999" customHeight="1">
      <c r="AA15465"/>
    </row>
    <row r="15466" spans="27:27" ht="17.899999999999999" customHeight="1">
      <c r="AA15466"/>
    </row>
    <row r="15467" spans="27:27" ht="17.899999999999999" customHeight="1">
      <c r="AA15467"/>
    </row>
    <row r="15468" spans="27:27" ht="17.899999999999999" customHeight="1">
      <c r="AA15468"/>
    </row>
    <row r="15469" spans="27:27" ht="17.899999999999999" customHeight="1">
      <c r="AA15469"/>
    </row>
    <row r="15470" spans="27:27" ht="17.899999999999999" customHeight="1">
      <c r="AA15470"/>
    </row>
    <row r="15471" spans="27:27" ht="17.899999999999999" customHeight="1">
      <c r="AA15471"/>
    </row>
    <row r="15472" spans="27:27" ht="17.899999999999999" customHeight="1">
      <c r="AA15472"/>
    </row>
    <row r="15473" spans="27:27" ht="17.899999999999999" customHeight="1">
      <c r="AA15473"/>
    </row>
    <row r="15474" spans="27:27" ht="17.899999999999999" customHeight="1">
      <c r="AA15474"/>
    </row>
    <row r="15475" spans="27:27" ht="17.899999999999999" customHeight="1">
      <c r="AA15475"/>
    </row>
    <row r="15476" spans="27:27" ht="17.899999999999999" customHeight="1">
      <c r="AA15476"/>
    </row>
    <row r="15477" spans="27:27" ht="17.899999999999999" customHeight="1">
      <c r="AA15477"/>
    </row>
    <row r="15478" spans="27:27" ht="17.899999999999999" customHeight="1">
      <c r="AA15478"/>
    </row>
    <row r="15479" spans="27:27" ht="17.899999999999999" customHeight="1">
      <c r="AA15479"/>
    </row>
    <row r="15480" spans="27:27" ht="17.899999999999999" customHeight="1">
      <c r="AA15480"/>
    </row>
    <row r="15481" spans="27:27" ht="17.899999999999999" customHeight="1">
      <c r="AA15481"/>
    </row>
    <row r="15482" spans="27:27" ht="17.899999999999999" customHeight="1">
      <c r="AA15482"/>
    </row>
    <row r="15483" spans="27:27" ht="17.899999999999999" customHeight="1">
      <c r="AA15483"/>
    </row>
    <row r="15484" spans="27:27" ht="17.899999999999999" customHeight="1">
      <c r="AA15484"/>
    </row>
    <row r="15485" spans="27:27" ht="17.899999999999999" customHeight="1">
      <c r="AA15485"/>
    </row>
    <row r="15486" spans="27:27" ht="17.899999999999999" customHeight="1">
      <c r="AA15486"/>
    </row>
    <row r="15487" spans="27:27" ht="17.899999999999999" customHeight="1">
      <c r="AA15487"/>
    </row>
    <row r="15488" spans="27:27" ht="17.899999999999999" customHeight="1">
      <c r="AA15488"/>
    </row>
    <row r="15489" spans="27:27" ht="17.899999999999999" customHeight="1">
      <c r="AA15489"/>
    </row>
    <row r="15490" spans="27:27" ht="17.899999999999999" customHeight="1">
      <c r="AA15490"/>
    </row>
    <row r="15491" spans="27:27" ht="17.899999999999999" customHeight="1">
      <c r="AA15491"/>
    </row>
    <row r="15492" spans="27:27" ht="17.899999999999999" customHeight="1">
      <c r="AA15492"/>
    </row>
    <row r="15493" spans="27:27" ht="17.899999999999999" customHeight="1">
      <c r="AA15493"/>
    </row>
    <row r="15494" spans="27:27" ht="17.899999999999999" customHeight="1">
      <c r="AA15494"/>
    </row>
    <row r="15495" spans="27:27" ht="17.899999999999999" customHeight="1">
      <c r="AA15495"/>
    </row>
    <row r="15496" spans="27:27" ht="17.899999999999999" customHeight="1">
      <c r="AA15496"/>
    </row>
    <row r="15497" spans="27:27" ht="17.899999999999999" customHeight="1">
      <c r="AA15497"/>
    </row>
    <row r="15498" spans="27:27" ht="17.899999999999999" customHeight="1">
      <c r="AA15498"/>
    </row>
    <row r="15499" spans="27:27" ht="17.899999999999999" customHeight="1">
      <c r="AA15499"/>
    </row>
    <row r="15500" spans="27:27" ht="17.899999999999999" customHeight="1">
      <c r="AA15500"/>
    </row>
    <row r="15501" spans="27:27" ht="17.899999999999999" customHeight="1">
      <c r="AA15501"/>
    </row>
    <row r="15502" spans="27:27" ht="17.899999999999999" customHeight="1">
      <c r="AA15502"/>
    </row>
    <row r="15503" spans="27:27" ht="17.899999999999999" customHeight="1">
      <c r="AA15503"/>
    </row>
    <row r="15504" spans="27:27" ht="17.899999999999999" customHeight="1">
      <c r="AA15504"/>
    </row>
    <row r="15505" spans="27:27" ht="17.899999999999999" customHeight="1">
      <c r="AA15505"/>
    </row>
    <row r="15506" spans="27:27" ht="17.899999999999999" customHeight="1">
      <c r="AA15506"/>
    </row>
    <row r="15507" spans="27:27" ht="17.899999999999999" customHeight="1">
      <c r="AA15507"/>
    </row>
    <row r="15508" spans="27:27" ht="17.899999999999999" customHeight="1">
      <c r="AA15508"/>
    </row>
    <row r="15509" spans="27:27" ht="17.899999999999999" customHeight="1">
      <c r="AA15509"/>
    </row>
    <row r="15510" spans="27:27" ht="17.899999999999999" customHeight="1">
      <c r="AA15510"/>
    </row>
    <row r="15511" spans="27:27" ht="17.899999999999999" customHeight="1">
      <c r="AA15511"/>
    </row>
    <row r="15512" spans="27:27" ht="17.899999999999999" customHeight="1">
      <c r="AA15512"/>
    </row>
    <row r="15513" spans="27:27" ht="17.899999999999999" customHeight="1">
      <c r="AA15513"/>
    </row>
    <row r="15514" spans="27:27" ht="17.899999999999999" customHeight="1">
      <c r="AA15514"/>
    </row>
    <row r="15515" spans="27:27" ht="17.899999999999999" customHeight="1">
      <c r="AA15515"/>
    </row>
    <row r="15516" spans="27:27" ht="17.899999999999999" customHeight="1">
      <c r="AA15516"/>
    </row>
    <row r="15517" spans="27:27" ht="17.899999999999999" customHeight="1">
      <c r="AA15517"/>
    </row>
    <row r="15518" spans="27:27" ht="17.899999999999999" customHeight="1">
      <c r="AA15518"/>
    </row>
    <row r="15519" spans="27:27" ht="17.899999999999999" customHeight="1">
      <c r="AA15519"/>
    </row>
    <row r="15520" spans="27:27" ht="17.899999999999999" customHeight="1">
      <c r="AA15520"/>
    </row>
    <row r="15521" spans="27:27" ht="17.899999999999999" customHeight="1">
      <c r="AA15521"/>
    </row>
    <row r="15522" spans="27:27" ht="17.899999999999999" customHeight="1">
      <c r="AA15522"/>
    </row>
    <row r="15523" spans="27:27" ht="17.899999999999999" customHeight="1">
      <c r="AA15523"/>
    </row>
    <row r="15524" spans="27:27" ht="17.899999999999999" customHeight="1">
      <c r="AA15524"/>
    </row>
    <row r="15525" spans="27:27" ht="17.899999999999999" customHeight="1">
      <c r="AA15525"/>
    </row>
    <row r="15526" spans="27:27" ht="17.899999999999999" customHeight="1">
      <c r="AA15526"/>
    </row>
    <row r="15527" spans="27:27" ht="17.899999999999999" customHeight="1">
      <c r="AA15527"/>
    </row>
    <row r="15528" spans="27:27" ht="17.899999999999999" customHeight="1">
      <c r="AA15528"/>
    </row>
    <row r="15529" spans="27:27" ht="17.899999999999999" customHeight="1">
      <c r="AA15529"/>
    </row>
    <row r="15530" spans="27:27" ht="17.899999999999999" customHeight="1">
      <c r="AA15530"/>
    </row>
    <row r="15531" spans="27:27" ht="17.899999999999999" customHeight="1">
      <c r="AA15531"/>
    </row>
    <row r="15532" spans="27:27" ht="17.899999999999999" customHeight="1">
      <c r="AA15532"/>
    </row>
    <row r="15533" spans="27:27" ht="17.899999999999999" customHeight="1">
      <c r="AA15533"/>
    </row>
    <row r="15534" spans="27:27" ht="17.899999999999999" customHeight="1">
      <c r="AA15534"/>
    </row>
    <row r="15535" spans="27:27" ht="17.899999999999999" customHeight="1">
      <c r="AA15535"/>
    </row>
    <row r="15536" spans="27:27" ht="17.899999999999999" customHeight="1">
      <c r="AA15536"/>
    </row>
    <row r="15537" spans="27:27" ht="17.899999999999999" customHeight="1">
      <c r="AA15537"/>
    </row>
    <row r="15538" spans="27:27" ht="17.899999999999999" customHeight="1">
      <c r="AA15538"/>
    </row>
    <row r="15539" spans="27:27" ht="17.899999999999999" customHeight="1">
      <c r="AA15539"/>
    </row>
    <row r="15540" spans="27:27" ht="17.899999999999999" customHeight="1">
      <c r="AA15540"/>
    </row>
    <row r="15541" spans="27:27" ht="17.899999999999999" customHeight="1">
      <c r="AA15541"/>
    </row>
    <row r="15542" spans="27:27" ht="17.899999999999999" customHeight="1">
      <c r="AA15542"/>
    </row>
    <row r="15543" spans="27:27" ht="17.899999999999999" customHeight="1">
      <c r="AA15543"/>
    </row>
    <row r="15544" spans="27:27" ht="17.899999999999999" customHeight="1">
      <c r="AA15544"/>
    </row>
    <row r="15545" spans="27:27" ht="17.899999999999999" customHeight="1">
      <c r="AA15545"/>
    </row>
    <row r="15546" spans="27:27" ht="17.899999999999999" customHeight="1">
      <c r="AA15546"/>
    </row>
    <row r="15547" spans="27:27" ht="17.899999999999999" customHeight="1">
      <c r="AA15547"/>
    </row>
    <row r="15548" spans="27:27" ht="17.899999999999999" customHeight="1">
      <c r="AA15548"/>
    </row>
    <row r="15549" spans="27:27" ht="17.899999999999999" customHeight="1">
      <c r="AA15549"/>
    </row>
    <row r="15550" spans="27:27" ht="17.899999999999999" customHeight="1">
      <c r="AA15550"/>
    </row>
    <row r="15551" spans="27:27" ht="17.899999999999999" customHeight="1">
      <c r="AA15551"/>
    </row>
    <row r="15552" spans="27:27" ht="17.899999999999999" customHeight="1">
      <c r="AA15552"/>
    </row>
    <row r="15553" spans="27:27" ht="17.899999999999999" customHeight="1">
      <c r="AA15553"/>
    </row>
    <row r="15554" spans="27:27" ht="17.899999999999999" customHeight="1">
      <c r="AA15554"/>
    </row>
    <row r="15555" spans="27:27" ht="17.899999999999999" customHeight="1">
      <c r="AA15555"/>
    </row>
    <row r="15556" spans="27:27" ht="17.899999999999999" customHeight="1">
      <c r="AA15556"/>
    </row>
    <row r="15557" spans="27:27" ht="17.899999999999999" customHeight="1">
      <c r="AA15557"/>
    </row>
    <row r="15558" spans="27:27" ht="17.899999999999999" customHeight="1">
      <c r="AA15558"/>
    </row>
    <row r="15559" spans="27:27" ht="17.899999999999999" customHeight="1">
      <c r="AA15559"/>
    </row>
    <row r="15560" spans="27:27" ht="17.899999999999999" customHeight="1">
      <c r="AA15560"/>
    </row>
    <row r="15561" spans="27:27" ht="17.899999999999999" customHeight="1">
      <c r="AA15561"/>
    </row>
    <row r="15562" spans="27:27" ht="17.899999999999999" customHeight="1">
      <c r="AA15562"/>
    </row>
    <row r="15563" spans="27:27" ht="17.899999999999999" customHeight="1">
      <c r="AA15563"/>
    </row>
    <row r="15564" spans="27:27" ht="17.899999999999999" customHeight="1">
      <c r="AA15564"/>
    </row>
    <row r="15565" spans="27:27" ht="17.899999999999999" customHeight="1">
      <c r="AA15565"/>
    </row>
    <row r="15566" spans="27:27" ht="17.899999999999999" customHeight="1">
      <c r="AA15566"/>
    </row>
    <row r="15567" spans="27:27" ht="17.899999999999999" customHeight="1">
      <c r="AA15567"/>
    </row>
    <row r="15568" spans="27:27" ht="17.899999999999999" customHeight="1">
      <c r="AA15568"/>
    </row>
    <row r="15569" spans="27:27" ht="17.899999999999999" customHeight="1">
      <c r="AA15569"/>
    </row>
    <row r="15570" spans="27:27" ht="17.899999999999999" customHeight="1">
      <c r="AA15570"/>
    </row>
    <row r="15571" spans="27:27" ht="17.899999999999999" customHeight="1">
      <c r="AA15571"/>
    </row>
    <row r="15572" spans="27:27" ht="17.899999999999999" customHeight="1">
      <c r="AA15572"/>
    </row>
    <row r="15573" spans="27:27" ht="17.899999999999999" customHeight="1">
      <c r="AA15573"/>
    </row>
    <row r="15574" spans="27:27" ht="17.899999999999999" customHeight="1">
      <c r="AA15574"/>
    </row>
    <row r="15575" spans="27:27" ht="17.899999999999999" customHeight="1">
      <c r="AA15575"/>
    </row>
    <row r="15576" spans="27:27" ht="17.899999999999999" customHeight="1">
      <c r="AA15576"/>
    </row>
    <row r="15577" spans="27:27" ht="17.899999999999999" customHeight="1">
      <c r="AA15577"/>
    </row>
    <row r="15578" spans="27:27" ht="17.899999999999999" customHeight="1">
      <c r="AA15578"/>
    </row>
    <row r="15579" spans="27:27" ht="17.899999999999999" customHeight="1">
      <c r="AA15579"/>
    </row>
    <row r="15580" spans="27:27" ht="17.899999999999999" customHeight="1">
      <c r="AA15580"/>
    </row>
    <row r="15581" spans="27:27" ht="17.899999999999999" customHeight="1">
      <c r="AA15581"/>
    </row>
    <row r="15582" spans="27:27" ht="17.899999999999999" customHeight="1">
      <c r="AA15582"/>
    </row>
    <row r="15583" spans="27:27" ht="17.899999999999999" customHeight="1">
      <c r="AA15583"/>
    </row>
    <row r="15584" spans="27:27" ht="17.899999999999999" customHeight="1">
      <c r="AA15584"/>
    </row>
    <row r="15585" spans="27:27" ht="17.899999999999999" customHeight="1">
      <c r="AA15585"/>
    </row>
    <row r="15586" spans="27:27" ht="17.899999999999999" customHeight="1">
      <c r="AA15586"/>
    </row>
    <row r="15587" spans="27:27" ht="17.899999999999999" customHeight="1">
      <c r="AA15587"/>
    </row>
    <row r="15588" spans="27:27" ht="17.899999999999999" customHeight="1">
      <c r="AA15588"/>
    </row>
    <row r="15589" spans="27:27" ht="17.899999999999999" customHeight="1">
      <c r="AA15589"/>
    </row>
    <row r="15590" spans="27:27" ht="17.899999999999999" customHeight="1">
      <c r="AA15590"/>
    </row>
    <row r="15591" spans="27:27" ht="17.899999999999999" customHeight="1">
      <c r="AA15591"/>
    </row>
    <row r="15592" spans="27:27" ht="17.899999999999999" customHeight="1">
      <c r="AA15592"/>
    </row>
    <row r="15593" spans="27:27" ht="17.899999999999999" customHeight="1">
      <c r="AA15593"/>
    </row>
    <row r="15594" spans="27:27" ht="17.899999999999999" customHeight="1">
      <c r="AA15594"/>
    </row>
    <row r="15595" spans="27:27" ht="17.899999999999999" customHeight="1">
      <c r="AA15595"/>
    </row>
    <row r="15596" spans="27:27" ht="17.899999999999999" customHeight="1">
      <c r="AA15596"/>
    </row>
    <row r="15597" spans="27:27" ht="17.899999999999999" customHeight="1">
      <c r="AA15597"/>
    </row>
    <row r="15598" spans="27:27" ht="17.899999999999999" customHeight="1">
      <c r="AA15598"/>
    </row>
    <row r="15599" spans="27:27" ht="17.899999999999999" customHeight="1">
      <c r="AA15599"/>
    </row>
    <row r="15600" spans="27:27" ht="17.899999999999999" customHeight="1">
      <c r="AA15600"/>
    </row>
    <row r="15601" spans="27:27" ht="17.899999999999999" customHeight="1">
      <c r="AA15601"/>
    </row>
    <row r="15602" spans="27:27" ht="17.899999999999999" customHeight="1">
      <c r="AA15602"/>
    </row>
    <row r="15603" spans="27:27" ht="17.899999999999999" customHeight="1">
      <c r="AA15603"/>
    </row>
    <row r="15604" spans="27:27" ht="17.899999999999999" customHeight="1">
      <c r="AA15604"/>
    </row>
    <row r="15605" spans="27:27" ht="17.899999999999999" customHeight="1">
      <c r="AA15605"/>
    </row>
    <row r="15606" spans="27:27" ht="17.899999999999999" customHeight="1">
      <c r="AA15606"/>
    </row>
    <row r="15607" spans="27:27" ht="17.899999999999999" customHeight="1">
      <c r="AA15607"/>
    </row>
    <row r="15608" spans="27:27" ht="17.899999999999999" customHeight="1">
      <c r="AA15608"/>
    </row>
    <row r="15609" spans="27:27" ht="17.899999999999999" customHeight="1">
      <c r="AA15609"/>
    </row>
    <row r="15610" spans="27:27" ht="17.899999999999999" customHeight="1">
      <c r="AA15610"/>
    </row>
    <row r="15611" spans="27:27" ht="17.899999999999999" customHeight="1">
      <c r="AA15611"/>
    </row>
    <row r="15612" spans="27:27" ht="17.899999999999999" customHeight="1">
      <c r="AA15612"/>
    </row>
    <row r="15613" spans="27:27" ht="17.899999999999999" customHeight="1">
      <c r="AA15613"/>
    </row>
    <row r="15614" spans="27:27" ht="17.899999999999999" customHeight="1">
      <c r="AA15614"/>
    </row>
    <row r="15615" spans="27:27" ht="17.899999999999999" customHeight="1">
      <c r="AA15615"/>
    </row>
    <row r="15616" spans="27:27" ht="17.899999999999999" customHeight="1">
      <c r="AA15616"/>
    </row>
    <row r="15617" spans="27:27" ht="17.899999999999999" customHeight="1">
      <c r="AA15617"/>
    </row>
    <row r="15618" spans="27:27" ht="17.899999999999999" customHeight="1">
      <c r="AA15618"/>
    </row>
    <row r="15619" spans="27:27" ht="17.899999999999999" customHeight="1">
      <c r="AA15619"/>
    </row>
    <row r="15620" spans="27:27" ht="17.899999999999999" customHeight="1">
      <c r="AA15620"/>
    </row>
    <row r="15621" spans="27:27" ht="17.899999999999999" customHeight="1">
      <c r="AA15621"/>
    </row>
    <row r="15622" spans="27:27" ht="17.899999999999999" customHeight="1">
      <c r="AA15622"/>
    </row>
    <row r="15623" spans="27:27" ht="17.899999999999999" customHeight="1">
      <c r="AA15623"/>
    </row>
    <row r="15624" spans="27:27" ht="17.899999999999999" customHeight="1">
      <c r="AA15624"/>
    </row>
    <row r="15625" spans="27:27" ht="17.899999999999999" customHeight="1">
      <c r="AA15625"/>
    </row>
    <row r="15626" spans="27:27" ht="17.899999999999999" customHeight="1">
      <c r="AA15626"/>
    </row>
    <row r="15627" spans="27:27" ht="17.899999999999999" customHeight="1">
      <c r="AA15627"/>
    </row>
    <row r="15628" spans="27:27" ht="17.899999999999999" customHeight="1">
      <c r="AA15628"/>
    </row>
    <row r="15629" spans="27:27" ht="17.899999999999999" customHeight="1">
      <c r="AA15629"/>
    </row>
    <row r="15630" spans="27:27" ht="17.899999999999999" customHeight="1">
      <c r="AA15630"/>
    </row>
    <row r="15631" spans="27:27" ht="17.899999999999999" customHeight="1">
      <c r="AA15631"/>
    </row>
    <row r="15632" spans="27:27" ht="17.899999999999999" customHeight="1">
      <c r="AA15632"/>
    </row>
    <row r="15633" spans="27:27" ht="17.899999999999999" customHeight="1">
      <c r="AA15633"/>
    </row>
    <row r="15634" spans="27:27" ht="17.899999999999999" customHeight="1">
      <c r="AA15634"/>
    </row>
    <row r="15635" spans="27:27" ht="17.899999999999999" customHeight="1">
      <c r="AA15635"/>
    </row>
    <row r="15636" spans="27:27" ht="17.899999999999999" customHeight="1">
      <c r="AA15636"/>
    </row>
    <row r="15637" spans="27:27" ht="17.899999999999999" customHeight="1">
      <c r="AA15637"/>
    </row>
    <row r="15638" spans="27:27" ht="17.899999999999999" customHeight="1">
      <c r="AA15638"/>
    </row>
    <row r="15639" spans="27:27" ht="17.899999999999999" customHeight="1">
      <c r="AA15639"/>
    </row>
    <row r="15640" spans="27:27" ht="17.899999999999999" customHeight="1">
      <c r="AA15640"/>
    </row>
    <row r="15641" spans="27:27" ht="17.899999999999999" customHeight="1">
      <c r="AA15641"/>
    </row>
    <row r="15642" spans="27:27" ht="17.899999999999999" customHeight="1">
      <c r="AA15642"/>
    </row>
    <row r="15643" spans="27:27" ht="17.899999999999999" customHeight="1">
      <c r="AA15643"/>
    </row>
    <row r="15644" spans="27:27" ht="17.899999999999999" customHeight="1">
      <c r="AA15644"/>
    </row>
    <row r="15645" spans="27:27" ht="17.899999999999999" customHeight="1">
      <c r="AA15645"/>
    </row>
    <row r="15646" spans="27:27" ht="17.899999999999999" customHeight="1">
      <c r="AA15646"/>
    </row>
    <row r="15647" spans="27:27" ht="17.899999999999999" customHeight="1">
      <c r="AA15647"/>
    </row>
    <row r="15648" spans="27:27" ht="17.899999999999999" customHeight="1">
      <c r="AA15648"/>
    </row>
    <row r="15649" spans="27:27" ht="17.899999999999999" customHeight="1">
      <c r="AA15649"/>
    </row>
    <row r="15650" spans="27:27" ht="17.899999999999999" customHeight="1">
      <c r="AA15650"/>
    </row>
    <row r="15651" spans="27:27" ht="17.899999999999999" customHeight="1">
      <c r="AA15651"/>
    </row>
    <row r="15652" spans="27:27" ht="17.899999999999999" customHeight="1">
      <c r="AA15652"/>
    </row>
    <row r="15653" spans="27:27" ht="17.899999999999999" customHeight="1">
      <c r="AA15653"/>
    </row>
    <row r="15654" spans="27:27" ht="17.899999999999999" customHeight="1">
      <c r="AA15654"/>
    </row>
    <row r="15655" spans="27:27" ht="17.899999999999999" customHeight="1">
      <c r="AA15655"/>
    </row>
    <row r="15656" spans="27:27" ht="17.899999999999999" customHeight="1">
      <c r="AA15656"/>
    </row>
    <row r="15657" spans="27:27" ht="17.899999999999999" customHeight="1">
      <c r="AA15657"/>
    </row>
    <row r="15658" spans="27:27" ht="17.899999999999999" customHeight="1">
      <c r="AA15658"/>
    </row>
    <row r="15659" spans="27:27" ht="17.899999999999999" customHeight="1">
      <c r="AA15659"/>
    </row>
    <row r="15660" spans="27:27" ht="17.899999999999999" customHeight="1">
      <c r="AA15660"/>
    </row>
    <row r="15661" spans="27:27" ht="17.899999999999999" customHeight="1">
      <c r="AA15661"/>
    </row>
    <row r="15662" spans="27:27" ht="17.899999999999999" customHeight="1">
      <c r="AA15662"/>
    </row>
    <row r="15663" spans="27:27" ht="17.899999999999999" customHeight="1">
      <c r="AA15663"/>
    </row>
    <row r="15664" spans="27:27" ht="17.899999999999999" customHeight="1">
      <c r="AA15664"/>
    </row>
    <row r="15665" spans="27:27" ht="17.899999999999999" customHeight="1">
      <c r="AA15665"/>
    </row>
    <row r="15666" spans="27:27" ht="17.899999999999999" customHeight="1">
      <c r="AA15666"/>
    </row>
    <row r="15667" spans="27:27" ht="17.899999999999999" customHeight="1">
      <c r="AA15667"/>
    </row>
    <row r="15668" spans="27:27" ht="17.899999999999999" customHeight="1">
      <c r="AA15668"/>
    </row>
    <row r="15669" spans="27:27" ht="17.899999999999999" customHeight="1">
      <c r="AA15669"/>
    </row>
    <row r="15670" spans="27:27" ht="17.899999999999999" customHeight="1">
      <c r="AA15670"/>
    </row>
    <row r="15671" spans="27:27" ht="17.899999999999999" customHeight="1">
      <c r="AA15671"/>
    </row>
    <row r="15672" spans="27:27" ht="17.899999999999999" customHeight="1">
      <c r="AA15672"/>
    </row>
    <row r="15673" spans="27:27" ht="17.899999999999999" customHeight="1">
      <c r="AA15673"/>
    </row>
    <row r="15674" spans="27:27" ht="17.899999999999999" customHeight="1">
      <c r="AA15674"/>
    </row>
    <row r="15675" spans="27:27" ht="17.899999999999999" customHeight="1">
      <c r="AA15675"/>
    </row>
    <row r="15676" spans="27:27" ht="17.899999999999999" customHeight="1">
      <c r="AA15676"/>
    </row>
    <row r="15677" spans="27:27" ht="17.899999999999999" customHeight="1">
      <c r="AA15677"/>
    </row>
    <row r="15678" spans="27:27" ht="17.899999999999999" customHeight="1">
      <c r="AA15678"/>
    </row>
    <row r="15679" spans="27:27" ht="17.899999999999999" customHeight="1">
      <c r="AA15679"/>
    </row>
    <row r="15680" spans="27:27" ht="17.899999999999999" customHeight="1">
      <c r="AA15680"/>
    </row>
    <row r="15681" spans="27:27" ht="17.899999999999999" customHeight="1">
      <c r="AA15681"/>
    </row>
    <row r="15682" spans="27:27" ht="17.899999999999999" customHeight="1">
      <c r="AA15682"/>
    </row>
    <row r="15683" spans="27:27" ht="17.899999999999999" customHeight="1">
      <c r="AA15683"/>
    </row>
    <row r="15684" spans="27:27" ht="17.899999999999999" customHeight="1">
      <c r="AA15684"/>
    </row>
    <row r="15685" spans="27:27" ht="17.899999999999999" customHeight="1">
      <c r="AA15685"/>
    </row>
    <row r="15686" spans="27:27" ht="17.899999999999999" customHeight="1">
      <c r="AA15686"/>
    </row>
    <row r="15687" spans="27:27" ht="17.899999999999999" customHeight="1">
      <c r="AA15687"/>
    </row>
    <row r="15688" spans="27:27" ht="17.899999999999999" customHeight="1">
      <c r="AA15688"/>
    </row>
    <row r="15689" spans="27:27" ht="17.899999999999999" customHeight="1">
      <c r="AA15689"/>
    </row>
    <row r="15690" spans="27:27" ht="17.899999999999999" customHeight="1">
      <c r="AA15690"/>
    </row>
    <row r="15691" spans="27:27" ht="17.899999999999999" customHeight="1">
      <c r="AA15691"/>
    </row>
    <row r="15692" spans="27:27" ht="17.899999999999999" customHeight="1">
      <c r="AA15692"/>
    </row>
    <row r="15693" spans="27:27" ht="17.899999999999999" customHeight="1">
      <c r="AA15693"/>
    </row>
    <row r="15694" spans="27:27" ht="17.899999999999999" customHeight="1">
      <c r="AA15694"/>
    </row>
    <row r="15695" spans="27:27" ht="17.899999999999999" customHeight="1">
      <c r="AA15695"/>
    </row>
    <row r="15696" spans="27:27" ht="17.899999999999999" customHeight="1">
      <c r="AA15696"/>
    </row>
    <row r="15697" spans="27:27" ht="17.899999999999999" customHeight="1">
      <c r="AA15697"/>
    </row>
    <row r="15698" spans="27:27" ht="17.899999999999999" customHeight="1">
      <c r="AA15698"/>
    </row>
    <row r="15699" spans="27:27" ht="17.899999999999999" customHeight="1">
      <c r="AA15699"/>
    </row>
    <row r="15700" spans="27:27" ht="17.899999999999999" customHeight="1">
      <c r="AA15700"/>
    </row>
    <row r="15701" spans="27:27" ht="17.899999999999999" customHeight="1">
      <c r="AA15701"/>
    </row>
    <row r="15702" spans="27:27" ht="17.899999999999999" customHeight="1">
      <c r="AA15702"/>
    </row>
    <row r="15703" spans="27:27" ht="17.899999999999999" customHeight="1">
      <c r="AA15703"/>
    </row>
    <row r="15704" spans="27:27" ht="17.899999999999999" customHeight="1">
      <c r="AA15704"/>
    </row>
    <row r="15705" spans="27:27" ht="17.899999999999999" customHeight="1">
      <c r="AA15705"/>
    </row>
    <row r="15706" spans="27:27" ht="17.899999999999999" customHeight="1">
      <c r="AA15706"/>
    </row>
    <row r="15707" spans="27:27" ht="17.899999999999999" customHeight="1">
      <c r="AA15707"/>
    </row>
    <row r="15708" spans="27:27" ht="17.899999999999999" customHeight="1">
      <c r="AA15708"/>
    </row>
    <row r="15709" spans="27:27" ht="17.899999999999999" customHeight="1">
      <c r="AA15709"/>
    </row>
    <row r="15710" spans="27:27" ht="17.899999999999999" customHeight="1">
      <c r="AA15710"/>
    </row>
    <row r="15711" spans="27:27" ht="17.899999999999999" customHeight="1">
      <c r="AA15711"/>
    </row>
    <row r="15712" spans="27:27" ht="17.899999999999999" customHeight="1">
      <c r="AA15712"/>
    </row>
    <row r="15713" spans="27:27" ht="17.899999999999999" customHeight="1">
      <c r="AA15713"/>
    </row>
    <row r="15714" spans="27:27" ht="17.899999999999999" customHeight="1">
      <c r="AA15714"/>
    </row>
    <row r="15715" spans="27:27" ht="17.899999999999999" customHeight="1">
      <c r="AA15715"/>
    </row>
    <row r="15716" spans="27:27" ht="17.899999999999999" customHeight="1">
      <c r="AA15716"/>
    </row>
    <row r="15717" spans="27:27" ht="17.899999999999999" customHeight="1">
      <c r="AA15717"/>
    </row>
    <row r="15718" spans="27:27" ht="17.899999999999999" customHeight="1">
      <c r="AA15718"/>
    </row>
    <row r="15719" spans="27:27" ht="17.899999999999999" customHeight="1">
      <c r="AA15719"/>
    </row>
    <row r="15720" spans="27:27" ht="17.899999999999999" customHeight="1">
      <c r="AA15720"/>
    </row>
    <row r="15721" spans="27:27" ht="17.899999999999999" customHeight="1">
      <c r="AA15721"/>
    </row>
    <row r="15722" spans="27:27" ht="17.899999999999999" customHeight="1">
      <c r="AA15722"/>
    </row>
    <row r="15723" spans="27:27" ht="17.899999999999999" customHeight="1">
      <c r="AA15723"/>
    </row>
    <row r="15724" spans="27:27" ht="17.899999999999999" customHeight="1">
      <c r="AA15724"/>
    </row>
    <row r="15725" spans="27:27" ht="17.899999999999999" customHeight="1">
      <c r="AA15725"/>
    </row>
    <row r="15726" spans="27:27" ht="17.899999999999999" customHeight="1">
      <c r="AA15726"/>
    </row>
    <row r="15727" spans="27:27" ht="17.899999999999999" customHeight="1">
      <c r="AA15727"/>
    </row>
    <row r="15728" spans="27:27" ht="17.899999999999999" customHeight="1">
      <c r="AA15728"/>
    </row>
    <row r="15729" spans="27:27" ht="17.899999999999999" customHeight="1">
      <c r="AA15729"/>
    </row>
    <row r="15730" spans="27:27" ht="17.899999999999999" customHeight="1">
      <c r="AA15730"/>
    </row>
    <row r="15731" spans="27:27" ht="17.899999999999999" customHeight="1">
      <c r="AA15731"/>
    </row>
    <row r="15732" spans="27:27" ht="17.899999999999999" customHeight="1">
      <c r="AA15732"/>
    </row>
    <row r="15733" spans="27:27" ht="17.899999999999999" customHeight="1">
      <c r="AA15733"/>
    </row>
    <row r="15734" spans="27:27" ht="17.899999999999999" customHeight="1">
      <c r="AA15734"/>
    </row>
    <row r="15735" spans="27:27" ht="17.899999999999999" customHeight="1">
      <c r="AA15735"/>
    </row>
    <row r="15736" spans="27:27" ht="17.899999999999999" customHeight="1">
      <c r="AA15736"/>
    </row>
    <row r="15737" spans="27:27" ht="17.899999999999999" customHeight="1">
      <c r="AA15737"/>
    </row>
    <row r="15738" spans="27:27" ht="17.899999999999999" customHeight="1">
      <c r="AA15738"/>
    </row>
    <row r="15739" spans="27:27" ht="17.899999999999999" customHeight="1">
      <c r="AA15739"/>
    </row>
    <row r="15740" spans="27:27" ht="17.899999999999999" customHeight="1">
      <c r="AA15740"/>
    </row>
    <row r="15741" spans="27:27" ht="17.899999999999999" customHeight="1">
      <c r="AA15741"/>
    </row>
    <row r="15742" spans="27:27" ht="17.899999999999999" customHeight="1">
      <c r="AA15742"/>
    </row>
    <row r="15743" spans="27:27" ht="17.899999999999999" customHeight="1">
      <c r="AA15743"/>
    </row>
    <row r="15744" spans="27:27" ht="17.899999999999999" customHeight="1">
      <c r="AA15744"/>
    </row>
    <row r="15745" spans="27:27" ht="17.899999999999999" customHeight="1">
      <c r="AA15745"/>
    </row>
    <row r="15746" spans="27:27" ht="17.899999999999999" customHeight="1">
      <c r="AA15746"/>
    </row>
    <row r="15747" spans="27:27" ht="17.899999999999999" customHeight="1">
      <c r="AA15747"/>
    </row>
    <row r="15748" spans="27:27" ht="17.899999999999999" customHeight="1">
      <c r="AA15748"/>
    </row>
    <row r="15749" spans="27:27" ht="17.899999999999999" customHeight="1">
      <c r="AA15749"/>
    </row>
    <row r="15750" spans="27:27" ht="17.899999999999999" customHeight="1">
      <c r="AA15750"/>
    </row>
    <row r="15751" spans="27:27" ht="17.899999999999999" customHeight="1">
      <c r="AA15751"/>
    </row>
    <row r="15752" spans="27:27" ht="17.899999999999999" customHeight="1">
      <c r="AA15752"/>
    </row>
    <row r="15753" spans="27:27" ht="17.899999999999999" customHeight="1">
      <c r="AA15753"/>
    </row>
    <row r="15754" spans="27:27" ht="17.899999999999999" customHeight="1">
      <c r="AA15754"/>
    </row>
    <row r="15755" spans="27:27" ht="17.899999999999999" customHeight="1">
      <c r="AA15755"/>
    </row>
    <row r="15756" spans="27:27" ht="17.899999999999999" customHeight="1">
      <c r="AA15756"/>
    </row>
    <row r="15757" spans="27:27" ht="17.899999999999999" customHeight="1">
      <c r="AA15757"/>
    </row>
    <row r="15758" spans="27:27" ht="17.899999999999999" customHeight="1">
      <c r="AA15758"/>
    </row>
    <row r="15759" spans="27:27" ht="17.899999999999999" customHeight="1">
      <c r="AA15759"/>
    </row>
    <row r="15760" spans="27:27" ht="17.899999999999999" customHeight="1">
      <c r="AA15760"/>
    </row>
    <row r="15761" spans="27:27" ht="17.899999999999999" customHeight="1">
      <c r="AA15761"/>
    </row>
    <row r="15762" spans="27:27" ht="17.899999999999999" customHeight="1">
      <c r="AA15762"/>
    </row>
    <row r="15763" spans="27:27" ht="17.899999999999999" customHeight="1">
      <c r="AA15763"/>
    </row>
    <row r="15764" spans="27:27" ht="17.899999999999999" customHeight="1">
      <c r="AA15764"/>
    </row>
    <row r="15765" spans="27:27" ht="17.899999999999999" customHeight="1">
      <c r="AA15765"/>
    </row>
    <row r="15766" spans="27:27" ht="17.899999999999999" customHeight="1">
      <c r="AA15766"/>
    </row>
    <row r="15767" spans="27:27" ht="17.899999999999999" customHeight="1">
      <c r="AA15767"/>
    </row>
    <row r="15768" spans="27:27" ht="17.899999999999999" customHeight="1">
      <c r="AA15768"/>
    </row>
    <row r="15769" spans="27:27" ht="17.899999999999999" customHeight="1">
      <c r="AA15769"/>
    </row>
    <row r="15770" spans="27:27" ht="17.899999999999999" customHeight="1">
      <c r="AA15770"/>
    </row>
    <row r="15771" spans="27:27" ht="17.899999999999999" customHeight="1">
      <c r="AA15771"/>
    </row>
    <row r="15772" spans="27:27" ht="17.899999999999999" customHeight="1">
      <c r="AA15772"/>
    </row>
    <row r="15773" spans="27:27" ht="17.899999999999999" customHeight="1">
      <c r="AA15773"/>
    </row>
    <row r="15774" spans="27:27" ht="17.899999999999999" customHeight="1">
      <c r="AA15774"/>
    </row>
    <row r="15775" spans="27:27" ht="17.899999999999999" customHeight="1">
      <c r="AA15775"/>
    </row>
    <row r="15776" spans="27:27" ht="17.899999999999999" customHeight="1">
      <c r="AA15776"/>
    </row>
    <row r="15777" spans="27:27" ht="17.899999999999999" customHeight="1">
      <c r="AA15777"/>
    </row>
    <row r="15778" spans="27:27" ht="17.899999999999999" customHeight="1">
      <c r="AA15778"/>
    </row>
    <row r="15779" spans="27:27" ht="17.899999999999999" customHeight="1">
      <c r="AA15779"/>
    </row>
    <row r="15780" spans="27:27" ht="17.899999999999999" customHeight="1">
      <c r="AA15780"/>
    </row>
    <row r="15781" spans="27:27" ht="17.899999999999999" customHeight="1">
      <c r="AA15781"/>
    </row>
    <row r="15782" spans="27:27" ht="17.899999999999999" customHeight="1">
      <c r="AA15782"/>
    </row>
    <row r="15783" spans="27:27" ht="17.899999999999999" customHeight="1">
      <c r="AA15783"/>
    </row>
    <row r="15784" spans="27:27" ht="17.899999999999999" customHeight="1">
      <c r="AA15784"/>
    </row>
    <row r="15785" spans="27:27" ht="17.899999999999999" customHeight="1">
      <c r="AA15785"/>
    </row>
    <row r="15786" spans="27:27" ht="17.899999999999999" customHeight="1">
      <c r="AA15786"/>
    </row>
    <row r="15787" spans="27:27" ht="17.899999999999999" customHeight="1">
      <c r="AA15787"/>
    </row>
    <row r="15788" spans="27:27" ht="17.899999999999999" customHeight="1">
      <c r="AA15788"/>
    </row>
    <row r="15789" spans="27:27" ht="17.899999999999999" customHeight="1">
      <c r="AA15789"/>
    </row>
    <row r="15790" spans="27:27" ht="17.899999999999999" customHeight="1">
      <c r="AA15790"/>
    </row>
    <row r="15791" spans="27:27" ht="17.899999999999999" customHeight="1">
      <c r="AA15791"/>
    </row>
    <row r="15792" spans="27:27" ht="17.899999999999999" customHeight="1">
      <c r="AA15792"/>
    </row>
    <row r="15793" spans="27:27" ht="17.899999999999999" customHeight="1">
      <c r="AA15793"/>
    </row>
    <row r="15794" spans="27:27" ht="17.899999999999999" customHeight="1">
      <c r="AA15794"/>
    </row>
    <row r="15795" spans="27:27" ht="17.899999999999999" customHeight="1">
      <c r="AA15795"/>
    </row>
    <row r="15796" spans="27:27" ht="17.899999999999999" customHeight="1">
      <c r="AA15796"/>
    </row>
    <row r="15797" spans="27:27" ht="17.899999999999999" customHeight="1">
      <c r="AA15797"/>
    </row>
    <row r="15798" spans="27:27" ht="17.899999999999999" customHeight="1">
      <c r="AA15798"/>
    </row>
    <row r="15799" spans="27:27" ht="17.899999999999999" customHeight="1">
      <c r="AA15799"/>
    </row>
    <row r="15800" spans="27:27" ht="17.899999999999999" customHeight="1">
      <c r="AA15800"/>
    </row>
    <row r="15801" spans="27:27" ht="17.899999999999999" customHeight="1">
      <c r="AA15801"/>
    </row>
    <row r="15802" spans="27:27" ht="17.899999999999999" customHeight="1">
      <c r="AA15802"/>
    </row>
    <row r="15803" spans="27:27" ht="17.899999999999999" customHeight="1">
      <c r="AA15803"/>
    </row>
    <row r="15804" spans="27:27" ht="17.899999999999999" customHeight="1">
      <c r="AA15804"/>
    </row>
    <row r="15805" spans="27:27" ht="17.899999999999999" customHeight="1">
      <c r="AA15805"/>
    </row>
    <row r="15806" spans="27:27" ht="17.899999999999999" customHeight="1">
      <c r="AA15806"/>
    </row>
    <row r="15807" spans="27:27" ht="17.899999999999999" customHeight="1">
      <c r="AA15807"/>
    </row>
    <row r="15808" spans="27:27" ht="17.899999999999999" customHeight="1">
      <c r="AA15808"/>
    </row>
    <row r="15809" spans="27:27" ht="17.899999999999999" customHeight="1">
      <c r="AA15809"/>
    </row>
    <row r="15810" spans="27:27" ht="17.899999999999999" customHeight="1">
      <c r="AA15810"/>
    </row>
    <row r="15811" spans="27:27" ht="17.899999999999999" customHeight="1">
      <c r="AA15811"/>
    </row>
    <row r="15812" spans="27:27" ht="17.899999999999999" customHeight="1">
      <c r="AA15812"/>
    </row>
    <row r="15813" spans="27:27" ht="17.899999999999999" customHeight="1">
      <c r="AA15813"/>
    </row>
    <row r="15814" spans="27:27" ht="17.899999999999999" customHeight="1">
      <c r="AA15814"/>
    </row>
    <row r="15815" spans="27:27" ht="17.899999999999999" customHeight="1">
      <c r="AA15815"/>
    </row>
    <row r="15816" spans="27:27" ht="17.899999999999999" customHeight="1">
      <c r="AA15816"/>
    </row>
    <row r="15817" spans="27:27" ht="17.899999999999999" customHeight="1">
      <c r="AA15817"/>
    </row>
    <row r="15818" spans="27:27" ht="17.899999999999999" customHeight="1">
      <c r="AA15818"/>
    </row>
    <row r="15819" spans="27:27" ht="17.899999999999999" customHeight="1">
      <c r="AA15819"/>
    </row>
    <row r="15820" spans="27:27" ht="17.899999999999999" customHeight="1">
      <c r="AA15820"/>
    </row>
    <row r="15821" spans="27:27" ht="17.899999999999999" customHeight="1">
      <c r="AA15821"/>
    </row>
    <row r="15822" spans="27:27" ht="17.899999999999999" customHeight="1">
      <c r="AA15822"/>
    </row>
    <row r="15823" spans="27:27" ht="17.899999999999999" customHeight="1">
      <c r="AA15823"/>
    </row>
    <row r="15824" spans="27:27" ht="17.899999999999999" customHeight="1">
      <c r="AA15824"/>
    </row>
    <row r="15825" spans="27:27" ht="17.899999999999999" customHeight="1">
      <c r="AA15825"/>
    </row>
    <row r="15826" spans="27:27" ht="17.899999999999999" customHeight="1">
      <c r="AA15826"/>
    </row>
    <row r="15827" spans="27:27" ht="17.899999999999999" customHeight="1">
      <c r="AA15827"/>
    </row>
    <row r="15828" spans="27:27" ht="17.899999999999999" customHeight="1">
      <c r="AA15828"/>
    </row>
    <row r="15829" spans="27:27" ht="17.899999999999999" customHeight="1">
      <c r="AA15829"/>
    </row>
    <row r="15830" spans="27:27" ht="17.899999999999999" customHeight="1">
      <c r="AA15830"/>
    </row>
    <row r="15831" spans="27:27" ht="17.899999999999999" customHeight="1">
      <c r="AA15831"/>
    </row>
    <row r="15832" spans="27:27" ht="17.899999999999999" customHeight="1">
      <c r="AA15832"/>
    </row>
    <row r="15833" spans="27:27" ht="17.899999999999999" customHeight="1">
      <c r="AA15833"/>
    </row>
    <row r="15834" spans="27:27" ht="17.899999999999999" customHeight="1">
      <c r="AA15834"/>
    </row>
    <row r="15835" spans="27:27" ht="17.899999999999999" customHeight="1">
      <c r="AA15835"/>
    </row>
    <row r="15836" spans="27:27" ht="17.899999999999999" customHeight="1">
      <c r="AA15836"/>
    </row>
    <row r="15837" spans="27:27" ht="17.899999999999999" customHeight="1">
      <c r="AA15837"/>
    </row>
    <row r="15838" spans="27:27" ht="17.899999999999999" customHeight="1">
      <c r="AA15838"/>
    </row>
    <row r="15839" spans="27:27" ht="17.899999999999999" customHeight="1">
      <c r="AA15839"/>
    </row>
    <row r="15840" spans="27:27" ht="17.899999999999999" customHeight="1">
      <c r="AA15840"/>
    </row>
    <row r="15841" spans="27:27" ht="17.899999999999999" customHeight="1">
      <c r="AA15841"/>
    </row>
    <row r="15842" spans="27:27" ht="17.899999999999999" customHeight="1">
      <c r="AA15842"/>
    </row>
    <row r="15843" spans="27:27" ht="17.899999999999999" customHeight="1">
      <c r="AA15843"/>
    </row>
    <row r="15844" spans="27:27" ht="17.899999999999999" customHeight="1">
      <c r="AA15844"/>
    </row>
    <row r="15845" spans="27:27" ht="17.899999999999999" customHeight="1">
      <c r="AA15845"/>
    </row>
    <row r="15846" spans="27:27" ht="17.899999999999999" customHeight="1">
      <c r="AA15846"/>
    </row>
    <row r="15847" spans="27:27" ht="17.899999999999999" customHeight="1">
      <c r="AA15847"/>
    </row>
    <row r="15848" spans="27:27" ht="17.899999999999999" customHeight="1">
      <c r="AA15848"/>
    </row>
    <row r="15849" spans="27:27" ht="17.899999999999999" customHeight="1">
      <c r="AA15849"/>
    </row>
    <row r="15850" spans="27:27" ht="17.899999999999999" customHeight="1">
      <c r="AA15850"/>
    </row>
    <row r="15851" spans="27:27" ht="17.899999999999999" customHeight="1">
      <c r="AA15851"/>
    </row>
    <row r="15852" spans="27:27" ht="17.899999999999999" customHeight="1">
      <c r="AA15852"/>
    </row>
    <row r="15853" spans="27:27" ht="17.899999999999999" customHeight="1">
      <c r="AA15853"/>
    </row>
    <row r="15854" spans="27:27" ht="17.899999999999999" customHeight="1">
      <c r="AA15854"/>
    </row>
    <row r="15855" spans="27:27" ht="17.899999999999999" customHeight="1">
      <c r="AA15855"/>
    </row>
    <row r="15856" spans="27:27" ht="17.899999999999999" customHeight="1">
      <c r="AA15856"/>
    </row>
    <row r="15857" spans="27:27" ht="17.899999999999999" customHeight="1">
      <c r="AA15857"/>
    </row>
    <row r="15858" spans="27:27" ht="17.899999999999999" customHeight="1">
      <c r="AA15858"/>
    </row>
    <row r="15859" spans="27:27" ht="17.899999999999999" customHeight="1">
      <c r="AA15859"/>
    </row>
    <row r="15860" spans="27:27" ht="17.899999999999999" customHeight="1">
      <c r="AA15860"/>
    </row>
    <row r="15861" spans="27:27" ht="17.899999999999999" customHeight="1">
      <c r="AA15861"/>
    </row>
    <row r="15862" spans="27:27" ht="17.899999999999999" customHeight="1">
      <c r="AA15862"/>
    </row>
    <row r="15863" spans="27:27" ht="17.899999999999999" customHeight="1">
      <c r="AA15863"/>
    </row>
    <row r="15864" spans="27:27" ht="17.899999999999999" customHeight="1">
      <c r="AA15864"/>
    </row>
    <row r="15865" spans="27:27" ht="17.899999999999999" customHeight="1">
      <c r="AA15865"/>
    </row>
    <row r="15866" spans="27:27" ht="17.899999999999999" customHeight="1">
      <c r="AA15866"/>
    </row>
    <row r="15867" spans="27:27" ht="17.899999999999999" customHeight="1">
      <c r="AA15867"/>
    </row>
    <row r="15868" spans="27:27" ht="17.899999999999999" customHeight="1">
      <c r="AA15868"/>
    </row>
    <row r="15869" spans="27:27" ht="17.899999999999999" customHeight="1">
      <c r="AA15869"/>
    </row>
    <row r="15870" spans="27:27" ht="17.899999999999999" customHeight="1">
      <c r="AA15870"/>
    </row>
    <row r="15871" spans="27:27" ht="17.899999999999999" customHeight="1">
      <c r="AA15871"/>
    </row>
    <row r="15872" spans="27:27" ht="17.899999999999999" customHeight="1">
      <c r="AA15872"/>
    </row>
    <row r="15873" spans="27:27" ht="17.899999999999999" customHeight="1">
      <c r="AA15873"/>
    </row>
    <row r="15874" spans="27:27" ht="17.899999999999999" customHeight="1">
      <c r="AA15874"/>
    </row>
    <row r="15875" spans="27:27" ht="17.899999999999999" customHeight="1">
      <c r="AA15875"/>
    </row>
    <row r="15876" spans="27:27" ht="17.899999999999999" customHeight="1">
      <c r="AA15876"/>
    </row>
    <row r="15877" spans="27:27" ht="17.899999999999999" customHeight="1">
      <c r="AA15877"/>
    </row>
    <row r="15878" spans="27:27" ht="17.899999999999999" customHeight="1">
      <c r="AA15878"/>
    </row>
    <row r="15879" spans="27:27" ht="17.899999999999999" customHeight="1">
      <c r="AA15879"/>
    </row>
    <row r="15880" spans="27:27" ht="17.899999999999999" customHeight="1">
      <c r="AA15880"/>
    </row>
    <row r="15881" spans="27:27" ht="17.899999999999999" customHeight="1">
      <c r="AA15881"/>
    </row>
    <row r="15882" spans="27:27" ht="17.899999999999999" customHeight="1">
      <c r="AA15882"/>
    </row>
    <row r="15883" spans="27:27" ht="17.899999999999999" customHeight="1">
      <c r="AA15883"/>
    </row>
    <row r="15884" spans="27:27" ht="17.899999999999999" customHeight="1">
      <c r="AA15884"/>
    </row>
    <row r="15885" spans="27:27" ht="17.899999999999999" customHeight="1">
      <c r="AA15885"/>
    </row>
    <row r="15886" spans="27:27" ht="17.899999999999999" customHeight="1">
      <c r="AA15886"/>
    </row>
    <row r="15887" spans="27:27" ht="17.899999999999999" customHeight="1">
      <c r="AA15887"/>
    </row>
    <row r="15888" spans="27:27" ht="17.899999999999999" customHeight="1">
      <c r="AA15888"/>
    </row>
    <row r="15889" spans="27:27" ht="17.899999999999999" customHeight="1">
      <c r="AA15889"/>
    </row>
    <row r="15890" spans="27:27" ht="17.899999999999999" customHeight="1">
      <c r="AA15890"/>
    </row>
    <row r="15891" spans="27:27" ht="17.899999999999999" customHeight="1">
      <c r="AA15891"/>
    </row>
    <row r="15892" spans="27:27" ht="17.899999999999999" customHeight="1">
      <c r="AA15892"/>
    </row>
    <row r="15893" spans="27:27" ht="17.899999999999999" customHeight="1">
      <c r="AA15893"/>
    </row>
    <row r="15894" spans="27:27" ht="17.899999999999999" customHeight="1">
      <c r="AA15894"/>
    </row>
    <row r="15895" spans="27:27" ht="17.899999999999999" customHeight="1">
      <c r="AA15895"/>
    </row>
    <row r="15896" spans="27:27" ht="17.899999999999999" customHeight="1">
      <c r="AA15896"/>
    </row>
    <row r="15897" spans="27:27" ht="17.899999999999999" customHeight="1">
      <c r="AA15897"/>
    </row>
    <row r="15898" spans="27:27" ht="17.899999999999999" customHeight="1">
      <c r="AA15898"/>
    </row>
    <row r="15899" spans="27:27" ht="17.899999999999999" customHeight="1">
      <c r="AA15899"/>
    </row>
    <row r="15900" spans="27:27" ht="17.899999999999999" customHeight="1">
      <c r="AA15900"/>
    </row>
    <row r="15901" spans="27:27" ht="17.899999999999999" customHeight="1">
      <c r="AA15901"/>
    </row>
    <row r="15902" spans="27:27" ht="17.899999999999999" customHeight="1">
      <c r="AA15902"/>
    </row>
    <row r="15903" spans="27:27" ht="17.899999999999999" customHeight="1">
      <c r="AA15903"/>
    </row>
    <row r="15904" spans="27:27" ht="17.899999999999999" customHeight="1">
      <c r="AA15904"/>
    </row>
    <row r="15905" spans="27:27" ht="17.899999999999999" customHeight="1">
      <c r="AA15905"/>
    </row>
    <row r="15906" spans="27:27" ht="17.899999999999999" customHeight="1">
      <c r="AA15906"/>
    </row>
    <row r="15907" spans="27:27" ht="17.899999999999999" customHeight="1">
      <c r="AA15907"/>
    </row>
    <row r="15908" spans="27:27" ht="17.899999999999999" customHeight="1">
      <c r="AA15908"/>
    </row>
    <row r="15909" spans="27:27" ht="17.899999999999999" customHeight="1">
      <c r="AA15909"/>
    </row>
    <row r="15910" spans="27:27" ht="17.899999999999999" customHeight="1">
      <c r="AA15910"/>
    </row>
    <row r="15911" spans="27:27" ht="17.899999999999999" customHeight="1">
      <c r="AA15911"/>
    </row>
    <row r="15912" spans="27:27" ht="17.899999999999999" customHeight="1">
      <c r="AA15912"/>
    </row>
    <row r="15913" spans="27:27" ht="17.899999999999999" customHeight="1">
      <c r="AA15913"/>
    </row>
    <row r="15914" spans="27:27" ht="17.899999999999999" customHeight="1">
      <c r="AA15914"/>
    </row>
    <row r="15915" spans="27:27" ht="17.899999999999999" customHeight="1">
      <c r="AA15915"/>
    </row>
    <row r="15916" spans="27:27" ht="17.899999999999999" customHeight="1">
      <c r="AA15916"/>
    </row>
    <row r="15917" spans="27:27" ht="17.899999999999999" customHeight="1">
      <c r="AA15917"/>
    </row>
    <row r="15918" spans="27:27" ht="17.899999999999999" customHeight="1">
      <c r="AA15918"/>
    </row>
    <row r="15919" spans="27:27" ht="17.899999999999999" customHeight="1">
      <c r="AA15919"/>
    </row>
    <row r="15920" spans="27:27" ht="17.899999999999999" customHeight="1">
      <c r="AA15920"/>
    </row>
    <row r="15921" spans="27:27" ht="17.899999999999999" customHeight="1">
      <c r="AA15921"/>
    </row>
    <row r="15922" spans="27:27" ht="17.899999999999999" customHeight="1">
      <c r="AA15922"/>
    </row>
    <row r="15923" spans="27:27" ht="17.899999999999999" customHeight="1">
      <c r="AA15923"/>
    </row>
    <row r="15924" spans="27:27" ht="17.899999999999999" customHeight="1">
      <c r="AA15924"/>
    </row>
    <row r="15925" spans="27:27" ht="17.899999999999999" customHeight="1">
      <c r="AA15925"/>
    </row>
    <row r="15926" spans="27:27" ht="17.899999999999999" customHeight="1">
      <c r="AA15926"/>
    </row>
    <row r="15927" spans="27:27" ht="17.899999999999999" customHeight="1">
      <c r="AA15927"/>
    </row>
    <row r="15928" spans="27:27" ht="17.899999999999999" customHeight="1">
      <c r="AA15928"/>
    </row>
    <row r="15929" spans="27:27" ht="17.899999999999999" customHeight="1">
      <c r="AA15929"/>
    </row>
    <row r="15930" spans="27:27" ht="17.899999999999999" customHeight="1">
      <c r="AA15930"/>
    </row>
    <row r="15931" spans="27:27" ht="17.899999999999999" customHeight="1">
      <c r="AA15931"/>
    </row>
    <row r="15932" spans="27:27" ht="17.899999999999999" customHeight="1">
      <c r="AA15932"/>
    </row>
    <row r="15933" spans="27:27" ht="17.899999999999999" customHeight="1">
      <c r="AA15933"/>
    </row>
    <row r="15934" spans="27:27" ht="17.899999999999999" customHeight="1">
      <c r="AA15934"/>
    </row>
    <row r="15935" spans="27:27" ht="17.899999999999999" customHeight="1">
      <c r="AA15935"/>
    </row>
    <row r="15936" spans="27:27" ht="17.899999999999999" customHeight="1">
      <c r="AA15936"/>
    </row>
    <row r="15937" spans="27:27" ht="17.899999999999999" customHeight="1">
      <c r="AA15937"/>
    </row>
    <row r="15938" spans="27:27" ht="17.899999999999999" customHeight="1">
      <c r="AA15938"/>
    </row>
    <row r="15939" spans="27:27" ht="17.899999999999999" customHeight="1">
      <c r="AA15939"/>
    </row>
    <row r="15940" spans="27:27" ht="17.899999999999999" customHeight="1">
      <c r="AA15940"/>
    </row>
    <row r="15941" spans="27:27" ht="17.899999999999999" customHeight="1">
      <c r="AA15941"/>
    </row>
    <row r="15942" spans="27:27" ht="17.899999999999999" customHeight="1">
      <c r="AA15942"/>
    </row>
    <row r="15943" spans="27:27" ht="17.899999999999999" customHeight="1">
      <c r="AA15943"/>
    </row>
    <row r="15944" spans="27:27" ht="17.899999999999999" customHeight="1">
      <c r="AA15944"/>
    </row>
    <row r="15945" spans="27:27" ht="17.899999999999999" customHeight="1">
      <c r="AA15945"/>
    </row>
    <row r="15946" spans="27:27" ht="17.899999999999999" customHeight="1">
      <c r="AA15946"/>
    </row>
    <row r="15947" spans="27:27" ht="17.899999999999999" customHeight="1">
      <c r="AA15947"/>
    </row>
    <row r="15948" spans="27:27" ht="17.899999999999999" customHeight="1">
      <c r="AA15948"/>
    </row>
    <row r="15949" spans="27:27" ht="17.899999999999999" customHeight="1">
      <c r="AA15949"/>
    </row>
    <row r="15950" spans="27:27" ht="17.899999999999999" customHeight="1">
      <c r="AA15950"/>
    </row>
    <row r="15951" spans="27:27" ht="17.899999999999999" customHeight="1">
      <c r="AA15951"/>
    </row>
    <row r="15952" spans="27:27" ht="17.899999999999999" customHeight="1">
      <c r="AA15952"/>
    </row>
    <row r="15953" spans="27:27" ht="17.899999999999999" customHeight="1">
      <c r="AA15953"/>
    </row>
    <row r="15954" spans="27:27" ht="17.899999999999999" customHeight="1">
      <c r="AA15954"/>
    </row>
    <row r="15955" spans="27:27" ht="17.899999999999999" customHeight="1">
      <c r="AA15955"/>
    </row>
    <row r="15956" spans="27:27" ht="17.899999999999999" customHeight="1">
      <c r="AA15956"/>
    </row>
    <row r="15957" spans="27:27" ht="17.899999999999999" customHeight="1">
      <c r="AA15957"/>
    </row>
    <row r="15958" spans="27:27" ht="17.899999999999999" customHeight="1">
      <c r="AA15958"/>
    </row>
    <row r="15959" spans="27:27" ht="17.899999999999999" customHeight="1">
      <c r="AA15959"/>
    </row>
    <row r="15960" spans="27:27" ht="17.899999999999999" customHeight="1">
      <c r="AA15960"/>
    </row>
    <row r="15961" spans="27:27" ht="17.899999999999999" customHeight="1">
      <c r="AA15961"/>
    </row>
    <row r="15962" spans="27:27" ht="17.899999999999999" customHeight="1">
      <c r="AA15962"/>
    </row>
    <row r="15963" spans="27:27" ht="17.899999999999999" customHeight="1">
      <c r="AA15963"/>
    </row>
    <row r="15964" spans="27:27" ht="17.899999999999999" customHeight="1">
      <c r="AA15964"/>
    </row>
    <row r="15965" spans="27:27" ht="17.899999999999999" customHeight="1">
      <c r="AA15965"/>
    </row>
    <row r="15966" spans="27:27" ht="17.899999999999999" customHeight="1">
      <c r="AA15966"/>
    </row>
    <row r="15967" spans="27:27" ht="17.899999999999999" customHeight="1">
      <c r="AA15967"/>
    </row>
    <row r="15968" spans="27:27" ht="17.899999999999999" customHeight="1">
      <c r="AA15968"/>
    </row>
    <row r="15969" spans="27:27" ht="17.899999999999999" customHeight="1">
      <c r="AA15969"/>
    </row>
    <row r="15970" spans="27:27" ht="17.899999999999999" customHeight="1">
      <c r="AA15970"/>
    </row>
    <row r="15971" spans="27:27" ht="17.899999999999999" customHeight="1">
      <c r="AA15971"/>
    </row>
    <row r="15972" spans="27:27" ht="17.899999999999999" customHeight="1">
      <c r="AA15972"/>
    </row>
    <row r="15973" spans="27:27" ht="17.899999999999999" customHeight="1">
      <c r="AA15973"/>
    </row>
    <row r="15974" spans="27:27" ht="17.899999999999999" customHeight="1">
      <c r="AA15974"/>
    </row>
    <row r="15975" spans="27:27" ht="17.899999999999999" customHeight="1">
      <c r="AA15975"/>
    </row>
    <row r="15976" spans="27:27" ht="17.899999999999999" customHeight="1">
      <c r="AA15976"/>
    </row>
    <row r="15977" spans="27:27" ht="17.899999999999999" customHeight="1">
      <c r="AA15977"/>
    </row>
    <row r="15978" spans="27:27" ht="17.899999999999999" customHeight="1">
      <c r="AA15978"/>
    </row>
    <row r="15979" spans="27:27" ht="17.899999999999999" customHeight="1">
      <c r="AA15979"/>
    </row>
    <row r="15980" spans="27:27" ht="17.899999999999999" customHeight="1">
      <c r="AA15980"/>
    </row>
    <row r="15981" spans="27:27" ht="17.899999999999999" customHeight="1">
      <c r="AA15981"/>
    </row>
    <row r="15982" spans="27:27" ht="17.899999999999999" customHeight="1">
      <c r="AA15982"/>
    </row>
    <row r="15983" spans="27:27" ht="17.899999999999999" customHeight="1">
      <c r="AA15983"/>
    </row>
    <row r="15984" spans="27:27" ht="17.899999999999999" customHeight="1">
      <c r="AA15984"/>
    </row>
    <row r="15985" spans="27:27" ht="17.899999999999999" customHeight="1">
      <c r="AA15985"/>
    </row>
    <row r="15986" spans="27:27" ht="17.899999999999999" customHeight="1">
      <c r="AA15986"/>
    </row>
    <row r="15987" spans="27:27" ht="17.899999999999999" customHeight="1">
      <c r="AA15987"/>
    </row>
    <row r="15988" spans="27:27" ht="17.899999999999999" customHeight="1">
      <c r="AA15988"/>
    </row>
    <row r="15989" spans="27:27" ht="17.899999999999999" customHeight="1">
      <c r="AA15989"/>
    </row>
    <row r="15990" spans="27:27" ht="17.899999999999999" customHeight="1">
      <c r="AA15990"/>
    </row>
    <row r="15991" spans="27:27" ht="17.899999999999999" customHeight="1">
      <c r="AA15991"/>
    </row>
    <row r="15992" spans="27:27" ht="17.899999999999999" customHeight="1">
      <c r="AA15992"/>
    </row>
    <row r="15993" spans="27:27" ht="17.899999999999999" customHeight="1">
      <c r="AA15993"/>
    </row>
    <row r="15994" spans="27:27" ht="17.899999999999999" customHeight="1">
      <c r="AA15994"/>
    </row>
    <row r="15995" spans="27:27" ht="17.899999999999999" customHeight="1">
      <c r="AA15995"/>
    </row>
    <row r="15996" spans="27:27" ht="17.899999999999999" customHeight="1">
      <c r="AA15996"/>
    </row>
    <row r="15997" spans="27:27" ht="17.899999999999999" customHeight="1">
      <c r="AA15997"/>
    </row>
    <row r="15998" spans="27:27" ht="17.899999999999999" customHeight="1">
      <c r="AA15998"/>
    </row>
    <row r="15999" spans="27:27" ht="17.899999999999999" customHeight="1">
      <c r="AA15999"/>
    </row>
    <row r="16000" spans="27:27" ht="17.899999999999999" customHeight="1">
      <c r="AA16000"/>
    </row>
    <row r="16001" spans="27:27" ht="17.899999999999999" customHeight="1">
      <c r="AA16001"/>
    </row>
    <row r="16002" spans="27:27" ht="17.899999999999999" customHeight="1">
      <c r="AA16002"/>
    </row>
    <row r="16003" spans="27:27" ht="17.899999999999999" customHeight="1">
      <c r="AA16003"/>
    </row>
    <row r="16004" spans="27:27" ht="17.899999999999999" customHeight="1">
      <c r="AA16004"/>
    </row>
    <row r="16005" spans="27:27" ht="17.899999999999999" customHeight="1">
      <c r="AA16005"/>
    </row>
    <row r="16006" spans="27:27" ht="17.899999999999999" customHeight="1">
      <c r="AA16006"/>
    </row>
    <row r="16007" spans="27:27" ht="17.899999999999999" customHeight="1">
      <c r="AA16007"/>
    </row>
    <row r="16008" spans="27:27" ht="17.899999999999999" customHeight="1">
      <c r="AA16008"/>
    </row>
    <row r="16009" spans="27:27" ht="17.899999999999999" customHeight="1">
      <c r="AA16009"/>
    </row>
    <row r="16010" spans="27:27" ht="17.899999999999999" customHeight="1">
      <c r="AA16010"/>
    </row>
    <row r="16011" spans="27:27" ht="17.899999999999999" customHeight="1">
      <c r="AA16011"/>
    </row>
    <row r="16012" spans="27:27" ht="17.899999999999999" customHeight="1">
      <c r="AA16012"/>
    </row>
    <row r="16013" spans="27:27" ht="17.899999999999999" customHeight="1">
      <c r="AA16013"/>
    </row>
    <row r="16014" spans="27:27" ht="17.899999999999999" customHeight="1">
      <c r="AA16014"/>
    </row>
    <row r="16015" spans="27:27" ht="17.899999999999999" customHeight="1">
      <c r="AA16015"/>
    </row>
    <row r="16016" spans="27:27" ht="17.899999999999999" customHeight="1">
      <c r="AA16016"/>
    </row>
    <row r="16017" spans="27:27" ht="17.899999999999999" customHeight="1">
      <c r="AA16017"/>
    </row>
    <row r="16018" spans="27:27" ht="17.899999999999999" customHeight="1">
      <c r="AA16018"/>
    </row>
    <row r="16019" spans="27:27" ht="17.899999999999999" customHeight="1">
      <c r="AA16019"/>
    </row>
    <row r="16020" spans="27:27" ht="17.899999999999999" customHeight="1">
      <c r="AA16020"/>
    </row>
    <row r="16021" spans="27:27" ht="17.899999999999999" customHeight="1">
      <c r="AA16021"/>
    </row>
    <row r="16022" spans="27:27" ht="17.899999999999999" customHeight="1">
      <c r="AA16022"/>
    </row>
    <row r="16023" spans="27:27" ht="17.899999999999999" customHeight="1">
      <c r="AA16023"/>
    </row>
    <row r="16024" spans="27:27" ht="17.899999999999999" customHeight="1">
      <c r="AA16024"/>
    </row>
    <row r="16025" spans="27:27" ht="17.899999999999999" customHeight="1">
      <c r="AA16025"/>
    </row>
    <row r="16026" spans="27:27" ht="17.899999999999999" customHeight="1">
      <c r="AA16026"/>
    </row>
    <row r="16027" spans="27:27" ht="17.899999999999999" customHeight="1">
      <c r="AA16027"/>
    </row>
    <row r="16028" spans="27:27" ht="17.899999999999999" customHeight="1">
      <c r="AA16028"/>
    </row>
    <row r="16029" spans="27:27" ht="17.899999999999999" customHeight="1">
      <c r="AA16029"/>
    </row>
    <row r="16030" spans="27:27" ht="17.899999999999999" customHeight="1">
      <c r="AA16030"/>
    </row>
    <row r="16031" spans="27:27" ht="17.899999999999999" customHeight="1">
      <c r="AA16031"/>
    </row>
    <row r="16032" spans="27:27" ht="17.899999999999999" customHeight="1">
      <c r="AA16032"/>
    </row>
    <row r="16033" spans="27:27" ht="17.899999999999999" customHeight="1">
      <c r="AA16033"/>
    </row>
    <row r="16034" spans="27:27" ht="17.899999999999999" customHeight="1">
      <c r="AA16034"/>
    </row>
    <row r="16035" spans="27:27" ht="17.899999999999999" customHeight="1">
      <c r="AA16035"/>
    </row>
    <row r="16036" spans="27:27" ht="17.899999999999999" customHeight="1">
      <c r="AA16036"/>
    </row>
    <row r="16037" spans="27:27" ht="17.899999999999999" customHeight="1">
      <c r="AA16037"/>
    </row>
    <row r="16038" spans="27:27" ht="17.899999999999999" customHeight="1">
      <c r="AA16038"/>
    </row>
    <row r="16039" spans="27:27" ht="17.899999999999999" customHeight="1">
      <c r="AA16039"/>
    </row>
    <row r="16040" spans="27:27" ht="17.899999999999999" customHeight="1">
      <c r="AA16040"/>
    </row>
    <row r="16041" spans="27:27" ht="17.899999999999999" customHeight="1">
      <c r="AA16041"/>
    </row>
    <row r="16042" spans="27:27" ht="17.899999999999999" customHeight="1">
      <c r="AA16042"/>
    </row>
    <row r="16043" spans="27:27" ht="17.899999999999999" customHeight="1">
      <c r="AA16043"/>
    </row>
    <row r="16044" spans="27:27" ht="17.899999999999999" customHeight="1">
      <c r="AA16044"/>
    </row>
    <row r="16045" spans="27:27" ht="17.899999999999999" customHeight="1">
      <c r="AA16045"/>
    </row>
    <row r="16046" spans="27:27" ht="17.899999999999999" customHeight="1">
      <c r="AA16046"/>
    </row>
    <row r="16047" spans="27:27" ht="17.899999999999999" customHeight="1">
      <c r="AA16047"/>
    </row>
    <row r="16048" spans="27:27" ht="17.899999999999999" customHeight="1">
      <c r="AA16048"/>
    </row>
    <row r="16049" spans="27:27" ht="17.899999999999999" customHeight="1">
      <c r="AA16049"/>
    </row>
    <row r="16050" spans="27:27" ht="17.899999999999999" customHeight="1">
      <c r="AA16050"/>
    </row>
    <row r="16051" spans="27:27" ht="17.899999999999999" customHeight="1">
      <c r="AA16051"/>
    </row>
    <row r="16052" spans="27:27" ht="17.899999999999999" customHeight="1">
      <c r="AA16052"/>
    </row>
    <row r="16053" spans="27:27" ht="17.899999999999999" customHeight="1">
      <c r="AA16053"/>
    </row>
    <row r="16054" spans="27:27" ht="17.899999999999999" customHeight="1">
      <c r="AA16054"/>
    </row>
    <row r="16055" spans="27:27" ht="17.899999999999999" customHeight="1">
      <c r="AA16055"/>
    </row>
    <row r="16056" spans="27:27" ht="17.899999999999999" customHeight="1">
      <c r="AA16056"/>
    </row>
    <row r="16057" spans="27:27" ht="17.899999999999999" customHeight="1">
      <c r="AA16057"/>
    </row>
    <row r="16058" spans="27:27" ht="17.899999999999999" customHeight="1">
      <c r="AA16058"/>
    </row>
    <row r="16059" spans="27:27" ht="17.899999999999999" customHeight="1">
      <c r="AA16059"/>
    </row>
    <row r="16060" spans="27:27" ht="17.899999999999999" customHeight="1">
      <c r="AA16060"/>
    </row>
    <row r="16061" spans="27:27" ht="17.899999999999999" customHeight="1">
      <c r="AA16061"/>
    </row>
    <row r="16062" spans="27:27" ht="17.899999999999999" customHeight="1">
      <c r="AA16062"/>
    </row>
    <row r="16063" spans="27:27" ht="17.899999999999999" customHeight="1">
      <c r="AA16063"/>
    </row>
    <row r="16064" spans="27:27" ht="17.899999999999999" customHeight="1">
      <c r="AA16064"/>
    </row>
    <row r="16065" spans="27:27" ht="17.899999999999999" customHeight="1">
      <c r="AA16065"/>
    </row>
    <row r="16066" spans="27:27" ht="17.899999999999999" customHeight="1">
      <c r="AA16066"/>
    </row>
    <row r="16067" spans="27:27" ht="17.899999999999999" customHeight="1">
      <c r="AA16067"/>
    </row>
    <row r="16068" spans="27:27" ht="17.899999999999999" customHeight="1">
      <c r="AA16068"/>
    </row>
    <row r="16069" spans="27:27" ht="17.899999999999999" customHeight="1">
      <c r="AA16069"/>
    </row>
    <row r="16070" spans="27:27" ht="17.899999999999999" customHeight="1">
      <c r="AA16070"/>
    </row>
    <row r="16071" spans="27:27" ht="17.899999999999999" customHeight="1">
      <c r="AA16071"/>
    </row>
    <row r="16072" spans="27:27" ht="17.899999999999999" customHeight="1">
      <c r="AA16072"/>
    </row>
    <row r="16073" spans="27:27" ht="17.899999999999999" customHeight="1">
      <c r="AA16073"/>
    </row>
    <row r="16074" spans="27:27" ht="17.899999999999999" customHeight="1">
      <c r="AA16074"/>
    </row>
    <row r="16075" spans="27:27" ht="17.899999999999999" customHeight="1">
      <c r="AA16075"/>
    </row>
    <row r="16076" spans="27:27" ht="17.899999999999999" customHeight="1">
      <c r="AA16076"/>
    </row>
    <row r="16077" spans="27:27" ht="17.899999999999999" customHeight="1">
      <c r="AA16077"/>
    </row>
    <row r="16078" spans="27:27" ht="17.899999999999999" customHeight="1">
      <c r="AA16078"/>
    </row>
    <row r="16079" spans="27:27" ht="17.899999999999999" customHeight="1">
      <c r="AA16079"/>
    </row>
    <row r="16080" spans="27:27" ht="17.899999999999999" customHeight="1">
      <c r="AA16080"/>
    </row>
    <row r="16081" spans="27:27" ht="17.899999999999999" customHeight="1">
      <c r="AA16081"/>
    </row>
    <row r="16082" spans="27:27" ht="17.899999999999999" customHeight="1">
      <c r="AA16082"/>
    </row>
    <row r="16083" spans="27:27" ht="17.899999999999999" customHeight="1">
      <c r="AA16083"/>
    </row>
    <row r="16084" spans="27:27" ht="17.899999999999999" customHeight="1">
      <c r="AA16084"/>
    </row>
    <row r="16085" spans="27:27" ht="17.899999999999999" customHeight="1">
      <c r="AA16085"/>
    </row>
    <row r="16086" spans="27:27" ht="17.899999999999999" customHeight="1">
      <c r="AA16086"/>
    </row>
    <row r="16087" spans="27:27" ht="17.899999999999999" customHeight="1">
      <c r="AA16087"/>
    </row>
    <row r="16088" spans="27:27" ht="17.899999999999999" customHeight="1">
      <c r="AA16088"/>
    </row>
    <row r="16089" spans="27:27" ht="17.899999999999999" customHeight="1">
      <c r="AA16089"/>
    </row>
    <row r="16090" spans="27:27" ht="17.899999999999999" customHeight="1">
      <c r="AA16090"/>
    </row>
    <row r="16091" spans="27:27" ht="17.899999999999999" customHeight="1">
      <c r="AA16091"/>
    </row>
    <row r="16092" spans="27:27" ht="17.899999999999999" customHeight="1">
      <c r="AA16092"/>
    </row>
    <row r="16093" spans="27:27" ht="17.899999999999999" customHeight="1">
      <c r="AA16093"/>
    </row>
    <row r="16094" spans="27:27" ht="17.899999999999999" customHeight="1">
      <c r="AA16094"/>
    </row>
    <row r="16095" spans="27:27" ht="17.899999999999999" customHeight="1">
      <c r="AA16095"/>
    </row>
    <row r="16096" spans="27:27" ht="17.899999999999999" customHeight="1">
      <c r="AA16096"/>
    </row>
    <row r="16097" spans="27:27" ht="17.899999999999999" customHeight="1">
      <c r="AA16097"/>
    </row>
    <row r="16098" spans="27:27" ht="17.899999999999999" customHeight="1">
      <c r="AA16098"/>
    </row>
    <row r="16099" spans="27:27" ht="17.899999999999999" customHeight="1">
      <c r="AA16099"/>
    </row>
    <row r="16100" spans="27:27" ht="17.899999999999999" customHeight="1">
      <c r="AA16100"/>
    </row>
    <row r="16101" spans="27:27" ht="17.899999999999999" customHeight="1">
      <c r="AA16101"/>
    </row>
    <row r="16102" spans="27:27" ht="17.899999999999999" customHeight="1">
      <c r="AA16102"/>
    </row>
    <row r="16103" spans="27:27" ht="17.899999999999999" customHeight="1">
      <c r="AA16103"/>
    </row>
    <row r="16104" spans="27:27" ht="17.899999999999999" customHeight="1">
      <c r="AA16104"/>
    </row>
    <row r="16105" spans="27:27" ht="17.899999999999999" customHeight="1">
      <c r="AA16105"/>
    </row>
    <row r="16106" spans="27:27" ht="17.899999999999999" customHeight="1">
      <c r="AA16106"/>
    </row>
    <row r="16107" spans="27:27" ht="17.899999999999999" customHeight="1">
      <c r="AA16107"/>
    </row>
    <row r="16108" spans="27:27" ht="17.899999999999999" customHeight="1">
      <c r="AA16108"/>
    </row>
    <row r="16109" spans="27:27" ht="17.899999999999999" customHeight="1">
      <c r="AA16109"/>
    </row>
    <row r="16110" spans="27:27" ht="17.899999999999999" customHeight="1">
      <c r="AA16110"/>
    </row>
    <row r="16111" spans="27:27" ht="17.899999999999999" customHeight="1">
      <c r="AA16111"/>
    </row>
    <row r="16112" spans="27:27" ht="17.899999999999999" customHeight="1">
      <c r="AA16112"/>
    </row>
    <row r="16113" spans="27:27" ht="17.899999999999999" customHeight="1">
      <c r="AA16113"/>
    </row>
    <row r="16114" spans="27:27" ht="17.899999999999999" customHeight="1">
      <c r="AA16114"/>
    </row>
    <row r="16115" spans="27:27" ht="17.899999999999999" customHeight="1">
      <c r="AA16115"/>
    </row>
    <row r="16116" spans="27:27" ht="17.899999999999999" customHeight="1">
      <c r="AA16116"/>
    </row>
    <row r="16117" spans="27:27" ht="17.899999999999999" customHeight="1">
      <c r="AA16117"/>
    </row>
    <row r="16118" spans="27:27" ht="17.899999999999999" customHeight="1">
      <c r="AA16118"/>
    </row>
    <row r="16119" spans="27:27" ht="17.899999999999999" customHeight="1">
      <c r="AA16119"/>
    </row>
    <row r="16120" spans="27:27" ht="17.899999999999999" customHeight="1">
      <c r="AA16120"/>
    </row>
    <row r="16121" spans="27:27" ht="17.899999999999999" customHeight="1">
      <c r="AA16121"/>
    </row>
    <row r="16122" spans="27:27" ht="17.899999999999999" customHeight="1">
      <c r="AA16122"/>
    </row>
    <row r="16123" spans="27:27" ht="17.899999999999999" customHeight="1">
      <c r="AA16123"/>
    </row>
    <row r="16124" spans="27:27" ht="17.899999999999999" customHeight="1">
      <c r="AA16124"/>
    </row>
    <row r="16125" spans="27:27" ht="17.899999999999999" customHeight="1">
      <c r="AA16125"/>
    </row>
    <row r="16126" spans="27:27" ht="17.899999999999999" customHeight="1">
      <c r="AA16126"/>
    </row>
    <row r="16127" spans="27:27" ht="17.899999999999999" customHeight="1">
      <c r="AA16127"/>
    </row>
    <row r="16128" spans="27:27" ht="17.899999999999999" customHeight="1">
      <c r="AA16128"/>
    </row>
    <row r="16129" spans="27:27" ht="17.899999999999999" customHeight="1">
      <c r="AA16129"/>
    </row>
    <row r="16130" spans="27:27" ht="17.899999999999999" customHeight="1">
      <c r="AA16130"/>
    </row>
    <row r="16131" spans="27:27" ht="17.899999999999999" customHeight="1">
      <c r="AA16131"/>
    </row>
    <row r="16132" spans="27:27" ht="17.899999999999999" customHeight="1">
      <c r="AA16132"/>
    </row>
    <row r="16133" spans="27:27" ht="17.899999999999999" customHeight="1">
      <c r="AA16133"/>
    </row>
    <row r="16134" spans="27:27" ht="17.899999999999999" customHeight="1">
      <c r="AA16134"/>
    </row>
    <row r="16135" spans="27:27" ht="17.899999999999999" customHeight="1">
      <c r="AA16135"/>
    </row>
    <row r="16136" spans="27:27" ht="17.899999999999999" customHeight="1">
      <c r="AA16136"/>
    </row>
    <row r="16137" spans="27:27" ht="17.899999999999999" customHeight="1">
      <c r="AA16137"/>
    </row>
    <row r="16138" spans="27:27" ht="17.899999999999999" customHeight="1">
      <c r="AA16138"/>
    </row>
    <row r="16139" spans="27:27" ht="17.899999999999999" customHeight="1">
      <c r="AA16139"/>
    </row>
    <row r="16140" spans="27:27" ht="17.899999999999999" customHeight="1">
      <c r="AA16140"/>
    </row>
    <row r="16141" spans="27:27" ht="17.899999999999999" customHeight="1">
      <c r="AA16141"/>
    </row>
    <row r="16142" spans="27:27" ht="17.899999999999999" customHeight="1">
      <c r="AA16142"/>
    </row>
    <row r="16143" spans="27:27" ht="17.899999999999999" customHeight="1">
      <c r="AA16143"/>
    </row>
    <row r="16144" spans="27:27" ht="17.899999999999999" customHeight="1">
      <c r="AA16144"/>
    </row>
    <row r="16145" spans="27:27" ht="17.899999999999999" customHeight="1">
      <c r="AA16145"/>
    </row>
    <row r="16146" spans="27:27" ht="17.899999999999999" customHeight="1">
      <c r="AA16146"/>
    </row>
    <row r="16147" spans="27:27" ht="17.899999999999999" customHeight="1">
      <c r="AA16147"/>
    </row>
    <row r="16148" spans="27:27" ht="17.899999999999999" customHeight="1">
      <c r="AA16148"/>
    </row>
    <row r="16149" spans="27:27" ht="17.899999999999999" customHeight="1">
      <c r="AA16149"/>
    </row>
    <row r="16150" spans="27:27" ht="17.899999999999999" customHeight="1">
      <c r="AA16150"/>
    </row>
    <row r="16151" spans="27:27" ht="17.899999999999999" customHeight="1">
      <c r="AA16151"/>
    </row>
    <row r="16152" spans="27:27" ht="17.899999999999999" customHeight="1">
      <c r="AA16152"/>
    </row>
    <row r="16153" spans="27:27" ht="17.899999999999999" customHeight="1">
      <c r="AA16153"/>
    </row>
    <row r="16154" spans="27:27" ht="17.899999999999999" customHeight="1">
      <c r="AA16154"/>
    </row>
    <row r="16155" spans="27:27" ht="17.899999999999999" customHeight="1">
      <c r="AA16155"/>
    </row>
    <row r="16156" spans="27:27" ht="17.899999999999999" customHeight="1">
      <c r="AA16156"/>
    </row>
    <row r="16157" spans="27:27" ht="17.899999999999999" customHeight="1">
      <c r="AA16157"/>
    </row>
    <row r="16158" spans="27:27" ht="17.899999999999999" customHeight="1">
      <c r="AA16158"/>
    </row>
    <row r="16159" spans="27:27" ht="17.899999999999999" customHeight="1">
      <c r="AA16159"/>
    </row>
    <row r="16160" spans="27:27" ht="17.899999999999999" customHeight="1">
      <c r="AA16160"/>
    </row>
    <row r="16161" spans="27:27" ht="17.899999999999999" customHeight="1">
      <c r="AA16161"/>
    </row>
    <row r="16162" spans="27:27" ht="17.899999999999999" customHeight="1">
      <c r="AA16162"/>
    </row>
    <row r="16163" spans="27:27" ht="17.899999999999999" customHeight="1">
      <c r="AA16163"/>
    </row>
    <row r="16164" spans="27:27" ht="17.899999999999999" customHeight="1">
      <c r="AA16164"/>
    </row>
    <row r="16165" spans="27:27" ht="17.899999999999999" customHeight="1">
      <c r="AA16165"/>
    </row>
    <row r="16166" spans="27:27" ht="17.899999999999999" customHeight="1">
      <c r="AA16166"/>
    </row>
    <row r="16167" spans="27:27" ht="17.899999999999999" customHeight="1">
      <c r="AA16167"/>
    </row>
    <row r="16168" spans="27:27" ht="17.899999999999999" customHeight="1">
      <c r="AA16168"/>
    </row>
    <row r="16169" spans="27:27" ht="17.899999999999999" customHeight="1">
      <c r="AA16169"/>
    </row>
    <row r="16170" spans="27:27" ht="17.899999999999999" customHeight="1">
      <c r="AA16170"/>
    </row>
    <row r="16171" spans="27:27" ht="17.899999999999999" customHeight="1">
      <c r="AA16171"/>
    </row>
    <row r="16172" spans="27:27" ht="17.899999999999999" customHeight="1">
      <c r="AA16172"/>
    </row>
    <row r="16173" spans="27:27" ht="17.899999999999999" customHeight="1">
      <c r="AA16173"/>
    </row>
    <row r="16174" spans="27:27" ht="17.899999999999999" customHeight="1">
      <c r="AA16174"/>
    </row>
    <row r="16175" spans="27:27" ht="17.899999999999999" customHeight="1">
      <c r="AA16175"/>
    </row>
    <row r="16176" spans="27:27" ht="17.899999999999999" customHeight="1">
      <c r="AA16176"/>
    </row>
    <row r="16177" spans="27:27" ht="17.899999999999999" customHeight="1">
      <c r="AA16177"/>
    </row>
    <row r="16178" spans="27:27" ht="17.899999999999999" customHeight="1">
      <c r="AA16178"/>
    </row>
    <row r="16179" spans="27:27" ht="17.899999999999999" customHeight="1">
      <c r="AA16179"/>
    </row>
    <row r="16180" spans="27:27" ht="17.899999999999999" customHeight="1">
      <c r="AA16180"/>
    </row>
    <row r="16181" spans="27:27" ht="17.899999999999999" customHeight="1">
      <c r="AA16181"/>
    </row>
    <row r="16182" spans="27:27" ht="17.899999999999999" customHeight="1">
      <c r="AA16182"/>
    </row>
    <row r="16183" spans="27:27" ht="17.899999999999999" customHeight="1">
      <c r="AA16183"/>
    </row>
    <row r="16184" spans="27:27" ht="17.899999999999999" customHeight="1">
      <c r="AA16184"/>
    </row>
    <row r="16185" spans="27:27" ht="17.899999999999999" customHeight="1">
      <c r="AA16185"/>
    </row>
    <row r="16186" spans="27:27" ht="17.899999999999999" customHeight="1">
      <c r="AA16186"/>
    </row>
    <row r="16187" spans="27:27" ht="17.899999999999999" customHeight="1">
      <c r="AA16187"/>
    </row>
    <row r="16188" spans="27:27" ht="17.899999999999999" customHeight="1">
      <c r="AA16188"/>
    </row>
    <row r="16189" spans="27:27" ht="17.899999999999999" customHeight="1">
      <c r="AA16189"/>
    </row>
    <row r="16190" spans="27:27" ht="17.899999999999999" customHeight="1">
      <c r="AA16190"/>
    </row>
    <row r="16191" spans="27:27" ht="17.899999999999999" customHeight="1">
      <c r="AA16191"/>
    </row>
    <row r="16192" spans="27:27" ht="17.899999999999999" customHeight="1">
      <c r="AA16192"/>
    </row>
    <row r="16193" spans="27:27" ht="17.899999999999999" customHeight="1">
      <c r="AA16193"/>
    </row>
    <row r="16194" spans="27:27" ht="17.899999999999999" customHeight="1">
      <c r="AA16194"/>
    </row>
    <row r="16195" spans="27:27" ht="17.899999999999999" customHeight="1">
      <c r="AA16195"/>
    </row>
    <row r="16196" spans="27:27" ht="17.899999999999999" customHeight="1">
      <c r="AA16196"/>
    </row>
    <row r="16197" spans="27:27" ht="17.899999999999999" customHeight="1">
      <c r="AA16197"/>
    </row>
    <row r="16198" spans="27:27" ht="17.899999999999999" customHeight="1">
      <c r="AA16198"/>
    </row>
    <row r="16199" spans="27:27" ht="17.899999999999999" customHeight="1">
      <c r="AA16199"/>
    </row>
    <row r="16200" spans="27:27" ht="17.899999999999999" customHeight="1">
      <c r="AA16200"/>
    </row>
    <row r="16201" spans="27:27" ht="17.899999999999999" customHeight="1">
      <c r="AA16201"/>
    </row>
    <row r="16202" spans="27:27" ht="17.899999999999999" customHeight="1">
      <c r="AA16202"/>
    </row>
    <row r="16203" spans="27:27" ht="17.899999999999999" customHeight="1">
      <c r="AA16203"/>
    </row>
    <row r="16204" spans="27:27" ht="17.899999999999999" customHeight="1">
      <c r="AA16204"/>
    </row>
    <row r="16205" spans="27:27" ht="17.899999999999999" customHeight="1">
      <c r="AA16205"/>
    </row>
    <row r="16206" spans="27:27" ht="17.899999999999999" customHeight="1">
      <c r="AA16206"/>
    </row>
    <row r="16207" spans="27:27" ht="17.899999999999999" customHeight="1">
      <c r="AA16207"/>
    </row>
    <row r="16208" spans="27:27" ht="17.899999999999999" customHeight="1">
      <c r="AA16208"/>
    </row>
    <row r="16209" spans="27:27" ht="17.899999999999999" customHeight="1">
      <c r="AA16209"/>
    </row>
    <row r="16210" spans="27:27" ht="17.899999999999999" customHeight="1">
      <c r="AA16210"/>
    </row>
    <row r="16211" spans="27:27" ht="17.899999999999999" customHeight="1">
      <c r="AA16211"/>
    </row>
    <row r="16212" spans="27:27" ht="17.899999999999999" customHeight="1">
      <c r="AA16212"/>
    </row>
    <row r="16213" spans="27:27" ht="17.899999999999999" customHeight="1">
      <c r="AA16213"/>
    </row>
    <row r="16214" spans="27:27" ht="17.899999999999999" customHeight="1">
      <c r="AA16214"/>
    </row>
    <row r="16215" spans="27:27" ht="17.899999999999999" customHeight="1">
      <c r="AA16215"/>
    </row>
    <row r="16216" spans="27:27" ht="17.899999999999999" customHeight="1">
      <c r="AA16216"/>
    </row>
    <row r="16217" spans="27:27" ht="17.899999999999999" customHeight="1">
      <c r="AA16217"/>
    </row>
    <row r="16218" spans="27:27" ht="17.899999999999999" customHeight="1">
      <c r="AA16218"/>
    </row>
    <row r="16219" spans="27:27" ht="17.899999999999999" customHeight="1">
      <c r="AA16219"/>
    </row>
    <row r="16220" spans="27:27" ht="17.899999999999999" customHeight="1">
      <c r="AA16220"/>
    </row>
    <row r="16221" spans="27:27" ht="17.899999999999999" customHeight="1">
      <c r="AA16221"/>
    </row>
    <row r="16222" spans="27:27" ht="17.899999999999999" customHeight="1">
      <c r="AA16222"/>
    </row>
    <row r="16223" spans="27:27" ht="17.899999999999999" customHeight="1">
      <c r="AA16223"/>
    </row>
    <row r="16224" spans="27:27" ht="17.899999999999999" customHeight="1">
      <c r="AA16224"/>
    </row>
    <row r="16225" spans="27:27" ht="17.899999999999999" customHeight="1">
      <c r="AA16225"/>
    </row>
    <row r="16226" spans="27:27" ht="17.899999999999999" customHeight="1">
      <c r="AA16226"/>
    </row>
    <row r="16227" spans="27:27" ht="17.899999999999999" customHeight="1">
      <c r="AA16227"/>
    </row>
    <row r="16228" spans="27:27" ht="17.899999999999999" customHeight="1">
      <c r="AA16228"/>
    </row>
    <row r="16229" spans="27:27" ht="17.899999999999999" customHeight="1">
      <c r="AA16229"/>
    </row>
    <row r="16230" spans="27:27" ht="17.899999999999999" customHeight="1">
      <c r="AA16230"/>
    </row>
    <row r="16231" spans="27:27" ht="17.899999999999999" customHeight="1">
      <c r="AA16231"/>
    </row>
    <row r="16232" spans="27:27" ht="17.899999999999999" customHeight="1">
      <c r="AA16232"/>
    </row>
    <row r="16233" spans="27:27" ht="17.899999999999999" customHeight="1">
      <c r="AA16233"/>
    </row>
    <row r="16234" spans="27:27" ht="17.899999999999999" customHeight="1">
      <c r="AA16234"/>
    </row>
    <row r="16235" spans="27:27" ht="17.899999999999999" customHeight="1">
      <c r="AA16235"/>
    </row>
    <row r="16236" spans="27:27" ht="17.899999999999999" customHeight="1">
      <c r="AA16236"/>
    </row>
    <row r="16237" spans="27:27" ht="17.899999999999999" customHeight="1">
      <c r="AA16237"/>
    </row>
    <row r="16238" spans="27:27" ht="17.899999999999999" customHeight="1">
      <c r="AA16238"/>
    </row>
    <row r="16239" spans="27:27" ht="17.899999999999999" customHeight="1">
      <c r="AA16239"/>
    </row>
    <row r="16240" spans="27:27" ht="17.899999999999999" customHeight="1">
      <c r="AA16240"/>
    </row>
    <row r="16241" spans="27:27" ht="17.899999999999999" customHeight="1">
      <c r="AA16241"/>
    </row>
    <row r="16242" spans="27:27" ht="17.899999999999999" customHeight="1">
      <c r="AA16242"/>
    </row>
    <row r="16243" spans="27:27" ht="17.899999999999999" customHeight="1">
      <c r="AA16243"/>
    </row>
    <row r="16244" spans="27:27" ht="17.899999999999999" customHeight="1">
      <c r="AA16244"/>
    </row>
    <row r="16245" spans="27:27" ht="17.899999999999999" customHeight="1">
      <c r="AA16245"/>
    </row>
    <row r="16246" spans="27:27" ht="17.899999999999999" customHeight="1">
      <c r="AA16246"/>
    </row>
    <row r="16247" spans="27:27" ht="17.899999999999999" customHeight="1">
      <c r="AA16247"/>
    </row>
    <row r="16248" spans="27:27" ht="17.899999999999999" customHeight="1">
      <c r="AA16248"/>
    </row>
    <row r="16249" spans="27:27" ht="17.899999999999999" customHeight="1">
      <c r="AA16249"/>
    </row>
    <row r="16250" spans="27:27" ht="17.899999999999999" customHeight="1">
      <c r="AA16250"/>
    </row>
    <row r="16251" spans="27:27" ht="17.899999999999999" customHeight="1">
      <c r="AA16251"/>
    </row>
    <row r="16252" spans="27:27" ht="17.899999999999999" customHeight="1">
      <c r="AA16252"/>
    </row>
    <row r="16253" spans="27:27" ht="17.899999999999999" customHeight="1">
      <c r="AA16253"/>
    </row>
    <row r="16254" spans="27:27" ht="17.899999999999999" customHeight="1">
      <c r="AA16254"/>
    </row>
    <row r="16255" spans="27:27" ht="17.899999999999999" customHeight="1">
      <c r="AA16255"/>
    </row>
    <row r="16256" spans="27:27" ht="17.899999999999999" customHeight="1">
      <c r="AA16256"/>
    </row>
    <row r="16257" spans="27:27" ht="17.899999999999999" customHeight="1">
      <c r="AA16257"/>
    </row>
    <row r="16258" spans="27:27" ht="17.899999999999999" customHeight="1">
      <c r="AA16258"/>
    </row>
    <row r="16259" spans="27:27" ht="17.899999999999999" customHeight="1">
      <c r="AA16259"/>
    </row>
    <row r="16260" spans="27:27" ht="17.899999999999999" customHeight="1">
      <c r="AA16260"/>
    </row>
    <row r="16261" spans="27:27" ht="17.899999999999999" customHeight="1">
      <c r="AA16261"/>
    </row>
    <row r="16262" spans="27:27" ht="17.899999999999999" customHeight="1">
      <c r="AA16262"/>
    </row>
    <row r="16263" spans="27:27" ht="17.899999999999999" customHeight="1">
      <c r="AA16263"/>
    </row>
    <row r="16264" spans="27:27" ht="17.899999999999999" customHeight="1">
      <c r="AA16264"/>
    </row>
    <row r="16265" spans="27:27" ht="17.899999999999999" customHeight="1">
      <c r="AA16265"/>
    </row>
    <row r="16266" spans="27:27" ht="17.899999999999999" customHeight="1">
      <c r="AA16266"/>
    </row>
    <row r="16267" spans="27:27" ht="17.899999999999999" customHeight="1">
      <c r="AA16267"/>
    </row>
    <row r="16268" spans="27:27" ht="17.899999999999999" customHeight="1">
      <c r="AA16268"/>
    </row>
    <row r="16269" spans="27:27" ht="17.899999999999999" customHeight="1">
      <c r="AA16269"/>
    </row>
    <row r="16270" spans="27:27" ht="17.899999999999999" customHeight="1">
      <c r="AA16270"/>
    </row>
    <row r="16271" spans="27:27" ht="17.899999999999999" customHeight="1">
      <c r="AA16271"/>
    </row>
    <row r="16272" spans="27:27" ht="17.899999999999999" customHeight="1">
      <c r="AA16272"/>
    </row>
    <row r="16273" spans="27:27" ht="17.899999999999999" customHeight="1">
      <c r="AA16273"/>
    </row>
    <row r="16274" spans="27:27" ht="17.899999999999999" customHeight="1">
      <c r="AA16274"/>
    </row>
    <row r="16275" spans="27:27" ht="17.899999999999999" customHeight="1">
      <c r="AA16275"/>
    </row>
    <row r="16276" spans="27:27" ht="17.899999999999999" customHeight="1">
      <c r="AA16276"/>
    </row>
    <row r="16277" spans="27:27" ht="17.899999999999999" customHeight="1">
      <c r="AA16277"/>
    </row>
    <row r="16278" spans="27:27" ht="17.899999999999999" customHeight="1">
      <c r="AA16278"/>
    </row>
    <row r="16279" spans="27:27" ht="17.899999999999999" customHeight="1">
      <c r="AA16279"/>
    </row>
    <row r="16280" spans="27:27" ht="17.899999999999999" customHeight="1">
      <c r="AA16280"/>
    </row>
    <row r="16281" spans="27:27" ht="17.899999999999999" customHeight="1">
      <c r="AA16281"/>
    </row>
    <row r="16282" spans="27:27" ht="17.899999999999999" customHeight="1">
      <c r="AA16282"/>
    </row>
    <row r="16283" spans="27:27" ht="17.899999999999999" customHeight="1">
      <c r="AA16283"/>
    </row>
    <row r="16284" spans="27:27" ht="17.899999999999999" customHeight="1">
      <c r="AA16284"/>
    </row>
    <row r="16285" spans="27:27" ht="17.899999999999999" customHeight="1">
      <c r="AA16285"/>
    </row>
    <row r="16286" spans="27:27" ht="17.899999999999999" customHeight="1">
      <c r="AA16286"/>
    </row>
    <row r="16287" spans="27:27" ht="17.899999999999999" customHeight="1">
      <c r="AA16287"/>
    </row>
    <row r="16288" spans="27:27" ht="17.899999999999999" customHeight="1">
      <c r="AA16288"/>
    </row>
    <row r="16289" spans="27:27" ht="17.899999999999999" customHeight="1">
      <c r="AA16289"/>
    </row>
    <row r="16290" spans="27:27" ht="17.899999999999999" customHeight="1">
      <c r="AA16290"/>
    </row>
    <row r="16291" spans="27:27" ht="17.899999999999999" customHeight="1">
      <c r="AA16291"/>
    </row>
    <row r="16292" spans="27:27" ht="17.899999999999999" customHeight="1">
      <c r="AA16292"/>
    </row>
    <row r="16293" spans="27:27" ht="17.899999999999999" customHeight="1">
      <c r="AA16293"/>
    </row>
    <row r="16294" spans="27:27" ht="17.899999999999999" customHeight="1">
      <c r="AA16294"/>
    </row>
    <row r="16295" spans="27:27" ht="17.899999999999999" customHeight="1">
      <c r="AA16295"/>
    </row>
    <row r="16296" spans="27:27" ht="17.899999999999999" customHeight="1">
      <c r="AA16296"/>
    </row>
    <row r="16297" spans="27:27" ht="17.899999999999999" customHeight="1">
      <c r="AA16297"/>
    </row>
    <row r="16298" spans="27:27" ht="17.899999999999999" customHeight="1">
      <c r="AA16298"/>
    </row>
    <row r="16299" spans="27:27" ht="17.899999999999999" customHeight="1">
      <c r="AA16299"/>
    </row>
    <row r="16300" spans="27:27" ht="17.899999999999999" customHeight="1">
      <c r="AA16300"/>
    </row>
    <row r="16301" spans="27:27" ht="17.899999999999999" customHeight="1">
      <c r="AA16301"/>
    </row>
    <row r="16302" spans="27:27" ht="17.899999999999999" customHeight="1">
      <c r="AA16302"/>
    </row>
    <row r="16303" spans="27:27" ht="17.899999999999999" customHeight="1">
      <c r="AA16303"/>
    </row>
    <row r="16304" spans="27:27" ht="17.899999999999999" customHeight="1">
      <c r="AA16304"/>
    </row>
    <row r="16305" spans="27:27" ht="17.899999999999999" customHeight="1">
      <c r="AA16305"/>
    </row>
    <row r="16306" spans="27:27" ht="17.899999999999999" customHeight="1">
      <c r="AA16306"/>
    </row>
    <row r="16307" spans="27:27" ht="17.899999999999999" customHeight="1">
      <c r="AA16307"/>
    </row>
    <row r="16308" spans="27:27" ht="17.899999999999999" customHeight="1">
      <c r="AA16308"/>
    </row>
    <row r="16309" spans="27:27" ht="17.899999999999999" customHeight="1">
      <c r="AA16309"/>
    </row>
    <row r="16310" spans="27:27" ht="17.899999999999999" customHeight="1">
      <c r="AA16310"/>
    </row>
    <row r="16311" spans="27:27" ht="17.899999999999999" customHeight="1">
      <c r="AA16311"/>
    </row>
    <row r="16312" spans="27:27" ht="17.899999999999999" customHeight="1">
      <c r="AA16312"/>
    </row>
    <row r="16313" spans="27:27" ht="17.899999999999999" customHeight="1">
      <c r="AA16313"/>
    </row>
    <row r="16314" spans="27:27" ht="17.899999999999999" customHeight="1">
      <c r="AA16314"/>
    </row>
    <row r="16315" spans="27:27" ht="17.899999999999999" customHeight="1">
      <c r="AA16315"/>
    </row>
    <row r="16316" spans="27:27" ht="17.899999999999999" customHeight="1">
      <c r="AA16316"/>
    </row>
    <row r="16317" spans="27:27" ht="17.899999999999999" customHeight="1">
      <c r="AA16317"/>
    </row>
    <row r="16318" spans="27:27" ht="17.899999999999999" customHeight="1">
      <c r="AA16318"/>
    </row>
    <row r="16319" spans="27:27" ht="17.899999999999999" customHeight="1">
      <c r="AA16319"/>
    </row>
    <row r="16320" spans="27:27" ht="17.899999999999999" customHeight="1">
      <c r="AA16320"/>
    </row>
    <row r="16321" spans="27:27" ht="17.899999999999999" customHeight="1">
      <c r="AA16321"/>
    </row>
    <row r="16322" spans="27:27" ht="17.899999999999999" customHeight="1">
      <c r="AA16322"/>
    </row>
    <row r="16323" spans="27:27" ht="17.899999999999999" customHeight="1">
      <c r="AA16323"/>
    </row>
    <row r="16324" spans="27:27" ht="17.899999999999999" customHeight="1">
      <c r="AA16324"/>
    </row>
    <row r="16325" spans="27:27" ht="17.899999999999999" customHeight="1">
      <c r="AA16325"/>
    </row>
    <row r="16326" spans="27:27" ht="17.899999999999999" customHeight="1">
      <c r="AA16326"/>
    </row>
    <row r="16327" spans="27:27" ht="17.899999999999999" customHeight="1">
      <c r="AA16327"/>
    </row>
    <row r="16328" spans="27:27" ht="17.899999999999999" customHeight="1">
      <c r="AA16328"/>
    </row>
    <row r="16329" spans="27:27" ht="17.899999999999999" customHeight="1">
      <c r="AA16329"/>
    </row>
    <row r="16330" spans="27:27" ht="17.899999999999999" customHeight="1">
      <c r="AA16330"/>
    </row>
    <row r="16331" spans="27:27" ht="17.899999999999999" customHeight="1">
      <c r="AA16331"/>
    </row>
    <row r="16332" spans="27:27" ht="17.899999999999999" customHeight="1">
      <c r="AA16332"/>
    </row>
    <row r="16333" spans="27:27" ht="17.899999999999999" customHeight="1">
      <c r="AA16333"/>
    </row>
    <row r="16334" spans="27:27" ht="17.899999999999999" customHeight="1">
      <c r="AA16334"/>
    </row>
    <row r="16335" spans="27:27" ht="17.899999999999999" customHeight="1">
      <c r="AA16335"/>
    </row>
    <row r="16336" spans="27:27" ht="17.899999999999999" customHeight="1">
      <c r="AA16336"/>
    </row>
    <row r="16337" spans="27:27" ht="17.899999999999999" customHeight="1">
      <c r="AA16337"/>
    </row>
    <row r="16338" spans="27:27" ht="17.899999999999999" customHeight="1">
      <c r="AA16338"/>
    </row>
    <row r="16339" spans="27:27" ht="17.899999999999999" customHeight="1">
      <c r="AA16339"/>
    </row>
    <row r="16340" spans="27:27" ht="17.899999999999999" customHeight="1">
      <c r="AA16340"/>
    </row>
    <row r="16341" spans="27:27" ht="17.899999999999999" customHeight="1">
      <c r="AA16341"/>
    </row>
    <row r="16342" spans="27:27" ht="17.899999999999999" customHeight="1">
      <c r="AA16342"/>
    </row>
    <row r="16343" spans="27:27" ht="17.899999999999999" customHeight="1">
      <c r="AA16343"/>
    </row>
    <row r="16344" spans="27:27" ht="17.899999999999999" customHeight="1">
      <c r="AA16344"/>
    </row>
    <row r="16345" spans="27:27" ht="17.899999999999999" customHeight="1">
      <c r="AA16345"/>
    </row>
    <row r="16346" spans="27:27" ht="17.899999999999999" customHeight="1">
      <c r="AA16346"/>
    </row>
    <row r="16347" spans="27:27" ht="17.899999999999999" customHeight="1">
      <c r="AA16347"/>
    </row>
    <row r="16348" spans="27:27" ht="17.899999999999999" customHeight="1">
      <c r="AA16348"/>
    </row>
    <row r="16349" spans="27:27" ht="17.899999999999999" customHeight="1">
      <c r="AA16349"/>
    </row>
    <row r="16350" spans="27:27" ht="17.899999999999999" customHeight="1">
      <c r="AA16350"/>
    </row>
    <row r="16351" spans="27:27" ht="17.899999999999999" customHeight="1">
      <c r="AA16351"/>
    </row>
    <row r="16352" spans="27:27" ht="17.899999999999999" customHeight="1">
      <c r="AA16352"/>
    </row>
    <row r="16353" spans="27:27" ht="17.899999999999999" customHeight="1">
      <c r="AA16353"/>
    </row>
    <row r="16354" spans="27:27" ht="17.899999999999999" customHeight="1">
      <c r="AA16354"/>
    </row>
    <row r="16355" spans="27:27" ht="17.899999999999999" customHeight="1">
      <c r="AA16355"/>
    </row>
    <row r="16356" spans="27:27" ht="17.899999999999999" customHeight="1">
      <c r="AA16356"/>
    </row>
    <row r="16357" spans="27:27" ht="17.899999999999999" customHeight="1">
      <c r="AA16357"/>
    </row>
    <row r="16358" spans="27:27" ht="17.899999999999999" customHeight="1">
      <c r="AA16358"/>
    </row>
    <row r="16359" spans="27:27" ht="17.899999999999999" customHeight="1">
      <c r="AA16359"/>
    </row>
    <row r="16360" spans="27:27" ht="17.899999999999999" customHeight="1">
      <c r="AA16360"/>
    </row>
    <row r="16361" spans="27:27" ht="17.899999999999999" customHeight="1">
      <c r="AA16361"/>
    </row>
    <row r="16362" spans="27:27" ht="17.899999999999999" customHeight="1">
      <c r="AA16362"/>
    </row>
    <row r="16363" spans="27:27" ht="17.899999999999999" customHeight="1">
      <c r="AA16363"/>
    </row>
    <row r="16364" spans="27:27" ht="17.899999999999999" customHeight="1">
      <c r="AA16364"/>
    </row>
    <row r="16365" spans="27:27" ht="17.899999999999999" customHeight="1">
      <c r="AA16365"/>
    </row>
    <row r="16366" spans="27:27" ht="17.899999999999999" customHeight="1">
      <c r="AA16366"/>
    </row>
    <row r="16367" spans="27:27" ht="17.899999999999999" customHeight="1">
      <c r="AA16367"/>
    </row>
    <row r="16368" spans="27:27" ht="17.899999999999999" customHeight="1">
      <c r="AA16368"/>
    </row>
    <row r="16369" spans="27:27" ht="17.899999999999999" customHeight="1">
      <c r="AA16369"/>
    </row>
    <row r="16370" spans="27:27" ht="17.899999999999999" customHeight="1">
      <c r="AA16370"/>
    </row>
    <row r="16371" spans="27:27" ht="17.899999999999999" customHeight="1">
      <c r="AA16371"/>
    </row>
    <row r="16372" spans="27:27" ht="17.899999999999999" customHeight="1">
      <c r="AA16372"/>
    </row>
    <row r="16373" spans="27:27" ht="17.899999999999999" customHeight="1">
      <c r="AA16373"/>
    </row>
    <row r="16374" spans="27:27" ht="17.899999999999999" customHeight="1">
      <c r="AA16374"/>
    </row>
    <row r="16375" spans="27:27" ht="17.899999999999999" customHeight="1">
      <c r="AA16375"/>
    </row>
    <row r="16376" spans="27:27" ht="17.899999999999999" customHeight="1">
      <c r="AA16376"/>
    </row>
    <row r="16377" spans="27:27" ht="17.899999999999999" customHeight="1">
      <c r="AA16377"/>
    </row>
    <row r="16378" spans="27:27" ht="17.899999999999999" customHeight="1">
      <c r="AA16378"/>
    </row>
    <row r="16379" spans="27:27" ht="17.899999999999999" customHeight="1">
      <c r="AA16379"/>
    </row>
    <row r="16380" spans="27:27" ht="17.899999999999999" customHeight="1">
      <c r="AA16380"/>
    </row>
    <row r="16381" spans="27:27" ht="17.899999999999999" customHeight="1">
      <c r="AA16381"/>
    </row>
    <row r="16382" spans="27:27" ht="17.899999999999999" customHeight="1">
      <c r="AA16382"/>
    </row>
    <row r="16383" spans="27:27" ht="17.899999999999999" customHeight="1">
      <c r="AA16383"/>
    </row>
    <row r="16384" spans="27:27" ht="17.899999999999999" customHeight="1">
      <c r="AA16384"/>
    </row>
    <row r="16385" spans="27:27" ht="17.899999999999999" customHeight="1">
      <c r="AA16385"/>
    </row>
    <row r="16386" spans="27:27" ht="17.899999999999999" customHeight="1">
      <c r="AA16386"/>
    </row>
    <row r="16387" spans="27:27" ht="17.899999999999999" customHeight="1">
      <c r="AA16387"/>
    </row>
    <row r="16388" spans="27:27" ht="17.899999999999999" customHeight="1">
      <c r="AA16388"/>
    </row>
    <row r="16389" spans="27:27" ht="17.899999999999999" customHeight="1">
      <c r="AA16389"/>
    </row>
    <row r="16390" spans="27:27" ht="17.899999999999999" customHeight="1">
      <c r="AA16390"/>
    </row>
    <row r="16391" spans="27:27" ht="17.899999999999999" customHeight="1">
      <c r="AA16391"/>
    </row>
    <row r="16392" spans="27:27" ht="17.899999999999999" customHeight="1">
      <c r="AA16392"/>
    </row>
    <row r="16393" spans="27:27" ht="17.899999999999999" customHeight="1">
      <c r="AA16393"/>
    </row>
    <row r="16394" spans="27:27" ht="17.899999999999999" customHeight="1">
      <c r="AA16394"/>
    </row>
    <row r="16395" spans="27:27" ht="17.899999999999999" customHeight="1">
      <c r="AA16395"/>
    </row>
    <row r="16396" spans="27:27" ht="17.899999999999999" customHeight="1">
      <c r="AA16396"/>
    </row>
    <row r="16397" spans="27:27" ht="17.899999999999999" customHeight="1">
      <c r="AA16397"/>
    </row>
    <row r="16398" spans="27:27" ht="17.899999999999999" customHeight="1">
      <c r="AA16398"/>
    </row>
    <row r="16399" spans="27:27" ht="17.899999999999999" customHeight="1">
      <c r="AA16399"/>
    </row>
    <row r="16400" spans="27:27" ht="17.899999999999999" customHeight="1">
      <c r="AA16400"/>
    </row>
    <row r="16401" spans="27:27" ht="17.899999999999999" customHeight="1">
      <c r="AA16401"/>
    </row>
    <row r="16402" spans="27:27" ht="17.899999999999999" customHeight="1">
      <c r="AA16402"/>
    </row>
    <row r="16403" spans="27:27" ht="17.899999999999999" customHeight="1">
      <c r="AA16403"/>
    </row>
    <row r="16404" spans="27:27" ht="17.899999999999999" customHeight="1">
      <c r="AA16404"/>
    </row>
    <row r="16405" spans="27:27" ht="17.899999999999999" customHeight="1">
      <c r="AA16405"/>
    </row>
    <row r="16406" spans="27:27" ht="17.899999999999999" customHeight="1">
      <c r="AA16406"/>
    </row>
    <row r="16407" spans="27:27" ht="17.899999999999999" customHeight="1">
      <c r="AA16407"/>
    </row>
    <row r="16408" spans="27:27" ht="17.899999999999999" customHeight="1">
      <c r="AA16408"/>
    </row>
    <row r="16409" spans="27:27" ht="17.899999999999999" customHeight="1">
      <c r="AA16409"/>
    </row>
    <row r="16410" spans="27:27" ht="17.899999999999999" customHeight="1">
      <c r="AA16410"/>
    </row>
    <row r="16411" spans="27:27" ht="17.899999999999999" customHeight="1">
      <c r="AA16411"/>
    </row>
    <row r="16412" spans="27:27" ht="17.899999999999999" customHeight="1">
      <c r="AA16412"/>
    </row>
    <row r="16413" spans="27:27" ht="17.899999999999999" customHeight="1">
      <c r="AA16413"/>
    </row>
    <row r="16414" spans="27:27" ht="17.899999999999999" customHeight="1">
      <c r="AA16414"/>
    </row>
    <row r="16415" spans="27:27" ht="17.899999999999999" customHeight="1">
      <c r="AA16415"/>
    </row>
    <row r="16416" spans="27:27" ht="17.899999999999999" customHeight="1">
      <c r="AA16416"/>
    </row>
    <row r="16417" spans="27:27" ht="17.899999999999999" customHeight="1">
      <c r="AA16417"/>
    </row>
    <row r="16418" spans="27:27" ht="17.899999999999999" customHeight="1">
      <c r="AA16418"/>
    </row>
    <row r="16419" spans="27:27" ht="17.899999999999999" customHeight="1">
      <c r="AA16419"/>
    </row>
    <row r="16420" spans="27:27" ht="17.899999999999999" customHeight="1">
      <c r="AA16420"/>
    </row>
    <row r="16421" spans="27:27" ht="17.899999999999999" customHeight="1">
      <c r="AA16421"/>
    </row>
    <row r="16422" spans="27:27" ht="17.899999999999999" customHeight="1">
      <c r="AA16422"/>
    </row>
    <row r="16423" spans="27:27" ht="17.899999999999999" customHeight="1">
      <c r="AA16423"/>
    </row>
    <row r="16424" spans="27:27" ht="17.899999999999999" customHeight="1">
      <c r="AA16424"/>
    </row>
    <row r="16425" spans="27:27" ht="17.899999999999999" customHeight="1">
      <c r="AA16425"/>
    </row>
    <row r="16426" spans="27:27" ht="17.899999999999999" customHeight="1">
      <c r="AA16426"/>
    </row>
    <row r="16427" spans="27:27" ht="17.899999999999999" customHeight="1">
      <c r="AA16427"/>
    </row>
    <row r="16428" spans="27:27" ht="17.899999999999999" customHeight="1">
      <c r="AA16428"/>
    </row>
    <row r="16429" spans="27:27" ht="17.899999999999999" customHeight="1">
      <c r="AA16429"/>
    </row>
    <row r="16430" spans="27:27" ht="17.899999999999999" customHeight="1">
      <c r="AA16430"/>
    </row>
    <row r="16431" spans="27:27" ht="17.899999999999999" customHeight="1">
      <c r="AA16431"/>
    </row>
    <row r="16432" spans="27:27" ht="17.899999999999999" customHeight="1">
      <c r="AA16432"/>
    </row>
    <row r="16433" spans="27:27" ht="17.899999999999999" customHeight="1">
      <c r="AA16433"/>
    </row>
    <row r="16434" spans="27:27" ht="17.899999999999999" customHeight="1">
      <c r="AA16434"/>
    </row>
    <row r="16435" spans="27:27" ht="17.899999999999999" customHeight="1">
      <c r="AA16435"/>
    </row>
    <row r="16436" spans="27:27" ht="17.899999999999999" customHeight="1">
      <c r="AA16436"/>
    </row>
    <row r="16437" spans="27:27" ht="17.899999999999999" customHeight="1">
      <c r="AA16437"/>
    </row>
    <row r="16438" spans="27:27" ht="17.899999999999999" customHeight="1">
      <c r="AA16438"/>
    </row>
    <row r="16439" spans="27:27" ht="17.899999999999999" customHeight="1">
      <c r="AA16439"/>
    </row>
    <row r="16440" spans="27:27" ht="17.899999999999999" customHeight="1">
      <c r="AA16440"/>
    </row>
    <row r="16441" spans="27:27" ht="17.899999999999999" customHeight="1">
      <c r="AA16441"/>
    </row>
    <row r="16442" spans="27:27" ht="17.899999999999999" customHeight="1">
      <c r="AA16442"/>
    </row>
    <row r="16443" spans="27:27" ht="17.899999999999999" customHeight="1">
      <c r="AA16443"/>
    </row>
    <row r="16444" spans="27:27" ht="17.899999999999999" customHeight="1">
      <c r="AA16444"/>
    </row>
    <row r="16445" spans="27:27" ht="17.899999999999999" customHeight="1">
      <c r="AA16445"/>
    </row>
    <row r="16446" spans="27:27" ht="17.899999999999999" customHeight="1">
      <c r="AA16446"/>
    </row>
    <row r="16447" spans="27:27" ht="17.899999999999999" customHeight="1">
      <c r="AA16447"/>
    </row>
    <row r="16448" spans="27:27" ht="17.899999999999999" customHeight="1">
      <c r="AA16448"/>
    </row>
    <row r="16449" spans="27:27" ht="17.899999999999999" customHeight="1">
      <c r="AA16449"/>
    </row>
    <row r="16450" spans="27:27" ht="17.899999999999999" customHeight="1">
      <c r="AA16450"/>
    </row>
    <row r="16451" spans="27:27" ht="17.899999999999999" customHeight="1">
      <c r="AA16451"/>
    </row>
    <row r="16452" spans="27:27" ht="17.899999999999999" customHeight="1">
      <c r="AA16452"/>
    </row>
    <row r="16453" spans="27:27" ht="17.899999999999999" customHeight="1">
      <c r="AA16453"/>
    </row>
    <row r="16454" spans="27:27" ht="17.899999999999999" customHeight="1">
      <c r="AA16454"/>
    </row>
    <row r="16455" spans="27:27" ht="17.899999999999999" customHeight="1">
      <c r="AA16455"/>
    </row>
    <row r="16456" spans="27:27" ht="17.899999999999999" customHeight="1">
      <c r="AA16456"/>
    </row>
    <row r="16457" spans="27:27" ht="17.899999999999999" customHeight="1">
      <c r="AA16457"/>
    </row>
    <row r="16458" spans="27:27" ht="17.899999999999999" customHeight="1">
      <c r="AA16458"/>
    </row>
    <row r="16459" spans="27:27" ht="17.899999999999999" customHeight="1">
      <c r="AA16459"/>
    </row>
    <row r="16460" spans="27:27" ht="17.899999999999999" customHeight="1">
      <c r="AA16460"/>
    </row>
    <row r="16461" spans="27:27" ht="17.899999999999999" customHeight="1">
      <c r="AA16461"/>
    </row>
    <row r="16462" spans="27:27" ht="17.899999999999999" customHeight="1">
      <c r="AA16462"/>
    </row>
    <row r="16463" spans="27:27" ht="17.899999999999999" customHeight="1">
      <c r="AA16463"/>
    </row>
    <row r="16464" spans="27:27" ht="17.899999999999999" customHeight="1">
      <c r="AA16464"/>
    </row>
    <row r="16465" spans="27:27" ht="17.899999999999999" customHeight="1">
      <c r="AA16465"/>
    </row>
    <row r="16466" spans="27:27" ht="17.899999999999999" customHeight="1">
      <c r="AA16466"/>
    </row>
    <row r="16467" spans="27:27" ht="17.899999999999999" customHeight="1">
      <c r="AA16467"/>
    </row>
    <row r="16468" spans="27:27" ht="17.899999999999999" customHeight="1">
      <c r="AA16468"/>
    </row>
    <row r="16469" spans="27:27" ht="17.899999999999999" customHeight="1">
      <c r="AA16469"/>
    </row>
    <row r="16470" spans="27:27" ht="17.899999999999999" customHeight="1">
      <c r="AA16470"/>
    </row>
    <row r="16471" spans="27:27" ht="17.899999999999999" customHeight="1">
      <c r="AA16471"/>
    </row>
    <row r="16472" spans="27:27" ht="17.899999999999999" customHeight="1">
      <c r="AA16472"/>
    </row>
    <row r="16473" spans="27:27" ht="17.899999999999999" customHeight="1">
      <c r="AA16473"/>
    </row>
    <row r="16474" spans="27:27" ht="17.899999999999999" customHeight="1">
      <c r="AA16474"/>
    </row>
    <row r="16475" spans="27:27" ht="17.899999999999999" customHeight="1">
      <c r="AA16475"/>
    </row>
    <row r="16476" spans="27:27" ht="17.899999999999999" customHeight="1">
      <c r="AA16476"/>
    </row>
    <row r="16477" spans="27:27" ht="17.899999999999999" customHeight="1">
      <c r="AA16477"/>
    </row>
    <row r="16478" spans="27:27" ht="17.899999999999999" customHeight="1">
      <c r="AA16478"/>
    </row>
    <row r="16479" spans="27:27" ht="17.899999999999999" customHeight="1">
      <c r="AA16479"/>
    </row>
    <row r="16480" spans="27:27" ht="17.899999999999999" customHeight="1">
      <c r="AA16480"/>
    </row>
    <row r="16481" spans="27:27" ht="17.899999999999999" customHeight="1">
      <c r="AA16481"/>
    </row>
    <row r="16482" spans="27:27" ht="17.899999999999999" customHeight="1">
      <c r="AA16482"/>
    </row>
    <row r="16483" spans="27:27" ht="17.899999999999999" customHeight="1">
      <c r="AA16483"/>
    </row>
    <row r="16484" spans="27:27" ht="17.899999999999999" customHeight="1">
      <c r="AA16484"/>
    </row>
    <row r="16485" spans="27:27" ht="17.899999999999999" customHeight="1">
      <c r="AA16485"/>
    </row>
    <row r="16486" spans="27:27" ht="17.899999999999999" customHeight="1">
      <c r="AA16486"/>
    </row>
    <row r="16487" spans="27:27" ht="17.899999999999999" customHeight="1">
      <c r="AA16487"/>
    </row>
    <row r="16488" spans="27:27" ht="17.899999999999999" customHeight="1">
      <c r="AA16488"/>
    </row>
    <row r="16489" spans="27:27" ht="17.899999999999999" customHeight="1">
      <c r="AA16489"/>
    </row>
    <row r="16490" spans="27:27" ht="17.899999999999999" customHeight="1">
      <c r="AA16490"/>
    </row>
    <row r="16491" spans="27:27" ht="17.899999999999999" customHeight="1">
      <c r="AA16491"/>
    </row>
    <row r="16492" spans="27:27" ht="17.899999999999999" customHeight="1">
      <c r="AA16492"/>
    </row>
    <row r="16493" spans="27:27" ht="17.899999999999999" customHeight="1">
      <c r="AA16493"/>
    </row>
    <row r="16494" spans="27:27" ht="17.899999999999999" customHeight="1">
      <c r="AA16494"/>
    </row>
    <row r="16495" spans="27:27" ht="17.899999999999999" customHeight="1">
      <c r="AA16495"/>
    </row>
    <row r="16496" spans="27:27" ht="17.899999999999999" customHeight="1">
      <c r="AA16496"/>
    </row>
    <row r="16497" spans="27:27" ht="17.899999999999999" customHeight="1">
      <c r="AA16497"/>
    </row>
    <row r="16498" spans="27:27" ht="17.899999999999999" customHeight="1">
      <c r="AA16498"/>
    </row>
    <row r="16499" spans="27:27" ht="17.899999999999999" customHeight="1">
      <c r="AA16499"/>
    </row>
    <row r="16500" spans="27:27" ht="17.899999999999999" customHeight="1">
      <c r="AA16500"/>
    </row>
    <row r="16501" spans="27:27" ht="17.899999999999999" customHeight="1">
      <c r="AA16501"/>
    </row>
    <row r="16502" spans="27:27" ht="17.899999999999999" customHeight="1">
      <c r="AA16502"/>
    </row>
    <row r="16503" spans="27:27" ht="17.899999999999999" customHeight="1">
      <c r="AA16503"/>
    </row>
    <row r="16504" spans="27:27" ht="17.899999999999999" customHeight="1">
      <c r="AA16504"/>
    </row>
    <row r="16505" spans="27:27" ht="17.899999999999999" customHeight="1">
      <c r="AA16505"/>
    </row>
    <row r="16506" spans="27:27" ht="17.899999999999999" customHeight="1">
      <c r="AA16506"/>
    </row>
    <row r="16507" spans="27:27" ht="17.899999999999999" customHeight="1">
      <c r="AA16507"/>
    </row>
    <row r="16508" spans="27:27" ht="17.899999999999999" customHeight="1">
      <c r="AA16508"/>
    </row>
    <row r="16509" spans="27:27" ht="17.899999999999999" customHeight="1">
      <c r="AA16509"/>
    </row>
    <row r="16510" spans="27:27" ht="17.899999999999999" customHeight="1">
      <c r="AA16510"/>
    </row>
    <row r="16511" spans="27:27" ht="17.899999999999999" customHeight="1">
      <c r="AA16511"/>
    </row>
    <row r="16512" spans="27:27" ht="17.899999999999999" customHeight="1">
      <c r="AA16512"/>
    </row>
    <row r="16513" spans="27:27" ht="17.899999999999999" customHeight="1">
      <c r="AA16513"/>
    </row>
    <row r="16514" spans="27:27" ht="17.899999999999999" customHeight="1">
      <c r="AA16514"/>
    </row>
    <row r="16515" spans="27:27" ht="17.899999999999999" customHeight="1">
      <c r="AA16515"/>
    </row>
    <row r="16516" spans="27:27" ht="17.899999999999999" customHeight="1">
      <c r="AA16516"/>
    </row>
    <row r="16517" spans="27:27" ht="17.899999999999999" customHeight="1">
      <c r="AA16517"/>
    </row>
    <row r="16518" spans="27:27" ht="17.899999999999999" customHeight="1">
      <c r="AA16518"/>
    </row>
    <row r="16519" spans="27:27" ht="17.899999999999999" customHeight="1">
      <c r="AA16519"/>
    </row>
    <row r="16520" spans="27:27" ht="17.899999999999999" customHeight="1">
      <c r="AA16520"/>
    </row>
    <row r="16521" spans="27:27" ht="17.899999999999999" customHeight="1">
      <c r="AA16521"/>
    </row>
    <row r="16522" spans="27:27" ht="17.899999999999999" customHeight="1">
      <c r="AA16522"/>
    </row>
    <row r="16523" spans="27:27" ht="17.899999999999999" customHeight="1">
      <c r="AA16523"/>
    </row>
    <row r="16524" spans="27:27" ht="17.899999999999999" customHeight="1">
      <c r="AA16524"/>
    </row>
    <row r="16525" spans="27:27" ht="17.899999999999999" customHeight="1">
      <c r="AA16525"/>
    </row>
    <row r="16526" spans="27:27" ht="17.899999999999999" customHeight="1">
      <c r="AA16526"/>
    </row>
    <row r="16527" spans="27:27" ht="17.899999999999999" customHeight="1">
      <c r="AA16527"/>
    </row>
    <row r="16528" spans="27:27" ht="17.899999999999999" customHeight="1">
      <c r="AA16528"/>
    </row>
    <row r="16529" spans="27:27" ht="17.899999999999999" customHeight="1">
      <c r="AA16529"/>
    </row>
    <row r="16530" spans="27:27" ht="17.899999999999999" customHeight="1">
      <c r="AA16530"/>
    </row>
    <row r="16531" spans="27:27" ht="17.899999999999999" customHeight="1">
      <c r="AA16531"/>
    </row>
    <row r="16532" spans="27:27" ht="17.899999999999999" customHeight="1">
      <c r="AA16532"/>
    </row>
    <row r="16533" spans="27:27" ht="17.899999999999999" customHeight="1">
      <c r="AA16533"/>
    </row>
    <row r="16534" spans="27:27" ht="17.899999999999999" customHeight="1">
      <c r="AA16534"/>
    </row>
    <row r="16535" spans="27:27" ht="17.899999999999999" customHeight="1">
      <c r="AA16535"/>
    </row>
    <row r="16536" spans="27:27" ht="17.899999999999999" customHeight="1">
      <c r="AA16536"/>
    </row>
    <row r="16537" spans="27:27" ht="17.899999999999999" customHeight="1">
      <c r="AA16537"/>
    </row>
    <row r="16538" spans="27:27" ht="17.899999999999999" customHeight="1">
      <c r="AA16538"/>
    </row>
    <row r="16539" spans="27:27" ht="17.899999999999999" customHeight="1">
      <c r="AA16539"/>
    </row>
    <row r="16540" spans="27:27" ht="17.899999999999999" customHeight="1">
      <c r="AA16540"/>
    </row>
    <row r="16541" spans="27:27" ht="17.899999999999999" customHeight="1">
      <c r="AA16541"/>
    </row>
    <row r="16542" spans="27:27" ht="17.899999999999999" customHeight="1">
      <c r="AA16542"/>
    </row>
    <row r="16543" spans="27:27" ht="17.899999999999999" customHeight="1">
      <c r="AA16543"/>
    </row>
    <row r="16544" spans="27:27" ht="17.899999999999999" customHeight="1">
      <c r="AA16544"/>
    </row>
    <row r="16545" spans="27:27" ht="17.899999999999999" customHeight="1">
      <c r="AA16545"/>
    </row>
    <row r="16546" spans="27:27" ht="17.899999999999999" customHeight="1">
      <c r="AA16546"/>
    </row>
    <row r="16547" spans="27:27" ht="17.899999999999999" customHeight="1">
      <c r="AA16547"/>
    </row>
    <row r="16548" spans="27:27" ht="17.899999999999999" customHeight="1">
      <c r="AA16548"/>
    </row>
    <row r="16549" spans="27:27" ht="17.899999999999999" customHeight="1">
      <c r="AA16549"/>
    </row>
    <row r="16550" spans="27:27" ht="17.899999999999999" customHeight="1">
      <c r="AA16550"/>
    </row>
    <row r="16551" spans="27:27" ht="17.899999999999999" customHeight="1">
      <c r="AA16551"/>
    </row>
    <row r="16552" spans="27:27" ht="17.899999999999999" customHeight="1">
      <c r="AA16552"/>
    </row>
    <row r="16553" spans="27:27" ht="17.899999999999999" customHeight="1">
      <c r="AA16553"/>
    </row>
    <row r="16554" spans="27:27" ht="17.899999999999999" customHeight="1">
      <c r="AA16554"/>
    </row>
    <row r="16555" spans="27:27" ht="17.899999999999999" customHeight="1">
      <c r="AA16555"/>
    </row>
    <row r="16556" spans="27:27" ht="17.899999999999999" customHeight="1">
      <c r="AA16556"/>
    </row>
    <row r="16557" spans="27:27" ht="17.899999999999999" customHeight="1">
      <c r="AA16557"/>
    </row>
    <row r="16558" spans="27:27" ht="17.899999999999999" customHeight="1">
      <c r="AA16558"/>
    </row>
    <row r="16559" spans="27:27" ht="17.899999999999999" customHeight="1">
      <c r="AA16559"/>
    </row>
    <row r="16560" spans="27:27" ht="17.899999999999999" customHeight="1">
      <c r="AA16560"/>
    </row>
    <row r="16561" spans="27:27" ht="17.899999999999999" customHeight="1">
      <c r="AA16561"/>
    </row>
    <row r="16562" spans="27:27" ht="17.899999999999999" customHeight="1">
      <c r="AA16562"/>
    </row>
    <row r="16563" spans="27:27" ht="17.899999999999999" customHeight="1">
      <c r="AA16563"/>
    </row>
    <row r="16564" spans="27:27" ht="17.899999999999999" customHeight="1">
      <c r="AA16564"/>
    </row>
    <row r="16565" spans="27:27" ht="17.899999999999999" customHeight="1">
      <c r="AA16565"/>
    </row>
    <row r="16566" spans="27:27" ht="17.899999999999999" customHeight="1">
      <c r="AA16566"/>
    </row>
    <row r="16567" spans="27:27" ht="17.899999999999999" customHeight="1">
      <c r="AA16567"/>
    </row>
    <row r="16568" spans="27:27" ht="17.899999999999999" customHeight="1">
      <c r="AA16568"/>
    </row>
    <row r="16569" spans="27:27" ht="17.899999999999999" customHeight="1">
      <c r="AA16569"/>
    </row>
    <row r="16570" spans="27:27" ht="17.899999999999999" customHeight="1">
      <c r="AA16570"/>
    </row>
    <row r="16571" spans="27:27" ht="17.899999999999999" customHeight="1">
      <c r="AA16571"/>
    </row>
    <row r="16572" spans="27:27" ht="17.899999999999999" customHeight="1">
      <c r="AA16572"/>
    </row>
    <row r="16573" spans="27:27" ht="17.899999999999999" customHeight="1">
      <c r="AA16573"/>
    </row>
    <row r="16574" spans="27:27" ht="17.899999999999999" customHeight="1">
      <c r="AA16574"/>
    </row>
    <row r="16575" spans="27:27" ht="17.899999999999999" customHeight="1">
      <c r="AA16575"/>
    </row>
    <row r="16576" spans="27:27" ht="17.899999999999999" customHeight="1">
      <c r="AA16576"/>
    </row>
    <row r="16577" spans="27:27" ht="17.899999999999999" customHeight="1">
      <c r="AA16577"/>
    </row>
    <row r="16578" spans="27:27" ht="17.899999999999999" customHeight="1">
      <c r="AA16578"/>
    </row>
    <row r="16579" spans="27:27" ht="17.899999999999999" customHeight="1">
      <c r="AA16579"/>
    </row>
    <row r="16580" spans="27:27" ht="17.899999999999999" customHeight="1">
      <c r="AA16580"/>
    </row>
    <row r="16581" spans="27:27" ht="17.899999999999999" customHeight="1">
      <c r="AA16581"/>
    </row>
    <row r="16582" spans="27:27" ht="17.899999999999999" customHeight="1">
      <c r="AA16582"/>
    </row>
    <row r="16583" spans="27:27" ht="17.899999999999999" customHeight="1">
      <c r="AA16583"/>
    </row>
    <row r="16584" spans="27:27" ht="17.899999999999999" customHeight="1">
      <c r="AA16584"/>
    </row>
    <row r="16585" spans="27:27" ht="17.899999999999999" customHeight="1">
      <c r="AA16585"/>
    </row>
    <row r="16586" spans="27:27" ht="17.899999999999999" customHeight="1">
      <c r="AA16586"/>
    </row>
    <row r="16587" spans="27:27" ht="17.899999999999999" customHeight="1">
      <c r="AA16587"/>
    </row>
    <row r="16588" spans="27:27" ht="17.899999999999999" customHeight="1">
      <c r="AA16588"/>
    </row>
    <row r="16589" spans="27:27" ht="17.899999999999999" customHeight="1">
      <c r="AA16589"/>
    </row>
    <row r="16590" spans="27:27" ht="17.899999999999999" customHeight="1">
      <c r="AA16590"/>
    </row>
    <row r="16591" spans="27:27" ht="17.899999999999999" customHeight="1">
      <c r="AA16591"/>
    </row>
    <row r="16592" spans="27:27" ht="17.899999999999999" customHeight="1">
      <c r="AA16592"/>
    </row>
    <row r="16593" spans="27:27" ht="17.899999999999999" customHeight="1">
      <c r="AA16593"/>
    </row>
    <row r="16594" spans="27:27" ht="17.899999999999999" customHeight="1">
      <c r="AA16594"/>
    </row>
    <row r="16595" spans="27:27" ht="17.899999999999999" customHeight="1">
      <c r="AA16595"/>
    </row>
    <row r="16596" spans="27:27" ht="17.899999999999999" customHeight="1">
      <c r="AA16596"/>
    </row>
    <row r="16597" spans="27:27" ht="17.899999999999999" customHeight="1">
      <c r="AA16597"/>
    </row>
    <row r="16598" spans="27:27" ht="17.899999999999999" customHeight="1">
      <c r="AA16598"/>
    </row>
    <row r="16599" spans="27:27" ht="17.899999999999999" customHeight="1">
      <c r="AA16599"/>
    </row>
    <row r="16600" spans="27:27" ht="17.899999999999999" customHeight="1">
      <c r="AA16600"/>
    </row>
    <row r="16601" spans="27:27" ht="17.899999999999999" customHeight="1">
      <c r="AA16601"/>
    </row>
    <row r="16602" spans="27:27" ht="17.899999999999999" customHeight="1">
      <c r="AA16602"/>
    </row>
    <row r="16603" spans="27:27" ht="17.899999999999999" customHeight="1">
      <c r="AA16603"/>
    </row>
    <row r="16604" spans="27:27" ht="17.899999999999999" customHeight="1">
      <c r="AA16604"/>
    </row>
    <row r="16605" spans="27:27" ht="17.899999999999999" customHeight="1">
      <c r="AA16605"/>
    </row>
    <row r="16606" spans="27:27" ht="17.899999999999999" customHeight="1">
      <c r="AA16606"/>
    </row>
    <row r="16607" spans="27:27" ht="17.899999999999999" customHeight="1">
      <c r="AA16607"/>
    </row>
    <row r="16608" spans="27:27" ht="17.899999999999999" customHeight="1">
      <c r="AA16608"/>
    </row>
    <row r="16609" spans="27:27" ht="17.899999999999999" customHeight="1">
      <c r="AA16609"/>
    </row>
    <row r="16610" spans="27:27" ht="17.899999999999999" customHeight="1">
      <c r="AA16610"/>
    </row>
    <row r="16611" spans="27:27" ht="17.899999999999999" customHeight="1">
      <c r="AA16611"/>
    </row>
    <row r="16612" spans="27:27" ht="17.899999999999999" customHeight="1">
      <c r="AA16612"/>
    </row>
    <row r="16613" spans="27:27" ht="17.899999999999999" customHeight="1">
      <c r="AA16613"/>
    </row>
    <row r="16614" spans="27:27" ht="17.899999999999999" customHeight="1">
      <c r="AA16614"/>
    </row>
    <row r="16615" spans="27:27" ht="17.899999999999999" customHeight="1">
      <c r="AA16615"/>
    </row>
    <row r="16616" spans="27:27" ht="17.899999999999999" customHeight="1">
      <c r="AA16616"/>
    </row>
    <row r="16617" spans="27:27" ht="17.899999999999999" customHeight="1">
      <c r="AA16617"/>
    </row>
    <row r="16618" spans="27:27" ht="17.899999999999999" customHeight="1">
      <c r="AA16618"/>
    </row>
    <row r="16619" spans="27:27" ht="17.899999999999999" customHeight="1">
      <c r="AA16619"/>
    </row>
    <row r="16620" spans="27:27" ht="17.899999999999999" customHeight="1">
      <c r="AA16620"/>
    </row>
    <row r="16621" spans="27:27" ht="17.899999999999999" customHeight="1">
      <c r="AA16621"/>
    </row>
    <row r="16622" spans="27:27" ht="17.899999999999999" customHeight="1">
      <c r="AA16622"/>
    </row>
    <row r="16623" spans="27:27" ht="17.899999999999999" customHeight="1">
      <c r="AA16623"/>
    </row>
    <row r="16624" spans="27:27" ht="17.899999999999999" customHeight="1">
      <c r="AA16624"/>
    </row>
    <row r="16625" spans="27:27" ht="17.899999999999999" customHeight="1">
      <c r="AA16625"/>
    </row>
    <row r="16626" spans="27:27" ht="17.899999999999999" customHeight="1">
      <c r="AA16626"/>
    </row>
    <row r="16627" spans="27:27" ht="17.899999999999999" customHeight="1">
      <c r="AA16627"/>
    </row>
    <row r="16628" spans="27:27" ht="17.899999999999999" customHeight="1">
      <c r="AA16628"/>
    </row>
    <row r="16629" spans="27:27" ht="17.899999999999999" customHeight="1">
      <c r="AA16629"/>
    </row>
    <row r="16630" spans="27:27" ht="17.899999999999999" customHeight="1">
      <c r="AA16630"/>
    </row>
    <row r="16631" spans="27:27" ht="17.899999999999999" customHeight="1">
      <c r="AA16631"/>
    </row>
    <row r="16632" spans="27:27" ht="17.899999999999999" customHeight="1">
      <c r="AA16632"/>
    </row>
    <row r="16633" spans="27:27" ht="17.899999999999999" customHeight="1">
      <c r="AA16633"/>
    </row>
    <row r="16634" spans="27:27" ht="17.899999999999999" customHeight="1">
      <c r="AA16634"/>
    </row>
    <row r="16635" spans="27:27" ht="17.899999999999999" customHeight="1">
      <c r="AA16635"/>
    </row>
    <row r="16636" spans="27:27" ht="17.899999999999999" customHeight="1">
      <c r="AA16636"/>
    </row>
    <row r="16637" spans="27:27" ht="17.899999999999999" customHeight="1">
      <c r="AA16637"/>
    </row>
    <row r="16638" spans="27:27" ht="17.899999999999999" customHeight="1">
      <c r="AA16638"/>
    </row>
    <row r="16639" spans="27:27" ht="17.899999999999999" customHeight="1">
      <c r="AA16639"/>
    </row>
    <row r="16640" spans="27:27" ht="17.899999999999999" customHeight="1">
      <c r="AA16640"/>
    </row>
    <row r="16641" spans="27:27" ht="17.899999999999999" customHeight="1">
      <c r="AA16641"/>
    </row>
    <row r="16642" spans="27:27" ht="17.899999999999999" customHeight="1">
      <c r="AA16642"/>
    </row>
    <row r="16643" spans="27:27" ht="17.899999999999999" customHeight="1">
      <c r="AA16643"/>
    </row>
    <row r="16644" spans="27:27" ht="17.899999999999999" customHeight="1">
      <c r="AA16644"/>
    </row>
    <row r="16645" spans="27:27" ht="17.899999999999999" customHeight="1">
      <c r="AA16645"/>
    </row>
    <row r="16646" spans="27:27" ht="17.899999999999999" customHeight="1">
      <c r="AA16646"/>
    </row>
    <row r="16647" spans="27:27" ht="17.899999999999999" customHeight="1">
      <c r="AA16647"/>
    </row>
    <row r="16648" spans="27:27" ht="17.899999999999999" customHeight="1">
      <c r="AA16648"/>
    </row>
    <row r="16649" spans="27:27" ht="17.899999999999999" customHeight="1">
      <c r="AA16649"/>
    </row>
    <row r="16650" spans="27:27" ht="17.899999999999999" customHeight="1">
      <c r="AA16650"/>
    </row>
    <row r="16651" spans="27:27" ht="17.899999999999999" customHeight="1">
      <c r="AA16651"/>
    </row>
    <row r="16652" spans="27:27" ht="17.899999999999999" customHeight="1">
      <c r="AA16652"/>
    </row>
    <row r="16653" spans="27:27" ht="17.899999999999999" customHeight="1">
      <c r="AA16653"/>
    </row>
    <row r="16654" spans="27:27" ht="17.899999999999999" customHeight="1">
      <c r="AA16654"/>
    </row>
    <row r="16655" spans="27:27" ht="17.899999999999999" customHeight="1">
      <c r="AA16655"/>
    </row>
    <row r="16656" spans="27:27" ht="17.899999999999999" customHeight="1">
      <c r="AA16656"/>
    </row>
    <row r="16657" spans="27:27" ht="17.899999999999999" customHeight="1">
      <c r="AA16657"/>
    </row>
    <row r="16658" spans="27:27" ht="17.899999999999999" customHeight="1">
      <c r="AA16658"/>
    </row>
    <row r="16659" spans="27:27" ht="17.899999999999999" customHeight="1">
      <c r="AA16659"/>
    </row>
    <row r="16660" spans="27:27" ht="17.899999999999999" customHeight="1">
      <c r="AA16660"/>
    </row>
    <row r="16661" spans="27:27" ht="17.899999999999999" customHeight="1">
      <c r="AA16661"/>
    </row>
    <row r="16662" spans="27:27" ht="17.899999999999999" customHeight="1">
      <c r="AA16662"/>
    </row>
    <row r="16663" spans="27:27" ht="17.899999999999999" customHeight="1">
      <c r="AA16663"/>
    </row>
    <row r="16664" spans="27:27" ht="17.899999999999999" customHeight="1">
      <c r="AA16664"/>
    </row>
    <row r="16665" spans="27:27" ht="17.899999999999999" customHeight="1">
      <c r="AA16665"/>
    </row>
    <row r="16666" spans="27:27" ht="17.899999999999999" customHeight="1">
      <c r="AA16666"/>
    </row>
    <row r="16667" spans="27:27" ht="17.899999999999999" customHeight="1">
      <c r="AA16667"/>
    </row>
    <row r="16668" spans="27:27" ht="17.899999999999999" customHeight="1">
      <c r="AA16668"/>
    </row>
    <row r="16669" spans="27:27" ht="17.899999999999999" customHeight="1">
      <c r="AA16669"/>
    </row>
    <row r="16670" spans="27:27" ht="17.899999999999999" customHeight="1">
      <c r="AA16670"/>
    </row>
    <row r="16671" spans="27:27" ht="17.899999999999999" customHeight="1">
      <c r="AA16671"/>
    </row>
    <row r="16672" spans="27:27" ht="17.899999999999999" customHeight="1">
      <c r="AA16672"/>
    </row>
    <row r="16673" spans="27:27" ht="17.899999999999999" customHeight="1">
      <c r="AA16673"/>
    </row>
    <row r="16674" spans="27:27" ht="17.899999999999999" customHeight="1">
      <c r="AA16674"/>
    </row>
    <row r="16675" spans="27:27" ht="17.899999999999999" customHeight="1">
      <c r="AA16675"/>
    </row>
    <row r="16676" spans="27:27" ht="17.899999999999999" customHeight="1">
      <c r="AA16676"/>
    </row>
    <row r="16677" spans="27:27" ht="17.899999999999999" customHeight="1">
      <c r="AA16677"/>
    </row>
    <row r="16678" spans="27:27" ht="17.899999999999999" customHeight="1">
      <c r="AA16678"/>
    </row>
    <row r="16679" spans="27:27" ht="17.899999999999999" customHeight="1">
      <c r="AA16679"/>
    </row>
    <row r="16680" spans="27:27" ht="17.899999999999999" customHeight="1">
      <c r="AA16680"/>
    </row>
    <row r="16681" spans="27:27" ht="17.899999999999999" customHeight="1">
      <c r="AA16681"/>
    </row>
    <row r="16682" spans="27:27" ht="17.899999999999999" customHeight="1">
      <c r="AA16682"/>
    </row>
    <row r="16683" spans="27:27" ht="17.899999999999999" customHeight="1">
      <c r="AA16683"/>
    </row>
    <row r="16684" spans="27:27" ht="17.899999999999999" customHeight="1">
      <c r="AA16684"/>
    </row>
    <row r="16685" spans="27:27" ht="17.899999999999999" customHeight="1">
      <c r="AA16685"/>
    </row>
    <row r="16686" spans="27:27" ht="17.899999999999999" customHeight="1">
      <c r="AA16686"/>
    </row>
    <row r="16687" spans="27:27" ht="17.899999999999999" customHeight="1">
      <c r="AA16687"/>
    </row>
    <row r="16688" spans="27:27" ht="17.899999999999999" customHeight="1">
      <c r="AA16688"/>
    </row>
    <row r="16689" spans="27:27" ht="17.899999999999999" customHeight="1">
      <c r="AA16689"/>
    </row>
    <row r="16690" spans="27:27" ht="17.899999999999999" customHeight="1">
      <c r="AA16690"/>
    </row>
    <row r="16691" spans="27:27" ht="17.899999999999999" customHeight="1">
      <c r="AA16691"/>
    </row>
    <row r="16692" spans="27:27" ht="17.899999999999999" customHeight="1">
      <c r="AA16692"/>
    </row>
    <row r="16693" spans="27:27" ht="17.899999999999999" customHeight="1">
      <c r="AA16693"/>
    </row>
    <row r="16694" spans="27:27" ht="17.899999999999999" customHeight="1">
      <c r="AA16694"/>
    </row>
    <row r="16695" spans="27:27" ht="17.899999999999999" customHeight="1">
      <c r="AA16695"/>
    </row>
    <row r="16696" spans="27:27" ht="17.899999999999999" customHeight="1">
      <c r="AA16696"/>
    </row>
    <row r="16697" spans="27:27" ht="17.899999999999999" customHeight="1">
      <c r="AA16697"/>
    </row>
    <row r="16698" spans="27:27" ht="17.899999999999999" customHeight="1">
      <c r="AA16698"/>
    </row>
    <row r="16699" spans="27:27" ht="17.899999999999999" customHeight="1">
      <c r="AA16699"/>
    </row>
    <row r="16700" spans="27:27" ht="17.899999999999999" customHeight="1">
      <c r="AA16700"/>
    </row>
    <row r="16701" spans="27:27" ht="17.899999999999999" customHeight="1">
      <c r="AA16701"/>
    </row>
    <row r="16702" spans="27:27" ht="17.899999999999999" customHeight="1">
      <c r="AA16702"/>
    </row>
    <row r="16703" spans="27:27" ht="17.899999999999999" customHeight="1">
      <c r="AA16703"/>
    </row>
    <row r="16704" spans="27:27" ht="17.899999999999999" customHeight="1">
      <c r="AA16704"/>
    </row>
    <row r="16705" spans="27:27" ht="17.899999999999999" customHeight="1">
      <c r="AA16705"/>
    </row>
    <row r="16706" spans="27:27" ht="17.899999999999999" customHeight="1">
      <c r="AA16706"/>
    </row>
    <row r="16707" spans="27:27" ht="17.899999999999999" customHeight="1">
      <c r="AA16707"/>
    </row>
    <row r="16708" spans="27:27" ht="17.899999999999999" customHeight="1">
      <c r="AA16708"/>
    </row>
    <row r="16709" spans="27:27" ht="17.899999999999999" customHeight="1">
      <c r="AA16709"/>
    </row>
    <row r="16710" spans="27:27" ht="17.899999999999999" customHeight="1">
      <c r="AA16710"/>
    </row>
    <row r="16711" spans="27:27" ht="17.899999999999999" customHeight="1">
      <c r="AA16711"/>
    </row>
    <row r="16712" spans="27:27" ht="17.899999999999999" customHeight="1">
      <c r="AA16712"/>
    </row>
    <row r="16713" spans="27:27" ht="17.899999999999999" customHeight="1">
      <c r="AA16713"/>
    </row>
    <row r="16714" spans="27:27" ht="17.899999999999999" customHeight="1">
      <c r="AA16714"/>
    </row>
    <row r="16715" spans="27:27" ht="17.899999999999999" customHeight="1">
      <c r="AA16715"/>
    </row>
    <row r="16716" spans="27:27" ht="17.899999999999999" customHeight="1">
      <c r="AA16716"/>
    </row>
    <row r="16717" spans="27:27" ht="17.899999999999999" customHeight="1">
      <c r="AA16717"/>
    </row>
    <row r="16718" spans="27:27" ht="17.899999999999999" customHeight="1">
      <c r="AA16718"/>
    </row>
    <row r="16719" spans="27:27" ht="17.899999999999999" customHeight="1">
      <c r="AA16719"/>
    </row>
    <row r="16720" spans="27:27" ht="17.899999999999999" customHeight="1">
      <c r="AA16720"/>
    </row>
    <row r="16721" spans="27:27" ht="17.899999999999999" customHeight="1">
      <c r="AA16721"/>
    </row>
    <row r="16722" spans="27:27" ht="17.899999999999999" customHeight="1">
      <c r="AA16722"/>
    </row>
    <row r="16723" spans="27:27" ht="17.899999999999999" customHeight="1">
      <c r="AA16723"/>
    </row>
    <row r="16724" spans="27:27" ht="17.899999999999999" customHeight="1">
      <c r="AA16724"/>
    </row>
    <row r="16725" spans="27:27" ht="17.899999999999999" customHeight="1">
      <c r="AA16725"/>
    </row>
    <row r="16726" spans="27:27" ht="17.899999999999999" customHeight="1">
      <c r="AA16726"/>
    </row>
    <row r="16727" spans="27:27" ht="17.899999999999999" customHeight="1">
      <c r="AA16727"/>
    </row>
    <row r="16728" spans="27:27" ht="17.899999999999999" customHeight="1">
      <c r="AA16728"/>
    </row>
    <row r="16729" spans="27:27" ht="17.899999999999999" customHeight="1">
      <c r="AA16729"/>
    </row>
    <row r="16730" spans="27:27" ht="17.899999999999999" customHeight="1">
      <c r="AA16730"/>
    </row>
    <row r="16731" spans="27:27" ht="17.899999999999999" customHeight="1">
      <c r="AA16731"/>
    </row>
    <row r="16732" spans="27:27" ht="17.899999999999999" customHeight="1">
      <c r="AA16732"/>
    </row>
    <row r="16733" spans="27:27" ht="17.899999999999999" customHeight="1">
      <c r="AA16733"/>
    </row>
    <row r="16734" spans="27:27" ht="17.899999999999999" customHeight="1">
      <c r="AA16734"/>
    </row>
    <row r="16735" spans="27:27" ht="17.899999999999999" customHeight="1">
      <c r="AA16735"/>
    </row>
    <row r="16736" spans="27:27" ht="17.899999999999999" customHeight="1">
      <c r="AA16736"/>
    </row>
    <row r="16737" spans="27:27" ht="17.899999999999999" customHeight="1">
      <c r="AA16737"/>
    </row>
    <row r="16738" spans="27:27" ht="17.899999999999999" customHeight="1">
      <c r="AA16738"/>
    </row>
    <row r="16739" spans="27:27" ht="17.899999999999999" customHeight="1">
      <c r="AA16739"/>
    </row>
    <row r="16740" spans="27:27" ht="17.899999999999999" customHeight="1">
      <c r="AA16740"/>
    </row>
    <row r="16741" spans="27:27" ht="17.899999999999999" customHeight="1">
      <c r="AA16741"/>
    </row>
    <row r="16742" spans="27:27" ht="17.899999999999999" customHeight="1">
      <c r="AA16742"/>
    </row>
    <row r="16743" spans="27:27" ht="17.899999999999999" customHeight="1">
      <c r="AA16743"/>
    </row>
    <row r="16744" spans="27:27" ht="17.899999999999999" customHeight="1">
      <c r="AA16744"/>
    </row>
    <row r="16745" spans="27:27" ht="17.899999999999999" customHeight="1">
      <c r="AA16745"/>
    </row>
    <row r="16746" spans="27:27" ht="17.899999999999999" customHeight="1">
      <c r="AA16746"/>
    </row>
    <row r="16747" spans="27:27" ht="17.899999999999999" customHeight="1">
      <c r="AA16747"/>
    </row>
    <row r="16748" spans="27:27" ht="17.899999999999999" customHeight="1">
      <c r="AA16748"/>
    </row>
    <row r="16749" spans="27:27" ht="17.899999999999999" customHeight="1">
      <c r="AA16749"/>
    </row>
    <row r="16750" spans="27:27" ht="17.899999999999999" customHeight="1">
      <c r="AA16750"/>
    </row>
    <row r="16751" spans="27:27" ht="17.899999999999999" customHeight="1">
      <c r="AA16751"/>
    </row>
    <row r="16752" spans="27:27" ht="17.899999999999999" customHeight="1">
      <c r="AA16752"/>
    </row>
    <row r="16753" spans="27:27" ht="17.899999999999999" customHeight="1">
      <c r="AA16753"/>
    </row>
    <row r="16754" spans="27:27" ht="17.899999999999999" customHeight="1">
      <c r="AA16754"/>
    </row>
    <row r="16755" spans="27:27" ht="17.899999999999999" customHeight="1">
      <c r="AA16755"/>
    </row>
    <row r="16756" spans="27:27" ht="17.899999999999999" customHeight="1">
      <c r="AA16756"/>
    </row>
    <row r="16757" spans="27:27" ht="17.899999999999999" customHeight="1">
      <c r="AA16757"/>
    </row>
    <row r="16758" spans="27:27" ht="17.899999999999999" customHeight="1">
      <c r="AA16758"/>
    </row>
    <row r="16759" spans="27:27" ht="17.899999999999999" customHeight="1">
      <c r="AA16759"/>
    </row>
    <row r="16760" spans="27:27" ht="17.899999999999999" customHeight="1">
      <c r="AA16760"/>
    </row>
    <row r="16761" spans="27:27" ht="17.899999999999999" customHeight="1">
      <c r="AA16761"/>
    </row>
    <row r="16762" spans="27:27" ht="17.899999999999999" customHeight="1">
      <c r="AA16762"/>
    </row>
    <row r="16763" spans="27:27" ht="17.899999999999999" customHeight="1">
      <c r="AA16763"/>
    </row>
    <row r="16764" spans="27:27" ht="17.899999999999999" customHeight="1">
      <c r="AA16764"/>
    </row>
    <row r="16765" spans="27:27" ht="17.899999999999999" customHeight="1">
      <c r="AA16765"/>
    </row>
    <row r="16766" spans="27:27" ht="17.899999999999999" customHeight="1">
      <c r="AA16766"/>
    </row>
    <row r="16767" spans="27:27" ht="17.899999999999999" customHeight="1">
      <c r="AA16767"/>
    </row>
    <row r="16768" spans="27:27" ht="17.899999999999999" customHeight="1">
      <c r="AA16768"/>
    </row>
    <row r="16769" spans="27:27" ht="17.899999999999999" customHeight="1">
      <c r="AA16769"/>
    </row>
    <row r="16770" spans="27:27" ht="17.899999999999999" customHeight="1">
      <c r="AA16770"/>
    </row>
    <row r="16771" spans="27:27" ht="17.899999999999999" customHeight="1">
      <c r="AA16771"/>
    </row>
    <row r="16772" spans="27:27" ht="17.899999999999999" customHeight="1">
      <c r="AA16772"/>
    </row>
    <row r="16773" spans="27:27" ht="17.899999999999999" customHeight="1">
      <c r="AA16773"/>
    </row>
    <row r="16774" spans="27:27" ht="17.899999999999999" customHeight="1">
      <c r="AA16774"/>
    </row>
    <row r="16775" spans="27:27" ht="17.899999999999999" customHeight="1">
      <c r="AA16775"/>
    </row>
    <row r="16776" spans="27:27" ht="17.899999999999999" customHeight="1">
      <c r="AA16776"/>
    </row>
    <row r="16777" spans="27:27" ht="17.899999999999999" customHeight="1">
      <c r="AA16777"/>
    </row>
    <row r="16778" spans="27:27" ht="17.899999999999999" customHeight="1">
      <c r="AA16778"/>
    </row>
    <row r="16779" spans="27:27" ht="17.899999999999999" customHeight="1">
      <c r="AA16779"/>
    </row>
    <row r="16780" spans="27:27" ht="17.899999999999999" customHeight="1">
      <c r="AA16780"/>
    </row>
    <row r="16781" spans="27:27" ht="17.899999999999999" customHeight="1">
      <c r="AA16781"/>
    </row>
    <row r="16782" spans="27:27" ht="17.899999999999999" customHeight="1">
      <c r="AA16782"/>
    </row>
    <row r="16783" spans="27:27" ht="17.899999999999999" customHeight="1">
      <c r="AA16783"/>
    </row>
    <row r="16784" spans="27:27" ht="17.899999999999999" customHeight="1">
      <c r="AA16784"/>
    </row>
    <row r="16785" spans="27:27" ht="17.899999999999999" customHeight="1">
      <c r="AA16785"/>
    </row>
    <row r="16786" spans="27:27" ht="17.899999999999999" customHeight="1">
      <c r="AA16786"/>
    </row>
    <row r="16787" spans="27:27" ht="17.899999999999999" customHeight="1">
      <c r="AA16787"/>
    </row>
    <row r="16788" spans="27:27" ht="17.899999999999999" customHeight="1">
      <c r="AA16788"/>
    </row>
    <row r="16789" spans="27:27" ht="17.899999999999999" customHeight="1">
      <c r="AA16789"/>
    </row>
    <row r="16790" spans="27:27" ht="17.899999999999999" customHeight="1">
      <c r="AA16790"/>
    </row>
    <row r="16791" spans="27:27" ht="17.899999999999999" customHeight="1">
      <c r="AA16791"/>
    </row>
    <row r="16792" spans="27:27" ht="17.899999999999999" customHeight="1">
      <c r="AA16792"/>
    </row>
    <row r="16793" spans="27:27" ht="17.899999999999999" customHeight="1">
      <c r="AA16793"/>
    </row>
    <row r="16794" spans="27:27" ht="17.899999999999999" customHeight="1">
      <c r="AA16794"/>
    </row>
    <row r="16795" spans="27:27" ht="17.899999999999999" customHeight="1">
      <c r="AA16795"/>
    </row>
    <row r="16796" spans="27:27" ht="17.899999999999999" customHeight="1">
      <c r="AA16796"/>
    </row>
    <row r="16797" spans="27:27" ht="17.899999999999999" customHeight="1">
      <c r="AA16797"/>
    </row>
    <row r="16798" spans="27:27" ht="17.899999999999999" customHeight="1">
      <c r="AA16798"/>
    </row>
    <row r="16799" spans="27:27" ht="17.899999999999999" customHeight="1">
      <c r="AA16799"/>
    </row>
    <row r="16800" spans="27:27" ht="17.899999999999999" customHeight="1">
      <c r="AA16800"/>
    </row>
    <row r="16801" spans="27:27" ht="17.899999999999999" customHeight="1">
      <c r="AA16801"/>
    </row>
    <row r="16802" spans="27:27" ht="17.899999999999999" customHeight="1">
      <c r="AA16802"/>
    </row>
    <row r="16803" spans="27:27" ht="17.899999999999999" customHeight="1">
      <c r="AA16803"/>
    </row>
    <row r="16804" spans="27:27" ht="17.899999999999999" customHeight="1">
      <c r="AA16804"/>
    </row>
    <row r="16805" spans="27:27" ht="17.899999999999999" customHeight="1">
      <c r="AA16805"/>
    </row>
    <row r="16806" spans="27:27" ht="17.899999999999999" customHeight="1">
      <c r="AA16806"/>
    </row>
    <row r="16807" spans="27:27" ht="17.899999999999999" customHeight="1">
      <c r="AA16807"/>
    </row>
    <row r="16808" spans="27:27" ht="17.899999999999999" customHeight="1">
      <c r="AA16808"/>
    </row>
    <row r="16809" spans="27:27" ht="17.899999999999999" customHeight="1">
      <c r="AA16809"/>
    </row>
    <row r="16810" spans="27:27" ht="17.899999999999999" customHeight="1">
      <c r="AA16810"/>
    </row>
    <row r="16811" spans="27:27" ht="17.899999999999999" customHeight="1">
      <c r="AA16811"/>
    </row>
    <row r="16812" spans="27:27" ht="17.899999999999999" customHeight="1">
      <c r="AA16812"/>
    </row>
    <row r="16813" spans="27:27" ht="17.899999999999999" customHeight="1">
      <c r="AA16813"/>
    </row>
    <row r="16814" spans="27:27" ht="17.899999999999999" customHeight="1">
      <c r="AA16814"/>
    </row>
    <row r="16815" spans="27:27" ht="17.899999999999999" customHeight="1">
      <c r="AA16815"/>
    </row>
    <row r="16816" spans="27:27" ht="17.899999999999999" customHeight="1">
      <c r="AA16816"/>
    </row>
    <row r="16817" spans="27:27" ht="17.899999999999999" customHeight="1">
      <c r="AA16817"/>
    </row>
    <row r="16818" spans="27:27" ht="17.899999999999999" customHeight="1">
      <c r="AA16818"/>
    </row>
    <row r="16819" spans="27:27" ht="17.899999999999999" customHeight="1">
      <c r="AA16819"/>
    </row>
    <row r="16820" spans="27:27" ht="17.899999999999999" customHeight="1">
      <c r="AA16820"/>
    </row>
    <row r="16821" spans="27:27" ht="17.899999999999999" customHeight="1">
      <c r="AA16821"/>
    </row>
    <row r="16822" spans="27:27" ht="17.899999999999999" customHeight="1">
      <c r="AA16822"/>
    </row>
    <row r="16823" spans="27:27" ht="17.899999999999999" customHeight="1">
      <c r="AA16823"/>
    </row>
    <row r="16824" spans="27:27" ht="17.899999999999999" customHeight="1">
      <c r="AA16824"/>
    </row>
    <row r="16825" spans="27:27" ht="17.899999999999999" customHeight="1">
      <c r="AA16825"/>
    </row>
    <row r="16826" spans="27:27" ht="17.899999999999999" customHeight="1">
      <c r="AA16826"/>
    </row>
    <row r="16827" spans="27:27" ht="17.899999999999999" customHeight="1">
      <c r="AA16827"/>
    </row>
    <row r="16828" spans="27:27" ht="17.899999999999999" customHeight="1">
      <c r="AA16828"/>
    </row>
    <row r="16829" spans="27:27" ht="17.899999999999999" customHeight="1">
      <c r="AA16829"/>
    </row>
    <row r="16830" spans="27:27" ht="17.899999999999999" customHeight="1">
      <c r="AA16830"/>
    </row>
    <row r="16831" spans="27:27" ht="17.899999999999999" customHeight="1">
      <c r="AA16831"/>
    </row>
    <row r="16832" spans="27:27" ht="17.899999999999999" customHeight="1">
      <c r="AA16832"/>
    </row>
    <row r="16833" spans="27:27" ht="17.899999999999999" customHeight="1">
      <c r="AA16833"/>
    </row>
    <row r="16834" spans="27:27" ht="17.899999999999999" customHeight="1">
      <c r="AA16834"/>
    </row>
    <row r="16835" spans="27:27" ht="17.899999999999999" customHeight="1">
      <c r="AA16835"/>
    </row>
    <row r="16836" spans="27:27" ht="17.899999999999999" customHeight="1">
      <c r="AA16836"/>
    </row>
    <row r="16837" spans="27:27" ht="17.899999999999999" customHeight="1">
      <c r="AA16837"/>
    </row>
    <row r="16838" spans="27:27" ht="17.899999999999999" customHeight="1">
      <c r="AA16838"/>
    </row>
    <row r="16839" spans="27:27" ht="17.899999999999999" customHeight="1">
      <c r="AA16839"/>
    </row>
    <row r="16840" spans="27:27" ht="17.899999999999999" customHeight="1">
      <c r="AA16840"/>
    </row>
    <row r="16841" spans="27:27" ht="17.899999999999999" customHeight="1">
      <c r="AA16841"/>
    </row>
    <row r="16842" spans="27:27" ht="17.899999999999999" customHeight="1">
      <c r="AA16842"/>
    </row>
    <row r="16843" spans="27:27" ht="17.899999999999999" customHeight="1">
      <c r="AA16843"/>
    </row>
    <row r="16844" spans="27:27" ht="17.899999999999999" customHeight="1">
      <c r="AA16844"/>
    </row>
    <row r="16845" spans="27:27" ht="17.899999999999999" customHeight="1">
      <c r="AA16845"/>
    </row>
    <row r="16846" spans="27:27" ht="17.899999999999999" customHeight="1">
      <c r="AA16846"/>
    </row>
    <row r="16847" spans="27:27" ht="17.899999999999999" customHeight="1">
      <c r="AA16847"/>
    </row>
    <row r="16848" spans="27:27" ht="17.899999999999999" customHeight="1">
      <c r="AA16848"/>
    </row>
    <row r="16849" spans="27:27" ht="17.899999999999999" customHeight="1">
      <c r="AA16849"/>
    </row>
    <row r="16850" spans="27:27" ht="17.899999999999999" customHeight="1">
      <c r="AA16850"/>
    </row>
    <row r="16851" spans="27:27" ht="17.899999999999999" customHeight="1">
      <c r="AA16851"/>
    </row>
    <row r="16852" spans="27:27" ht="17.899999999999999" customHeight="1">
      <c r="AA16852"/>
    </row>
    <row r="16853" spans="27:27" ht="17.899999999999999" customHeight="1">
      <c r="AA16853"/>
    </row>
    <row r="16854" spans="27:27" ht="17.899999999999999" customHeight="1">
      <c r="AA16854"/>
    </row>
    <row r="16855" spans="27:27" ht="17.899999999999999" customHeight="1">
      <c r="AA16855"/>
    </row>
    <row r="16856" spans="27:27" ht="17.899999999999999" customHeight="1">
      <c r="AA16856"/>
    </row>
    <row r="16857" spans="27:27" ht="17.899999999999999" customHeight="1">
      <c r="AA16857"/>
    </row>
    <row r="16858" spans="27:27" ht="17.899999999999999" customHeight="1">
      <c r="AA16858"/>
    </row>
    <row r="16859" spans="27:27" ht="17.899999999999999" customHeight="1">
      <c r="AA16859"/>
    </row>
    <row r="16860" spans="27:27" ht="17.899999999999999" customHeight="1">
      <c r="AA16860"/>
    </row>
    <row r="16861" spans="27:27" ht="17.899999999999999" customHeight="1">
      <c r="AA16861"/>
    </row>
    <row r="16862" spans="27:27" ht="17.899999999999999" customHeight="1">
      <c r="AA16862"/>
    </row>
    <row r="16863" spans="27:27" ht="17.899999999999999" customHeight="1">
      <c r="AA16863"/>
    </row>
    <row r="16864" spans="27:27" ht="17.899999999999999" customHeight="1">
      <c r="AA16864"/>
    </row>
    <row r="16865" spans="27:27" ht="17.899999999999999" customHeight="1">
      <c r="AA16865"/>
    </row>
    <row r="16866" spans="27:27" ht="17.899999999999999" customHeight="1">
      <c r="AA16866"/>
    </row>
    <row r="16867" spans="27:27" ht="17.899999999999999" customHeight="1">
      <c r="AA16867"/>
    </row>
    <row r="16868" spans="27:27" ht="17.899999999999999" customHeight="1">
      <c r="AA16868"/>
    </row>
    <row r="16869" spans="27:27" ht="17.899999999999999" customHeight="1">
      <c r="AA16869"/>
    </row>
    <row r="16870" spans="27:27" ht="17.899999999999999" customHeight="1">
      <c r="AA16870"/>
    </row>
    <row r="16871" spans="27:27" ht="17.899999999999999" customHeight="1">
      <c r="AA16871"/>
    </row>
    <row r="16872" spans="27:27" ht="17.899999999999999" customHeight="1">
      <c r="AA16872"/>
    </row>
    <row r="16873" spans="27:27" ht="17.899999999999999" customHeight="1">
      <c r="AA16873"/>
    </row>
    <row r="16874" spans="27:27" ht="17.899999999999999" customHeight="1">
      <c r="AA16874"/>
    </row>
    <row r="16875" spans="27:27" ht="17.899999999999999" customHeight="1">
      <c r="AA16875"/>
    </row>
    <row r="16876" spans="27:27" ht="17.899999999999999" customHeight="1">
      <c r="AA16876"/>
    </row>
    <row r="16877" spans="27:27" ht="17.899999999999999" customHeight="1">
      <c r="AA16877"/>
    </row>
    <row r="16878" spans="27:27" ht="17.899999999999999" customHeight="1">
      <c r="AA16878"/>
    </row>
    <row r="16879" spans="27:27" ht="17.899999999999999" customHeight="1">
      <c r="AA16879"/>
    </row>
    <row r="16880" spans="27:27" ht="17.899999999999999" customHeight="1">
      <c r="AA16880"/>
    </row>
    <row r="16881" spans="27:27" ht="17.899999999999999" customHeight="1">
      <c r="AA16881"/>
    </row>
    <row r="16882" spans="27:27" ht="17.899999999999999" customHeight="1">
      <c r="AA16882"/>
    </row>
    <row r="16883" spans="27:27" ht="17.899999999999999" customHeight="1">
      <c r="AA16883"/>
    </row>
    <row r="16884" spans="27:27" ht="17.899999999999999" customHeight="1">
      <c r="AA16884"/>
    </row>
    <row r="16885" spans="27:27" ht="17.899999999999999" customHeight="1">
      <c r="AA16885"/>
    </row>
    <row r="16886" spans="27:27" ht="17.899999999999999" customHeight="1">
      <c r="AA16886"/>
    </row>
    <row r="16887" spans="27:27" ht="17.899999999999999" customHeight="1">
      <c r="AA16887"/>
    </row>
    <row r="16888" spans="27:27" ht="17.899999999999999" customHeight="1">
      <c r="AA16888"/>
    </row>
    <row r="16889" spans="27:27" ht="17.899999999999999" customHeight="1">
      <c r="AA16889"/>
    </row>
    <row r="16890" spans="27:27" ht="17.899999999999999" customHeight="1">
      <c r="AA16890"/>
    </row>
    <row r="16891" spans="27:27" ht="17.899999999999999" customHeight="1">
      <c r="AA16891"/>
    </row>
    <row r="16892" spans="27:27" ht="17.899999999999999" customHeight="1">
      <c r="AA16892"/>
    </row>
    <row r="16893" spans="27:27" ht="17.899999999999999" customHeight="1">
      <c r="AA16893"/>
    </row>
    <row r="16894" spans="27:27" ht="17.899999999999999" customHeight="1">
      <c r="AA16894"/>
    </row>
    <row r="16895" spans="27:27" ht="17.899999999999999" customHeight="1">
      <c r="AA16895"/>
    </row>
    <row r="16896" spans="27:27" ht="17.899999999999999" customHeight="1">
      <c r="AA16896"/>
    </row>
    <row r="16897" spans="27:27" ht="17.899999999999999" customHeight="1">
      <c r="AA16897"/>
    </row>
    <row r="16898" spans="27:27" ht="17.899999999999999" customHeight="1">
      <c r="AA16898"/>
    </row>
    <row r="16899" spans="27:27" ht="17.899999999999999" customHeight="1">
      <c r="AA16899"/>
    </row>
    <row r="16900" spans="27:27" ht="17.899999999999999" customHeight="1">
      <c r="AA16900"/>
    </row>
    <row r="16901" spans="27:27" ht="17.899999999999999" customHeight="1">
      <c r="AA16901"/>
    </row>
    <row r="16902" spans="27:27" ht="17.899999999999999" customHeight="1">
      <c r="AA16902"/>
    </row>
    <row r="16903" spans="27:27" ht="17.899999999999999" customHeight="1">
      <c r="AA16903"/>
    </row>
    <row r="16904" spans="27:27" ht="17.899999999999999" customHeight="1">
      <c r="AA16904"/>
    </row>
    <row r="16905" spans="27:27" ht="17.899999999999999" customHeight="1">
      <c r="AA16905"/>
    </row>
    <row r="16906" spans="27:27" ht="17.899999999999999" customHeight="1">
      <c r="AA16906"/>
    </row>
    <row r="16907" spans="27:27" ht="17.899999999999999" customHeight="1">
      <c r="AA16907"/>
    </row>
    <row r="16908" spans="27:27" ht="17.899999999999999" customHeight="1">
      <c r="AA16908"/>
    </row>
    <row r="16909" spans="27:27" ht="17.899999999999999" customHeight="1">
      <c r="AA16909"/>
    </row>
    <row r="16910" spans="27:27" ht="17.899999999999999" customHeight="1">
      <c r="AA16910"/>
    </row>
    <row r="16911" spans="27:27" ht="17.899999999999999" customHeight="1">
      <c r="AA16911"/>
    </row>
    <row r="16912" spans="27:27" ht="17.899999999999999" customHeight="1">
      <c r="AA16912"/>
    </row>
    <row r="16913" spans="27:27" ht="17.899999999999999" customHeight="1">
      <c r="AA16913"/>
    </row>
    <row r="16914" spans="27:27" ht="17.899999999999999" customHeight="1">
      <c r="AA16914"/>
    </row>
    <row r="16915" spans="27:27" ht="17.899999999999999" customHeight="1">
      <c r="AA16915"/>
    </row>
    <row r="16916" spans="27:27" ht="17.899999999999999" customHeight="1">
      <c r="AA16916"/>
    </row>
    <row r="16917" spans="27:27" ht="17.899999999999999" customHeight="1">
      <c r="AA16917"/>
    </row>
    <row r="16918" spans="27:27" ht="17.899999999999999" customHeight="1">
      <c r="AA16918"/>
    </row>
    <row r="16919" spans="27:27" ht="17.899999999999999" customHeight="1">
      <c r="AA16919"/>
    </row>
    <row r="16920" spans="27:27" ht="17.899999999999999" customHeight="1">
      <c r="AA16920"/>
    </row>
    <row r="16921" spans="27:27" ht="17.899999999999999" customHeight="1">
      <c r="AA16921"/>
    </row>
    <row r="16922" spans="27:27" ht="17.899999999999999" customHeight="1">
      <c r="AA16922"/>
    </row>
    <row r="16923" spans="27:27" ht="17.899999999999999" customHeight="1">
      <c r="AA16923"/>
    </row>
    <row r="16924" spans="27:27" ht="17.899999999999999" customHeight="1">
      <c r="AA16924"/>
    </row>
    <row r="16925" spans="27:27" ht="17.899999999999999" customHeight="1">
      <c r="AA16925"/>
    </row>
    <row r="16926" spans="27:27" ht="17.899999999999999" customHeight="1">
      <c r="AA16926"/>
    </row>
    <row r="16927" spans="27:27" ht="17.899999999999999" customHeight="1">
      <c r="AA16927"/>
    </row>
    <row r="16928" spans="27:27" ht="17.899999999999999" customHeight="1">
      <c r="AA16928"/>
    </row>
    <row r="16929" spans="27:27" ht="17.899999999999999" customHeight="1">
      <c r="AA16929"/>
    </row>
    <row r="16930" spans="27:27" ht="17.899999999999999" customHeight="1">
      <c r="AA16930"/>
    </row>
    <row r="16931" spans="27:27" ht="17.899999999999999" customHeight="1">
      <c r="AA16931"/>
    </row>
    <row r="16932" spans="27:27" ht="17.899999999999999" customHeight="1">
      <c r="AA16932"/>
    </row>
    <row r="16933" spans="27:27" ht="17.899999999999999" customHeight="1">
      <c r="AA16933"/>
    </row>
    <row r="16934" spans="27:27" ht="17.899999999999999" customHeight="1">
      <c r="AA16934"/>
    </row>
    <row r="16935" spans="27:27" ht="17.899999999999999" customHeight="1">
      <c r="AA16935"/>
    </row>
    <row r="16936" spans="27:27" ht="17.899999999999999" customHeight="1">
      <c r="AA16936"/>
    </row>
    <row r="16937" spans="27:27" ht="17.899999999999999" customHeight="1">
      <c r="AA16937"/>
    </row>
    <row r="16938" spans="27:27" ht="17.899999999999999" customHeight="1">
      <c r="AA16938"/>
    </row>
    <row r="16939" spans="27:27" ht="17.899999999999999" customHeight="1">
      <c r="AA16939"/>
    </row>
    <row r="16940" spans="27:27" ht="17.899999999999999" customHeight="1">
      <c r="AA16940"/>
    </row>
    <row r="16941" spans="27:27" ht="17.899999999999999" customHeight="1">
      <c r="AA16941"/>
    </row>
    <row r="16942" spans="27:27" ht="17.899999999999999" customHeight="1">
      <c r="AA16942"/>
    </row>
    <row r="16943" spans="27:27" ht="17.899999999999999" customHeight="1">
      <c r="AA16943"/>
    </row>
    <row r="16944" spans="27:27" ht="17.899999999999999" customHeight="1">
      <c r="AA16944"/>
    </row>
    <row r="16945" spans="27:27" ht="17.899999999999999" customHeight="1">
      <c r="AA16945"/>
    </row>
    <row r="16946" spans="27:27" ht="17.899999999999999" customHeight="1">
      <c r="AA16946"/>
    </row>
    <row r="16947" spans="27:27" ht="17.899999999999999" customHeight="1">
      <c r="AA16947"/>
    </row>
    <row r="16948" spans="27:27" ht="17.899999999999999" customHeight="1">
      <c r="AA16948"/>
    </row>
    <row r="16949" spans="27:27" ht="17.899999999999999" customHeight="1">
      <c r="AA16949"/>
    </row>
    <row r="16950" spans="27:27" ht="17.899999999999999" customHeight="1">
      <c r="AA16950"/>
    </row>
    <row r="16951" spans="27:27" ht="17.899999999999999" customHeight="1">
      <c r="AA16951"/>
    </row>
    <row r="16952" spans="27:27" ht="17.899999999999999" customHeight="1">
      <c r="AA16952"/>
    </row>
    <row r="16953" spans="27:27" ht="17.899999999999999" customHeight="1">
      <c r="AA16953"/>
    </row>
    <row r="16954" spans="27:27" ht="17.899999999999999" customHeight="1">
      <c r="AA16954"/>
    </row>
    <row r="16955" spans="27:27" ht="17.899999999999999" customHeight="1">
      <c r="AA16955"/>
    </row>
    <row r="16956" spans="27:27" ht="17.899999999999999" customHeight="1">
      <c r="AA16956"/>
    </row>
    <row r="16957" spans="27:27" ht="17.899999999999999" customHeight="1">
      <c r="AA16957"/>
    </row>
    <row r="16958" spans="27:27" ht="17.899999999999999" customHeight="1">
      <c r="AA16958"/>
    </row>
    <row r="16959" spans="27:27" ht="17.899999999999999" customHeight="1">
      <c r="AA16959"/>
    </row>
    <row r="16960" spans="27:27" ht="17.899999999999999" customHeight="1">
      <c r="AA16960"/>
    </row>
    <row r="16961" spans="27:27" ht="17.899999999999999" customHeight="1">
      <c r="AA16961"/>
    </row>
    <row r="16962" spans="27:27" ht="17.899999999999999" customHeight="1">
      <c r="AA16962"/>
    </row>
    <row r="16963" spans="27:27" ht="17.899999999999999" customHeight="1">
      <c r="AA16963"/>
    </row>
    <row r="16964" spans="27:27" ht="17.899999999999999" customHeight="1">
      <c r="AA16964"/>
    </row>
    <row r="16965" spans="27:27" ht="17.899999999999999" customHeight="1">
      <c r="AA16965"/>
    </row>
    <row r="16966" spans="27:27" ht="17.899999999999999" customHeight="1">
      <c r="AA16966"/>
    </row>
    <row r="16967" spans="27:27" ht="17.899999999999999" customHeight="1">
      <c r="AA16967"/>
    </row>
    <row r="16968" spans="27:27" ht="17.899999999999999" customHeight="1">
      <c r="AA16968"/>
    </row>
    <row r="16969" spans="27:27" ht="17.899999999999999" customHeight="1">
      <c r="AA16969"/>
    </row>
    <row r="16970" spans="27:27" ht="17.899999999999999" customHeight="1">
      <c r="AA16970"/>
    </row>
    <row r="16971" spans="27:27" ht="17.899999999999999" customHeight="1">
      <c r="AA16971"/>
    </row>
    <row r="16972" spans="27:27" ht="17.899999999999999" customHeight="1">
      <c r="AA16972"/>
    </row>
    <row r="16973" spans="27:27" ht="17.899999999999999" customHeight="1">
      <c r="AA16973"/>
    </row>
    <row r="16974" spans="27:27" ht="17.899999999999999" customHeight="1">
      <c r="AA16974"/>
    </row>
    <row r="16975" spans="27:27" ht="17.899999999999999" customHeight="1">
      <c r="AA16975"/>
    </row>
    <row r="16976" spans="27:27" ht="17.899999999999999" customHeight="1">
      <c r="AA16976"/>
    </row>
    <row r="16977" spans="27:27" ht="17.899999999999999" customHeight="1">
      <c r="AA16977"/>
    </row>
    <row r="16978" spans="27:27" ht="17.899999999999999" customHeight="1">
      <c r="AA16978"/>
    </row>
    <row r="16979" spans="27:27" ht="17.899999999999999" customHeight="1">
      <c r="AA16979"/>
    </row>
    <row r="16980" spans="27:27" ht="17.899999999999999" customHeight="1">
      <c r="AA16980"/>
    </row>
    <row r="16981" spans="27:27" ht="17.899999999999999" customHeight="1">
      <c r="AA16981"/>
    </row>
    <row r="16982" spans="27:27" ht="17.899999999999999" customHeight="1">
      <c r="AA16982"/>
    </row>
    <row r="16983" spans="27:27" ht="17.899999999999999" customHeight="1">
      <c r="AA16983"/>
    </row>
    <row r="16984" spans="27:27" ht="17.899999999999999" customHeight="1">
      <c r="AA16984"/>
    </row>
    <row r="16985" spans="27:27" ht="17.899999999999999" customHeight="1">
      <c r="AA16985"/>
    </row>
    <row r="16986" spans="27:27" ht="17.899999999999999" customHeight="1">
      <c r="AA16986"/>
    </row>
    <row r="16987" spans="27:27" ht="17.899999999999999" customHeight="1">
      <c r="AA16987"/>
    </row>
    <row r="16988" spans="27:27" ht="17.899999999999999" customHeight="1">
      <c r="AA16988"/>
    </row>
    <row r="16989" spans="27:27" ht="17.899999999999999" customHeight="1">
      <c r="AA16989"/>
    </row>
    <row r="16990" spans="27:27" ht="17.899999999999999" customHeight="1">
      <c r="AA16990"/>
    </row>
    <row r="16991" spans="27:27" ht="17.899999999999999" customHeight="1">
      <c r="AA16991"/>
    </row>
    <row r="16992" spans="27:27" ht="17.899999999999999" customHeight="1">
      <c r="AA16992"/>
    </row>
    <row r="16993" spans="27:27" ht="17.899999999999999" customHeight="1">
      <c r="AA16993"/>
    </row>
    <row r="16994" spans="27:27" ht="17.899999999999999" customHeight="1">
      <c r="AA16994"/>
    </row>
    <row r="16995" spans="27:27" ht="17.899999999999999" customHeight="1">
      <c r="AA16995"/>
    </row>
    <row r="16996" spans="27:27" ht="17.899999999999999" customHeight="1">
      <c r="AA16996"/>
    </row>
    <row r="16997" spans="27:27" ht="17.899999999999999" customHeight="1">
      <c r="AA16997"/>
    </row>
    <row r="16998" spans="27:27" ht="17.899999999999999" customHeight="1">
      <c r="AA16998"/>
    </row>
    <row r="16999" spans="27:27" ht="17.899999999999999" customHeight="1">
      <c r="AA16999"/>
    </row>
    <row r="17000" spans="27:27" ht="17.899999999999999" customHeight="1">
      <c r="AA17000"/>
    </row>
    <row r="17001" spans="27:27" ht="17.899999999999999" customHeight="1">
      <c r="AA17001"/>
    </row>
    <row r="17002" spans="27:27" ht="17.899999999999999" customHeight="1">
      <c r="AA17002"/>
    </row>
    <row r="17003" spans="27:27" ht="17.899999999999999" customHeight="1">
      <c r="AA17003"/>
    </row>
    <row r="17004" spans="27:27" ht="17.899999999999999" customHeight="1">
      <c r="AA17004"/>
    </row>
    <row r="17005" spans="27:27" ht="17.899999999999999" customHeight="1">
      <c r="AA17005"/>
    </row>
    <row r="17006" spans="27:27" ht="17.899999999999999" customHeight="1">
      <c r="AA17006"/>
    </row>
    <row r="17007" spans="27:27" ht="17.899999999999999" customHeight="1">
      <c r="AA17007"/>
    </row>
    <row r="17008" spans="27:27" ht="17.899999999999999" customHeight="1">
      <c r="AA17008"/>
    </row>
    <row r="17009" spans="27:27" ht="17.899999999999999" customHeight="1">
      <c r="AA17009"/>
    </row>
    <row r="17010" spans="27:27" ht="17.899999999999999" customHeight="1">
      <c r="AA17010"/>
    </row>
    <row r="17011" spans="27:27" ht="17.899999999999999" customHeight="1">
      <c r="AA17011"/>
    </row>
    <row r="17012" spans="27:27" ht="17.899999999999999" customHeight="1">
      <c r="AA17012"/>
    </row>
    <row r="17013" spans="27:27" ht="17.899999999999999" customHeight="1">
      <c r="AA17013"/>
    </row>
    <row r="17014" spans="27:27" ht="17.899999999999999" customHeight="1">
      <c r="AA17014"/>
    </row>
    <row r="17015" spans="27:27" ht="17.899999999999999" customHeight="1">
      <c r="AA17015"/>
    </row>
    <row r="17016" spans="27:27" ht="17.899999999999999" customHeight="1">
      <c r="AA17016"/>
    </row>
    <row r="17017" spans="27:27" ht="17.899999999999999" customHeight="1">
      <c r="AA17017"/>
    </row>
    <row r="17018" spans="27:27" ht="17.899999999999999" customHeight="1">
      <c r="AA17018"/>
    </row>
    <row r="17019" spans="27:27" ht="17.899999999999999" customHeight="1">
      <c r="AA17019"/>
    </row>
    <row r="17020" spans="27:27" ht="17.899999999999999" customHeight="1">
      <c r="AA17020"/>
    </row>
    <row r="17021" spans="27:27" ht="17.899999999999999" customHeight="1">
      <c r="AA17021"/>
    </row>
    <row r="17022" spans="27:27" ht="17.899999999999999" customHeight="1">
      <c r="AA17022"/>
    </row>
    <row r="17023" spans="27:27" ht="17.899999999999999" customHeight="1">
      <c r="AA17023"/>
    </row>
    <row r="17024" spans="27:27" ht="17.899999999999999" customHeight="1">
      <c r="AA17024"/>
    </row>
    <row r="17025" spans="27:27" ht="17.899999999999999" customHeight="1">
      <c r="AA17025"/>
    </row>
    <row r="17026" spans="27:27" ht="17.899999999999999" customHeight="1">
      <c r="AA17026"/>
    </row>
    <row r="17027" spans="27:27" ht="17.899999999999999" customHeight="1">
      <c r="AA17027"/>
    </row>
    <row r="17028" spans="27:27" ht="17.899999999999999" customHeight="1">
      <c r="AA17028"/>
    </row>
    <row r="17029" spans="27:27" ht="17.899999999999999" customHeight="1">
      <c r="AA17029"/>
    </row>
    <row r="17030" spans="27:27" ht="17.899999999999999" customHeight="1">
      <c r="AA17030"/>
    </row>
    <row r="17031" spans="27:27" ht="17.899999999999999" customHeight="1">
      <c r="AA17031"/>
    </row>
    <row r="17032" spans="27:27" ht="17.899999999999999" customHeight="1">
      <c r="AA17032"/>
    </row>
    <row r="17033" spans="27:27" ht="17.899999999999999" customHeight="1">
      <c r="AA17033"/>
    </row>
    <row r="17034" spans="27:27" ht="17.899999999999999" customHeight="1">
      <c r="AA17034"/>
    </row>
    <row r="17035" spans="27:27" ht="17.899999999999999" customHeight="1">
      <c r="AA17035"/>
    </row>
    <row r="17036" spans="27:27" ht="17.899999999999999" customHeight="1">
      <c r="AA17036"/>
    </row>
    <row r="17037" spans="27:27" ht="17.899999999999999" customHeight="1">
      <c r="AA17037"/>
    </row>
    <row r="17038" spans="27:27" ht="17.899999999999999" customHeight="1">
      <c r="AA17038"/>
    </row>
    <row r="17039" spans="27:27" ht="17.899999999999999" customHeight="1">
      <c r="AA17039"/>
    </row>
    <row r="17040" spans="27:27" ht="17.899999999999999" customHeight="1">
      <c r="AA17040"/>
    </row>
    <row r="17041" spans="27:27" ht="17.899999999999999" customHeight="1">
      <c r="AA17041"/>
    </row>
    <row r="17042" spans="27:27" ht="17.899999999999999" customHeight="1">
      <c r="AA17042"/>
    </row>
    <row r="17043" spans="27:27" ht="17.899999999999999" customHeight="1">
      <c r="AA17043"/>
    </row>
    <row r="17044" spans="27:27" ht="17.899999999999999" customHeight="1">
      <c r="AA17044"/>
    </row>
    <row r="17045" spans="27:27" ht="17.899999999999999" customHeight="1">
      <c r="AA17045"/>
    </row>
    <row r="17046" spans="27:27" ht="17.899999999999999" customHeight="1">
      <c r="AA17046"/>
    </row>
    <row r="17047" spans="27:27" ht="17.899999999999999" customHeight="1">
      <c r="AA17047"/>
    </row>
    <row r="17048" spans="27:27" ht="17.899999999999999" customHeight="1">
      <c r="AA17048"/>
    </row>
    <row r="17049" spans="27:27" ht="17.899999999999999" customHeight="1">
      <c r="AA17049"/>
    </row>
    <row r="17050" spans="27:27" ht="17.899999999999999" customHeight="1">
      <c r="AA17050"/>
    </row>
    <row r="17051" spans="27:27" ht="17.899999999999999" customHeight="1">
      <c r="AA17051"/>
    </row>
    <row r="17052" spans="27:27" ht="17.899999999999999" customHeight="1">
      <c r="AA17052"/>
    </row>
    <row r="17053" spans="27:27" ht="17.899999999999999" customHeight="1">
      <c r="AA17053"/>
    </row>
    <row r="17054" spans="27:27" ht="17.899999999999999" customHeight="1">
      <c r="AA17054"/>
    </row>
    <row r="17055" spans="27:27" ht="17.899999999999999" customHeight="1">
      <c r="AA17055"/>
    </row>
    <row r="17056" spans="27:27" ht="17.899999999999999" customHeight="1">
      <c r="AA17056"/>
    </row>
    <row r="17057" spans="27:27" ht="17.899999999999999" customHeight="1">
      <c r="AA17057"/>
    </row>
    <row r="17058" spans="27:27" ht="17.899999999999999" customHeight="1">
      <c r="AA17058"/>
    </row>
    <row r="17059" spans="27:27" ht="17.899999999999999" customHeight="1">
      <c r="AA17059"/>
    </row>
    <row r="17060" spans="27:27" ht="17.899999999999999" customHeight="1">
      <c r="AA17060"/>
    </row>
    <row r="17061" spans="27:27" ht="17.899999999999999" customHeight="1">
      <c r="AA17061"/>
    </row>
    <row r="17062" spans="27:27" ht="17.899999999999999" customHeight="1">
      <c r="AA17062"/>
    </row>
    <row r="17063" spans="27:27" ht="17.899999999999999" customHeight="1">
      <c r="AA17063"/>
    </row>
    <row r="17064" spans="27:27" ht="17.899999999999999" customHeight="1">
      <c r="AA17064"/>
    </row>
    <row r="17065" spans="27:27" ht="17.899999999999999" customHeight="1">
      <c r="AA17065"/>
    </row>
    <row r="17066" spans="27:27" ht="17.899999999999999" customHeight="1">
      <c r="AA17066"/>
    </row>
    <row r="17067" spans="27:27" ht="17.899999999999999" customHeight="1">
      <c r="AA17067"/>
    </row>
    <row r="17068" spans="27:27" ht="17.899999999999999" customHeight="1">
      <c r="AA17068"/>
    </row>
    <row r="17069" spans="27:27" ht="17.899999999999999" customHeight="1">
      <c r="AA17069"/>
    </row>
    <row r="17070" spans="27:27" ht="17.899999999999999" customHeight="1">
      <c r="AA17070"/>
    </row>
    <row r="17071" spans="27:27" ht="17.899999999999999" customHeight="1">
      <c r="AA17071"/>
    </row>
    <row r="17072" spans="27:27" ht="17.899999999999999" customHeight="1">
      <c r="AA17072"/>
    </row>
    <row r="17073" spans="27:27" ht="17.899999999999999" customHeight="1">
      <c r="AA17073"/>
    </row>
    <row r="17074" spans="27:27" ht="17.899999999999999" customHeight="1">
      <c r="AA17074"/>
    </row>
    <row r="17075" spans="27:27" ht="17.899999999999999" customHeight="1">
      <c r="AA17075"/>
    </row>
    <row r="17076" spans="27:27" ht="17.899999999999999" customHeight="1">
      <c r="AA17076"/>
    </row>
    <row r="17077" spans="27:27" ht="17.899999999999999" customHeight="1">
      <c r="AA17077"/>
    </row>
    <row r="17078" spans="27:27" ht="17.899999999999999" customHeight="1">
      <c r="AA17078"/>
    </row>
    <row r="17079" spans="27:27" ht="17.899999999999999" customHeight="1">
      <c r="AA17079"/>
    </row>
    <row r="17080" spans="27:27" ht="17.899999999999999" customHeight="1">
      <c r="AA17080"/>
    </row>
    <row r="17081" spans="27:27" ht="17.899999999999999" customHeight="1">
      <c r="AA17081"/>
    </row>
    <row r="17082" spans="27:27" ht="17.899999999999999" customHeight="1">
      <c r="AA17082"/>
    </row>
    <row r="17083" spans="27:27" ht="17.899999999999999" customHeight="1">
      <c r="AA17083"/>
    </row>
    <row r="17084" spans="27:27" ht="17.899999999999999" customHeight="1">
      <c r="AA17084"/>
    </row>
    <row r="17085" spans="27:27" ht="17.899999999999999" customHeight="1">
      <c r="AA17085"/>
    </row>
    <row r="17086" spans="27:27" ht="17.899999999999999" customHeight="1">
      <c r="AA17086"/>
    </row>
    <row r="17087" spans="27:27" ht="17.899999999999999" customHeight="1">
      <c r="AA17087"/>
    </row>
    <row r="17088" spans="27:27" ht="17.899999999999999" customHeight="1">
      <c r="AA17088"/>
    </row>
    <row r="17089" spans="27:27" ht="17.899999999999999" customHeight="1">
      <c r="AA17089"/>
    </row>
    <row r="17090" spans="27:27" ht="17.899999999999999" customHeight="1">
      <c r="AA17090"/>
    </row>
    <row r="17091" spans="27:27" ht="17.899999999999999" customHeight="1">
      <c r="AA17091"/>
    </row>
    <row r="17092" spans="27:27" ht="17.899999999999999" customHeight="1">
      <c r="AA17092"/>
    </row>
    <row r="17093" spans="27:27" ht="17.899999999999999" customHeight="1">
      <c r="AA17093"/>
    </row>
    <row r="17094" spans="27:27" ht="17.899999999999999" customHeight="1">
      <c r="AA17094"/>
    </row>
    <row r="17095" spans="27:27" ht="17.899999999999999" customHeight="1">
      <c r="AA17095"/>
    </row>
    <row r="17096" spans="27:27" ht="17.899999999999999" customHeight="1">
      <c r="AA17096"/>
    </row>
    <row r="17097" spans="27:27" ht="17.899999999999999" customHeight="1">
      <c r="AA17097"/>
    </row>
    <row r="17098" spans="27:27" ht="17.899999999999999" customHeight="1">
      <c r="AA17098"/>
    </row>
    <row r="17099" spans="27:27" ht="17.899999999999999" customHeight="1">
      <c r="AA17099"/>
    </row>
    <row r="17100" spans="27:27" ht="17.899999999999999" customHeight="1">
      <c r="AA17100"/>
    </row>
    <row r="17101" spans="27:27" ht="17.899999999999999" customHeight="1">
      <c r="AA17101"/>
    </row>
    <row r="17102" spans="27:27" ht="17.899999999999999" customHeight="1">
      <c r="AA17102"/>
    </row>
    <row r="17103" spans="27:27" ht="17.899999999999999" customHeight="1">
      <c r="AA17103"/>
    </row>
    <row r="17104" spans="27:27" ht="17.899999999999999" customHeight="1">
      <c r="AA17104"/>
    </row>
    <row r="17105" spans="27:27" ht="17.899999999999999" customHeight="1">
      <c r="AA17105"/>
    </row>
    <row r="17106" spans="27:27" ht="17.899999999999999" customHeight="1">
      <c r="AA17106"/>
    </row>
    <row r="17107" spans="27:27" ht="17.899999999999999" customHeight="1">
      <c r="AA17107"/>
    </row>
    <row r="17108" spans="27:27" ht="17.899999999999999" customHeight="1">
      <c r="AA17108"/>
    </row>
    <row r="17109" spans="27:27" ht="17.899999999999999" customHeight="1">
      <c r="AA17109"/>
    </row>
    <row r="17110" spans="27:27" ht="17.899999999999999" customHeight="1">
      <c r="AA17110"/>
    </row>
    <row r="17111" spans="27:27" ht="17.899999999999999" customHeight="1">
      <c r="AA17111"/>
    </row>
    <row r="17112" spans="27:27" ht="17.899999999999999" customHeight="1">
      <c r="AA17112"/>
    </row>
    <row r="17113" spans="27:27" ht="17.899999999999999" customHeight="1">
      <c r="AA17113"/>
    </row>
    <row r="17114" spans="27:27" ht="17.899999999999999" customHeight="1">
      <c r="AA17114"/>
    </row>
    <row r="17115" spans="27:27" ht="17.899999999999999" customHeight="1">
      <c r="AA17115"/>
    </row>
    <row r="17116" spans="27:27" ht="17.899999999999999" customHeight="1">
      <c r="AA17116"/>
    </row>
    <row r="17117" spans="27:27" ht="17.899999999999999" customHeight="1">
      <c r="AA17117"/>
    </row>
    <row r="17118" spans="27:27" ht="17.899999999999999" customHeight="1">
      <c r="AA17118"/>
    </row>
    <row r="17119" spans="27:27" ht="17.899999999999999" customHeight="1">
      <c r="AA17119"/>
    </row>
    <row r="17120" spans="27:27" ht="17.899999999999999" customHeight="1">
      <c r="AA17120"/>
    </row>
    <row r="17121" spans="27:27" ht="17.899999999999999" customHeight="1">
      <c r="AA17121"/>
    </row>
    <row r="17122" spans="27:27" ht="17.899999999999999" customHeight="1">
      <c r="AA17122"/>
    </row>
    <row r="17123" spans="27:27" ht="17.899999999999999" customHeight="1">
      <c r="AA17123"/>
    </row>
    <row r="17124" spans="27:27" ht="17.899999999999999" customHeight="1">
      <c r="AA17124"/>
    </row>
    <row r="17125" spans="27:27" ht="17.899999999999999" customHeight="1">
      <c r="AA17125"/>
    </row>
    <row r="17126" spans="27:27" ht="17.899999999999999" customHeight="1">
      <c r="AA17126"/>
    </row>
    <row r="17127" spans="27:27" ht="17.899999999999999" customHeight="1">
      <c r="AA17127"/>
    </row>
    <row r="17128" spans="27:27" ht="17.899999999999999" customHeight="1">
      <c r="AA17128"/>
    </row>
    <row r="17129" spans="27:27" ht="17.899999999999999" customHeight="1">
      <c r="AA17129"/>
    </row>
    <row r="17130" spans="27:27" ht="17.899999999999999" customHeight="1">
      <c r="AA17130"/>
    </row>
    <row r="17131" spans="27:27" ht="17.899999999999999" customHeight="1">
      <c r="AA17131"/>
    </row>
    <row r="17132" spans="27:27" ht="17.899999999999999" customHeight="1">
      <c r="AA17132"/>
    </row>
    <row r="17133" spans="27:27" ht="17.899999999999999" customHeight="1">
      <c r="AA17133"/>
    </row>
    <row r="17134" spans="27:27" ht="17.899999999999999" customHeight="1">
      <c r="AA17134"/>
    </row>
    <row r="17135" spans="27:27" ht="17.899999999999999" customHeight="1">
      <c r="AA17135"/>
    </row>
    <row r="17136" spans="27:27" ht="17.899999999999999" customHeight="1">
      <c r="AA17136"/>
    </row>
    <row r="17137" spans="27:27" ht="17.899999999999999" customHeight="1">
      <c r="AA17137"/>
    </row>
    <row r="17138" spans="27:27" ht="17.899999999999999" customHeight="1">
      <c r="AA17138"/>
    </row>
    <row r="17139" spans="27:27" ht="17.899999999999999" customHeight="1">
      <c r="AA17139"/>
    </row>
    <row r="17140" spans="27:27" ht="17.899999999999999" customHeight="1">
      <c r="AA17140"/>
    </row>
    <row r="17141" spans="27:27" ht="17.899999999999999" customHeight="1">
      <c r="AA17141"/>
    </row>
    <row r="17142" spans="27:27" ht="17.899999999999999" customHeight="1">
      <c r="AA17142"/>
    </row>
    <row r="17143" spans="27:27" ht="17.899999999999999" customHeight="1">
      <c r="AA17143"/>
    </row>
    <row r="17144" spans="27:27" ht="17.899999999999999" customHeight="1">
      <c r="AA17144"/>
    </row>
    <row r="17145" spans="27:27" ht="17.899999999999999" customHeight="1">
      <c r="AA17145"/>
    </row>
    <row r="17146" spans="27:27" ht="17.899999999999999" customHeight="1">
      <c r="AA17146"/>
    </row>
    <row r="17147" spans="27:27" ht="17.899999999999999" customHeight="1">
      <c r="AA17147"/>
    </row>
    <row r="17148" spans="27:27" ht="17.899999999999999" customHeight="1">
      <c r="AA17148"/>
    </row>
    <row r="17149" spans="27:27" ht="17.899999999999999" customHeight="1">
      <c r="AA17149"/>
    </row>
    <row r="17150" spans="27:27" ht="17.899999999999999" customHeight="1">
      <c r="AA17150"/>
    </row>
    <row r="17151" spans="27:27" ht="17.899999999999999" customHeight="1">
      <c r="AA17151"/>
    </row>
    <row r="17152" spans="27:27" ht="17.899999999999999" customHeight="1">
      <c r="AA17152"/>
    </row>
    <row r="17153" spans="27:27" ht="17.899999999999999" customHeight="1">
      <c r="AA17153"/>
    </row>
    <row r="17154" spans="27:27" ht="17.899999999999999" customHeight="1">
      <c r="AA17154"/>
    </row>
    <row r="17155" spans="27:27" ht="17.899999999999999" customHeight="1">
      <c r="AA17155"/>
    </row>
    <row r="17156" spans="27:27" ht="17.899999999999999" customHeight="1">
      <c r="AA17156"/>
    </row>
    <row r="17157" spans="27:27" ht="17.899999999999999" customHeight="1">
      <c r="AA17157"/>
    </row>
    <row r="17158" spans="27:27" ht="17.899999999999999" customHeight="1">
      <c r="AA17158"/>
    </row>
    <row r="17159" spans="27:27" ht="17.899999999999999" customHeight="1">
      <c r="AA17159"/>
    </row>
    <row r="17160" spans="27:27" ht="17.899999999999999" customHeight="1">
      <c r="AA17160"/>
    </row>
    <row r="17161" spans="27:27" ht="17.899999999999999" customHeight="1">
      <c r="AA17161"/>
    </row>
    <row r="17162" spans="27:27" ht="17.899999999999999" customHeight="1">
      <c r="AA17162"/>
    </row>
    <row r="17163" spans="27:27" ht="17.899999999999999" customHeight="1">
      <c r="AA17163"/>
    </row>
    <row r="17164" spans="27:27" ht="17.899999999999999" customHeight="1">
      <c r="AA17164"/>
    </row>
    <row r="17165" spans="27:27" ht="17.899999999999999" customHeight="1">
      <c r="AA17165"/>
    </row>
    <row r="17166" spans="27:27" ht="17.899999999999999" customHeight="1">
      <c r="AA17166"/>
    </row>
    <row r="17167" spans="27:27" ht="17.899999999999999" customHeight="1">
      <c r="AA17167"/>
    </row>
    <row r="17168" spans="27:27" ht="17.899999999999999" customHeight="1">
      <c r="AA17168"/>
    </row>
    <row r="17169" spans="27:27" ht="17.899999999999999" customHeight="1">
      <c r="AA17169"/>
    </row>
    <row r="17170" spans="27:27" ht="17.899999999999999" customHeight="1">
      <c r="AA17170"/>
    </row>
    <row r="17171" spans="27:27" ht="17.899999999999999" customHeight="1">
      <c r="AA17171"/>
    </row>
    <row r="17172" spans="27:27" ht="17.899999999999999" customHeight="1">
      <c r="AA17172"/>
    </row>
    <row r="17173" spans="27:27" ht="17.899999999999999" customHeight="1">
      <c r="AA17173"/>
    </row>
    <row r="17174" spans="27:27" ht="17.899999999999999" customHeight="1">
      <c r="AA17174"/>
    </row>
    <row r="17175" spans="27:27" ht="17.899999999999999" customHeight="1">
      <c r="AA17175"/>
    </row>
    <row r="17176" spans="27:27" ht="17.899999999999999" customHeight="1">
      <c r="AA17176"/>
    </row>
    <row r="17177" spans="27:27" ht="17.899999999999999" customHeight="1">
      <c r="AA17177"/>
    </row>
    <row r="17178" spans="27:27" ht="17.899999999999999" customHeight="1">
      <c r="AA17178"/>
    </row>
    <row r="17179" spans="27:27" ht="17.899999999999999" customHeight="1">
      <c r="AA17179"/>
    </row>
    <row r="17180" spans="27:27" ht="17.899999999999999" customHeight="1">
      <c r="AA17180"/>
    </row>
    <row r="17181" spans="27:27" ht="17.899999999999999" customHeight="1">
      <c r="AA17181"/>
    </row>
    <row r="17182" spans="27:27" ht="17.899999999999999" customHeight="1">
      <c r="AA17182"/>
    </row>
    <row r="17183" spans="27:27" ht="17.899999999999999" customHeight="1">
      <c r="AA17183"/>
    </row>
    <row r="17184" spans="27:27" ht="17.899999999999999" customHeight="1">
      <c r="AA17184"/>
    </row>
    <row r="17185" spans="27:27" ht="17.899999999999999" customHeight="1">
      <c r="AA17185"/>
    </row>
    <row r="17186" spans="27:27" ht="17.899999999999999" customHeight="1">
      <c r="AA17186"/>
    </row>
    <row r="17187" spans="27:27" ht="17.899999999999999" customHeight="1">
      <c r="AA17187"/>
    </row>
    <row r="17188" spans="27:27" ht="17.899999999999999" customHeight="1">
      <c r="AA17188"/>
    </row>
    <row r="17189" spans="27:27" ht="17.899999999999999" customHeight="1">
      <c r="AA17189"/>
    </row>
    <row r="17190" spans="27:27" ht="17.899999999999999" customHeight="1">
      <c r="AA17190"/>
    </row>
    <row r="17191" spans="27:27" ht="17.899999999999999" customHeight="1">
      <c r="AA17191"/>
    </row>
    <row r="17192" spans="27:27" ht="17.899999999999999" customHeight="1">
      <c r="AA17192"/>
    </row>
    <row r="17193" spans="27:27" ht="17.899999999999999" customHeight="1">
      <c r="AA17193"/>
    </row>
    <row r="17194" spans="27:27" ht="17.899999999999999" customHeight="1">
      <c r="AA17194"/>
    </row>
    <row r="17195" spans="27:27" ht="17.899999999999999" customHeight="1">
      <c r="AA17195"/>
    </row>
    <row r="17196" spans="27:27" ht="17.899999999999999" customHeight="1">
      <c r="AA17196"/>
    </row>
    <row r="17197" spans="27:27" ht="17.899999999999999" customHeight="1">
      <c r="AA17197"/>
    </row>
    <row r="17198" spans="27:27" ht="17.899999999999999" customHeight="1">
      <c r="AA17198"/>
    </row>
    <row r="17199" spans="27:27" ht="17.899999999999999" customHeight="1">
      <c r="AA17199"/>
    </row>
    <row r="17200" spans="27:27" ht="17.899999999999999" customHeight="1">
      <c r="AA17200"/>
    </row>
    <row r="17201" spans="27:27" ht="17.899999999999999" customHeight="1">
      <c r="AA17201"/>
    </row>
    <row r="17202" spans="27:27" ht="17.899999999999999" customHeight="1">
      <c r="AA17202"/>
    </row>
    <row r="17203" spans="27:27" ht="17.899999999999999" customHeight="1">
      <c r="AA17203"/>
    </row>
    <row r="17204" spans="27:27" ht="17.899999999999999" customHeight="1">
      <c r="AA17204"/>
    </row>
    <row r="17205" spans="27:27" ht="17.899999999999999" customHeight="1">
      <c r="AA17205"/>
    </row>
    <row r="17206" spans="27:27" ht="17.899999999999999" customHeight="1">
      <c r="AA17206"/>
    </row>
    <row r="17207" spans="27:27" ht="17.899999999999999" customHeight="1">
      <c r="AA17207"/>
    </row>
    <row r="17208" spans="27:27" ht="17.899999999999999" customHeight="1">
      <c r="AA17208"/>
    </row>
    <row r="17209" spans="27:27" ht="17.899999999999999" customHeight="1">
      <c r="AA17209"/>
    </row>
    <row r="17210" spans="27:27" ht="17.899999999999999" customHeight="1">
      <c r="AA17210"/>
    </row>
    <row r="17211" spans="27:27" ht="17.899999999999999" customHeight="1">
      <c r="AA17211"/>
    </row>
    <row r="17212" spans="27:27" ht="17.899999999999999" customHeight="1">
      <c r="AA17212"/>
    </row>
    <row r="17213" spans="27:27" ht="17.899999999999999" customHeight="1">
      <c r="AA17213"/>
    </row>
    <row r="17214" spans="27:27" ht="17.899999999999999" customHeight="1">
      <c r="AA17214"/>
    </row>
    <row r="17215" spans="27:27" ht="17.899999999999999" customHeight="1">
      <c r="AA17215"/>
    </row>
    <row r="17216" spans="27:27" ht="17.899999999999999" customHeight="1">
      <c r="AA17216"/>
    </row>
    <row r="17217" spans="27:27" ht="17.899999999999999" customHeight="1">
      <c r="AA17217"/>
    </row>
    <row r="17218" spans="27:27" ht="17.899999999999999" customHeight="1">
      <c r="AA17218"/>
    </row>
    <row r="17219" spans="27:27" ht="17.899999999999999" customHeight="1">
      <c r="AA17219"/>
    </row>
    <row r="17220" spans="27:27" ht="17.899999999999999" customHeight="1">
      <c r="AA17220"/>
    </row>
    <row r="17221" spans="27:27" ht="17.899999999999999" customHeight="1">
      <c r="AA17221"/>
    </row>
    <row r="17222" spans="27:27" ht="17.899999999999999" customHeight="1">
      <c r="AA17222"/>
    </row>
    <row r="17223" spans="27:27" ht="17.899999999999999" customHeight="1">
      <c r="AA17223"/>
    </row>
    <row r="17224" spans="27:27" ht="17.899999999999999" customHeight="1">
      <c r="AA17224"/>
    </row>
    <row r="17225" spans="27:27" ht="17.899999999999999" customHeight="1">
      <c r="AA17225"/>
    </row>
    <row r="17226" spans="27:27" ht="17.899999999999999" customHeight="1">
      <c r="AA17226"/>
    </row>
    <row r="17227" spans="27:27" ht="17.899999999999999" customHeight="1">
      <c r="AA17227"/>
    </row>
    <row r="17228" spans="27:27" ht="17.899999999999999" customHeight="1">
      <c r="AA17228"/>
    </row>
    <row r="17229" spans="27:27" ht="17.899999999999999" customHeight="1">
      <c r="AA17229"/>
    </row>
    <row r="17230" spans="27:27" ht="17.899999999999999" customHeight="1">
      <c r="AA17230"/>
    </row>
    <row r="17231" spans="27:27" ht="17.899999999999999" customHeight="1">
      <c r="AA17231"/>
    </row>
    <row r="17232" spans="27:27" ht="17.899999999999999" customHeight="1">
      <c r="AA17232"/>
    </row>
    <row r="17233" spans="27:27" ht="17.899999999999999" customHeight="1">
      <c r="AA17233"/>
    </row>
    <row r="17234" spans="27:27" ht="17.899999999999999" customHeight="1">
      <c r="AA17234"/>
    </row>
    <row r="17235" spans="27:27" ht="17.899999999999999" customHeight="1">
      <c r="AA17235"/>
    </row>
    <row r="17236" spans="27:27" ht="17.899999999999999" customHeight="1">
      <c r="AA17236"/>
    </row>
    <row r="17237" spans="27:27" ht="17.899999999999999" customHeight="1">
      <c r="AA17237"/>
    </row>
    <row r="17238" spans="27:27" ht="17.899999999999999" customHeight="1">
      <c r="AA17238"/>
    </row>
    <row r="17239" spans="27:27" ht="17.899999999999999" customHeight="1">
      <c r="AA17239"/>
    </row>
    <row r="17240" spans="27:27" ht="17.899999999999999" customHeight="1">
      <c r="AA17240"/>
    </row>
    <row r="17241" spans="27:27" ht="17.899999999999999" customHeight="1">
      <c r="AA17241"/>
    </row>
    <row r="17242" spans="27:27" ht="17.899999999999999" customHeight="1">
      <c r="AA17242"/>
    </row>
    <row r="17243" spans="27:27" ht="17.899999999999999" customHeight="1">
      <c r="AA17243"/>
    </row>
    <row r="17244" spans="27:27" ht="17.899999999999999" customHeight="1">
      <c r="AA17244"/>
    </row>
    <row r="17245" spans="27:27" ht="17.899999999999999" customHeight="1">
      <c r="AA17245"/>
    </row>
    <row r="17246" spans="27:27" ht="17.899999999999999" customHeight="1">
      <c r="AA17246"/>
    </row>
    <row r="17247" spans="27:27" ht="17.899999999999999" customHeight="1">
      <c r="AA17247"/>
    </row>
    <row r="17248" spans="27:27" ht="17.899999999999999" customHeight="1">
      <c r="AA17248"/>
    </row>
    <row r="17249" spans="27:27" ht="17.899999999999999" customHeight="1">
      <c r="AA17249"/>
    </row>
    <row r="17250" spans="27:27" ht="17.899999999999999" customHeight="1">
      <c r="AA17250"/>
    </row>
    <row r="17251" spans="27:27" ht="17.899999999999999" customHeight="1">
      <c r="AA17251"/>
    </row>
    <row r="17252" spans="27:27" ht="17.899999999999999" customHeight="1">
      <c r="AA17252"/>
    </row>
    <row r="17253" spans="27:27" ht="17.899999999999999" customHeight="1">
      <c r="AA17253"/>
    </row>
    <row r="17254" spans="27:27" ht="17.899999999999999" customHeight="1">
      <c r="AA17254"/>
    </row>
    <row r="17255" spans="27:27" ht="17.899999999999999" customHeight="1">
      <c r="AA17255"/>
    </row>
    <row r="17256" spans="27:27" ht="17.899999999999999" customHeight="1">
      <c r="AA17256"/>
    </row>
    <row r="17257" spans="27:27" ht="17.899999999999999" customHeight="1">
      <c r="AA17257"/>
    </row>
    <row r="17258" spans="27:27" ht="17.899999999999999" customHeight="1">
      <c r="AA17258"/>
    </row>
    <row r="17259" spans="27:27" ht="17.899999999999999" customHeight="1">
      <c r="AA17259"/>
    </row>
    <row r="17260" spans="27:27" ht="17.899999999999999" customHeight="1">
      <c r="AA17260"/>
    </row>
    <row r="17261" spans="27:27" ht="17.899999999999999" customHeight="1">
      <c r="AA17261"/>
    </row>
    <row r="17262" spans="27:27" ht="17.899999999999999" customHeight="1">
      <c r="AA17262"/>
    </row>
    <row r="17263" spans="27:27" ht="17.899999999999999" customHeight="1">
      <c r="AA17263"/>
    </row>
    <row r="17264" spans="27:27" ht="17.899999999999999" customHeight="1">
      <c r="AA17264"/>
    </row>
    <row r="17265" spans="27:27" ht="17.899999999999999" customHeight="1">
      <c r="AA17265"/>
    </row>
    <row r="17266" spans="27:27" ht="17.899999999999999" customHeight="1">
      <c r="AA17266"/>
    </row>
    <row r="17267" spans="27:27" ht="17.899999999999999" customHeight="1">
      <c r="AA17267"/>
    </row>
    <row r="17268" spans="27:27" ht="17.899999999999999" customHeight="1">
      <c r="AA17268"/>
    </row>
    <row r="17269" spans="27:27" ht="17.899999999999999" customHeight="1">
      <c r="AA17269"/>
    </row>
    <row r="17270" spans="27:27" ht="17.899999999999999" customHeight="1">
      <c r="AA17270"/>
    </row>
    <row r="17271" spans="27:27" ht="17.899999999999999" customHeight="1">
      <c r="AA17271"/>
    </row>
    <row r="17272" spans="27:27" ht="17.899999999999999" customHeight="1">
      <c r="AA17272"/>
    </row>
    <row r="17273" spans="27:27" ht="17.899999999999999" customHeight="1">
      <c r="AA17273"/>
    </row>
    <row r="17274" spans="27:27" ht="17.899999999999999" customHeight="1">
      <c r="AA17274"/>
    </row>
    <row r="17275" spans="27:27" ht="17.899999999999999" customHeight="1">
      <c r="AA17275"/>
    </row>
    <row r="17276" spans="27:27" ht="17.899999999999999" customHeight="1">
      <c r="AA17276"/>
    </row>
    <row r="17277" spans="27:27" ht="17.899999999999999" customHeight="1">
      <c r="AA17277"/>
    </row>
    <row r="17278" spans="27:27" ht="17.899999999999999" customHeight="1">
      <c r="AA17278"/>
    </row>
    <row r="17279" spans="27:27" ht="17.899999999999999" customHeight="1">
      <c r="AA17279"/>
    </row>
    <row r="17280" spans="27:27" ht="17.899999999999999" customHeight="1">
      <c r="AA17280"/>
    </row>
    <row r="17281" spans="27:27" ht="17.899999999999999" customHeight="1">
      <c r="AA17281"/>
    </row>
    <row r="17282" spans="27:27" ht="17.899999999999999" customHeight="1">
      <c r="AA17282"/>
    </row>
    <row r="17283" spans="27:27" ht="17.899999999999999" customHeight="1">
      <c r="AA17283"/>
    </row>
    <row r="17284" spans="27:27" ht="17.899999999999999" customHeight="1">
      <c r="AA17284"/>
    </row>
    <row r="17285" spans="27:27" ht="17.899999999999999" customHeight="1">
      <c r="AA17285"/>
    </row>
    <row r="17286" spans="27:27" ht="17.899999999999999" customHeight="1">
      <c r="AA17286"/>
    </row>
    <row r="17287" spans="27:27" ht="17.899999999999999" customHeight="1">
      <c r="AA17287"/>
    </row>
    <row r="17288" spans="27:27" ht="17.899999999999999" customHeight="1">
      <c r="AA17288"/>
    </row>
    <row r="17289" spans="27:27" ht="17.899999999999999" customHeight="1">
      <c r="AA17289"/>
    </row>
    <row r="17290" spans="27:27" ht="17.899999999999999" customHeight="1">
      <c r="AA17290"/>
    </row>
    <row r="17291" spans="27:27" ht="17.899999999999999" customHeight="1">
      <c r="AA17291"/>
    </row>
    <row r="17292" spans="27:27" ht="17.899999999999999" customHeight="1">
      <c r="AA17292"/>
    </row>
    <row r="17293" spans="27:27" ht="17.899999999999999" customHeight="1">
      <c r="AA17293"/>
    </row>
    <row r="17294" spans="27:27" ht="17.899999999999999" customHeight="1">
      <c r="AA17294"/>
    </row>
    <row r="17295" spans="27:27" ht="17.899999999999999" customHeight="1">
      <c r="AA17295"/>
    </row>
    <row r="17296" spans="27:27" ht="17.899999999999999" customHeight="1">
      <c r="AA17296"/>
    </row>
    <row r="17297" spans="27:27" ht="17.899999999999999" customHeight="1">
      <c r="AA17297"/>
    </row>
    <row r="17298" spans="27:27" ht="17.899999999999999" customHeight="1">
      <c r="AA17298"/>
    </row>
    <row r="17299" spans="27:27" ht="17.899999999999999" customHeight="1">
      <c r="AA17299"/>
    </row>
    <row r="17300" spans="27:27" ht="17.899999999999999" customHeight="1">
      <c r="AA17300"/>
    </row>
    <row r="17301" spans="27:27" ht="17.899999999999999" customHeight="1">
      <c r="AA17301"/>
    </row>
    <row r="17302" spans="27:27" ht="17.899999999999999" customHeight="1">
      <c r="AA17302"/>
    </row>
    <row r="17303" spans="27:27" ht="17.899999999999999" customHeight="1">
      <c r="AA17303"/>
    </row>
    <row r="17304" spans="27:27" ht="17.899999999999999" customHeight="1">
      <c r="AA17304"/>
    </row>
    <row r="17305" spans="27:27" ht="17.899999999999999" customHeight="1">
      <c r="AA17305"/>
    </row>
    <row r="17306" spans="27:27" ht="17.899999999999999" customHeight="1">
      <c r="AA17306"/>
    </row>
    <row r="17307" spans="27:27" ht="17.899999999999999" customHeight="1">
      <c r="AA17307"/>
    </row>
    <row r="17308" spans="27:27" ht="17.899999999999999" customHeight="1">
      <c r="AA17308"/>
    </row>
    <row r="17309" spans="27:27" ht="17.899999999999999" customHeight="1">
      <c r="AA17309"/>
    </row>
    <row r="17310" spans="27:27" ht="17.899999999999999" customHeight="1">
      <c r="AA17310"/>
    </row>
    <row r="17311" spans="27:27" ht="17.899999999999999" customHeight="1">
      <c r="AA17311"/>
    </row>
    <row r="17312" spans="27:27" ht="17.899999999999999" customHeight="1">
      <c r="AA17312"/>
    </row>
    <row r="17313" spans="27:27" ht="17.899999999999999" customHeight="1">
      <c r="AA17313"/>
    </row>
    <row r="17314" spans="27:27" ht="17.899999999999999" customHeight="1">
      <c r="AA17314"/>
    </row>
    <row r="17315" spans="27:27" ht="17.899999999999999" customHeight="1">
      <c r="AA17315"/>
    </row>
    <row r="17316" spans="27:27" ht="17.899999999999999" customHeight="1">
      <c r="AA17316"/>
    </row>
    <row r="17317" spans="27:27" ht="17.899999999999999" customHeight="1">
      <c r="AA17317"/>
    </row>
    <row r="17318" spans="27:27" ht="17.899999999999999" customHeight="1">
      <c r="AA17318"/>
    </row>
    <row r="17319" spans="27:27" ht="17.899999999999999" customHeight="1">
      <c r="AA17319"/>
    </row>
    <row r="17320" spans="27:27" ht="17.899999999999999" customHeight="1">
      <c r="AA17320"/>
    </row>
    <row r="17321" spans="27:27" ht="17.899999999999999" customHeight="1">
      <c r="AA17321"/>
    </row>
    <row r="17322" spans="27:27" ht="17.899999999999999" customHeight="1">
      <c r="AA17322"/>
    </row>
    <row r="17323" spans="27:27" ht="17.899999999999999" customHeight="1">
      <c r="AA17323"/>
    </row>
    <row r="17324" spans="27:27" ht="17.899999999999999" customHeight="1">
      <c r="AA17324"/>
    </row>
    <row r="17325" spans="27:27" ht="17.899999999999999" customHeight="1">
      <c r="AA17325"/>
    </row>
    <row r="17326" spans="27:27" ht="17.899999999999999" customHeight="1">
      <c r="AA17326"/>
    </row>
    <row r="17327" spans="27:27" ht="17.899999999999999" customHeight="1">
      <c r="AA17327"/>
    </row>
    <row r="17328" spans="27:27" ht="17.899999999999999" customHeight="1">
      <c r="AA17328"/>
    </row>
    <row r="17329" spans="27:27" ht="17.899999999999999" customHeight="1">
      <c r="AA17329"/>
    </row>
    <row r="17330" spans="27:27" ht="17.899999999999999" customHeight="1">
      <c r="AA17330"/>
    </row>
    <row r="17331" spans="27:27" ht="17.899999999999999" customHeight="1">
      <c r="AA17331"/>
    </row>
    <row r="17332" spans="27:27" ht="17.899999999999999" customHeight="1">
      <c r="AA17332"/>
    </row>
    <row r="17333" spans="27:27" ht="17.899999999999999" customHeight="1">
      <c r="AA17333"/>
    </row>
    <row r="17334" spans="27:27" ht="17.899999999999999" customHeight="1">
      <c r="AA17334"/>
    </row>
    <row r="17335" spans="27:27" ht="17.899999999999999" customHeight="1">
      <c r="AA17335"/>
    </row>
    <row r="17336" spans="27:27" ht="17.899999999999999" customHeight="1">
      <c r="AA17336"/>
    </row>
    <row r="17337" spans="27:27" ht="17.899999999999999" customHeight="1">
      <c r="AA17337"/>
    </row>
    <row r="17338" spans="27:27" ht="17.899999999999999" customHeight="1">
      <c r="AA17338"/>
    </row>
    <row r="17339" spans="27:27" ht="17.899999999999999" customHeight="1">
      <c r="AA17339"/>
    </row>
    <row r="17340" spans="27:27" ht="17.899999999999999" customHeight="1">
      <c r="AA17340"/>
    </row>
    <row r="17341" spans="27:27" ht="17.899999999999999" customHeight="1">
      <c r="AA17341"/>
    </row>
    <row r="17342" spans="27:27" ht="17.899999999999999" customHeight="1">
      <c r="AA17342"/>
    </row>
    <row r="17343" spans="27:27" ht="17.899999999999999" customHeight="1">
      <c r="AA17343"/>
    </row>
    <row r="17344" spans="27:27" ht="17.899999999999999" customHeight="1">
      <c r="AA17344"/>
    </row>
    <row r="17345" spans="27:27" ht="17.899999999999999" customHeight="1">
      <c r="AA17345"/>
    </row>
    <row r="17346" spans="27:27" ht="17.899999999999999" customHeight="1">
      <c r="AA17346"/>
    </row>
    <row r="17347" spans="27:27" ht="17.899999999999999" customHeight="1">
      <c r="AA17347"/>
    </row>
    <row r="17348" spans="27:27" ht="17.899999999999999" customHeight="1">
      <c r="AA17348"/>
    </row>
    <row r="17349" spans="27:27" ht="17.899999999999999" customHeight="1">
      <c r="AA17349"/>
    </row>
    <row r="17350" spans="27:27" ht="17.899999999999999" customHeight="1">
      <c r="AA17350"/>
    </row>
    <row r="17351" spans="27:27" ht="17.899999999999999" customHeight="1">
      <c r="AA17351"/>
    </row>
    <row r="17352" spans="27:27" ht="17.899999999999999" customHeight="1">
      <c r="AA17352"/>
    </row>
    <row r="17353" spans="27:27" ht="17.899999999999999" customHeight="1">
      <c r="AA17353"/>
    </row>
    <row r="17354" spans="27:27" ht="17.899999999999999" customHeight="1">
      <c r="AA17354"/>
    </row>
    <row r="17355" spans="27:27" ht="17.899999999999999" customHeight="1">
      <c r="AA17355"/>
    </row>
    <row r="17356" spans="27:27" ht="17.899999999999999" customHeight="1">
      <c r="AA17356"/>
    </row>
    <row r="17357" spans="27:27" ht="17.899999999999999" customHeight="1">
      <c r="AA17357"/>
    </row>
    <row r="17358" spans="27:27" ht="17.899999999999999" customHeight="1">
      <c r="AA17358"/>
    </row>
    <row r="17359" spans="27:27" ht="17.899999999999999" customHeight="1">
      <c r="AA17359"/>
    </row>
    <row r="17360" spans="27:27" ht="17.899999999999999" customHeight="1">
      <c r="AA17360"/>
    </row>
    <row r="17361" spans="27:27" ht="17.899999999999999" customHeight="1">
      <c r="AA17361"/>
    </row>
    <row r="17362" spans="27:27" ht="17.899999999999999" customHeight="1">
      <c r="AA17362"/>
    </row>
    <row r="17363" spans="27:27" ht="17.899999999999999" customHeight="1">
      <c r="AA17363"/>
    </row>
    <row r="17364" spans="27:27" ht="17.899999999999999" customHeight="1">
      <c r="AA17364"/>
    </row>
    <row r="17365" spans="27:27" ht="17.899999999999999" customHeight="1">
      <c r="AA17365"/>
    </row>
    <row r="17366" spans="27:27" ht="17.899999999999999" customHeight="1">
      <c r="AA17366"/>
    </row>
    <row r="17367" spans="27:27" ht="17.899999999999999" customHeight="1">
      <c r="AA17367"/>
    </row>
    <row r="17368" spans="27:27" ht="17.899999999999999" customHeight="1">
      <c r="AA17368"/>
    </row>
    <row r="17369" spans="27:27" ht="17.899999999999999" customHeight="1">
      <c r="AA17369"/>
    </row>
    <row r="17370" spans="27:27" ht="17.899999999999999" customHeight="1">
      <c r="AA17370"/>
    </row>
    <row r="17371" spans="27:27" ht="17.899999999999999" customHeight="1">
      <c r="AA17371"/>
    </row>
    <row r="17372" spans="27:27" ht="17.899999999999999" customHeight="1">
      <c r="AA17372"/>
    </row>
    <row r="17373" spans="27:27" ht="17.899999999999999" customHeight="1">
      <c r="AA17373"/>
    </row>
    <row r="17374" spans="27:27" ht="17.899999999999999" customHeight="1">
      <c r="AA17374"/>
    </row>
    <row r="17375" spans="27:27" ht="17.899999999999999" customHeight="1">
      <c r="AA17375"/>
    </row>
    <row r="17376" spans="27:27" ht="17.899999999999999" customHeight="1">
      <c r="AA17376"/>
    </row>
    <row r="17377" spans="27:27" ht="17.899999999999999" customHeight="1">
      <c r="AA17377"/>
    </row>
    <row r="17378" spans="27:27" ht="17.899999999999999" customHeight="1">
      <c r="AA17378"/>
    </row>
    <row r="17379" spans="27:27" ht="17.899999999999999" customHeight="1">
      <c r="AA17379"/>
    </row>
    <row r="17380" spans="27:27" ht="17.899999999999999" customHeight="1">
      <c r="AA17380"/>
    </row>
    <row r="17381" spans="27:27" ht="17.899999999999999" customHeight="1">
      <c r="AA17381"/>
    </row>
    <row r="17382" spans="27:27" ht="17.899999999999999" customHeight="1">
      <c r="AA17382"/>
    </row>
    <row r="17383" spans="27:27" ht="17.899999999999999" customHeight="1">
      <c r="AA17383"/>
    </row>
    <row r="17384" spans="27:27" ht="17.899999999999999" customHeight="1">
      <c r="AA17384"/>
    </row>
    <row r="17385" spans="27:27" ht="17.899999999999999" customHeight="1">
      <c r="AA17385"/>
    </row>
    <row r="17386" spans="27:27" ht="17.899999999999999" customHeight="1">
      <c r="AA17386"/>
    </row>
    <row r="17387" spans="27:27" ht="17.899999999999999" customHeight="1">
      <c r="AA17387"/>
    </row>
    <row r="17388" spans="27:27" ht="17.899999999999999" customHeight="1">
      <c r="AA17388"/>
    </row>
    <row r="17389" spans="27:27" ht="17.899999999999999" customHeight="1">
      <c r="AA17389"/>
    </row>
    <row r="17390" spans="27:27" ht="17.899999999999999" customHeight="1">
      <c r="AA17390"/>
    </row>
    <row r="17391" spans="27:27" ht="17.899999999999999" customHeight="1">
      <c r="AA17391"/>
    </row>
    <row r="17392" spans="27:27" ht="17.899999999999999" customHeight="1">
      <c r="AA17392"/>
    </row>
    <row r="17393" spans="27:27" ht="17.899999999999999" customHeight="1">
      <c r="AA17393"/>
    </row>
    <row r="17394" spans="27:27" ht="17.899999999999999" customHeight="1">
      <c r="AA17394"/>
    </row>
    <row r="17395" spans="27:27" ht="17.899999999999999" customHeight="1">
      <c r="AA17395"/>
    </row>
    <row r="17396" spans="27:27" ht="17.899999999999999" customHeight="1">
      <c r="AA17396"/>
    </row>
    <row r="17397" spans="27:27" ht="17.899999999999999" customHeight="1">
      <c r="AA17397"/>
    </row>
    <row r="17398" spans="27:27" ht="17.899999999999999" customHeight="1">
      <c r="AA17398"/>
    </row>
    <row r="17399" spans="27:27" ht="17.899999999999999" customHeight="1">
      <c r="AA17399"/>
    </row>
    <row r="17400" spans="27:27" ht="17.899999999999999" customHeight="1">
      <c r="AA17400"/>
    </row>
    <row r="17401" spans="27:27" ht="17.899999999999999" customHeight="1">
      <c r="AA17401"/>
    </row>
    <row r="17402" spans="27:27" ht="17.899999999999999" customHeight="1">
      <c r="AA17402"/>
    </row>
    <row r="17403" spans="27:27" ht="17.899999999999999" customHeight="1">
      <c r="AA17403"/>
    </row>
    <row r="17404" spans="27:27" ht="17.899999999999999" customHeight="1">
      <c r="AA17404"/>
    </row>
    <row r="17405" spans="27:27" ht="17.899999999999999" customHeight="1">
      <c r="AA17405"/>
    </row>
    <row r="17406" spans="27:27" ht="17.899999999999999" customHeight="1">
      <c r="AA17406"/>
    </row>
    <row r="17407" spans="27:27" ht="17.899999999999999" customHeight="1">
      <c r="AA17407"/>
    </row>
    <row r="17408" spans="27:27" ht="17.899999999999999" customHeight="1">
      <c r="AA17408"/>
    </row>
    <row r="17409" spans="27:27" ht="17.899999999999999" customHeight="1">
      <c r="AA17409"/>
    </row>
    <row r="17410" spans="27:27" ht="17.899999999999999" customHeight="1">
      <c r="AA17410"/>
    </row>
    <row r="17411" spans="27:27" ht="17.899999999999999" customHeight="1">
      <c r="AA17411"/>
    </row>
    <row r="17412" spans="27:27" ht="17.899999999999999" customHeight="1">
      <c r="AA17412"/>
    </row>
    <row r="17413" spans="27:27" ht="17.899999999999999" customHeight="1">
      <c r="AA17413"/>
    </row>
    <row r="17414" spans="27:27" ht="17.899999999999999" customHeight="1">
      <c r="AA17414"/>
    </row>
    <row r="17415" spans="27:27" ht="17.899999999999999" customHeight="1">
      <c r="AA17415"/>
    </row>
    <row r="17416" spans="27:27" ht="17.899999999999999" customHeight="1">
      <c r="AA17416"/>
    </row>
    <row r="17417" spans="27:27" ht="17.899999999999999" customHeight="1">
      <c r="AA17417"/>
    </row>
    <row r="17418" spans="27:27" ht="17.899999999999999" customHeight="1">
      <c r="AA17418"/>
    </row>
    <row r="17419" spans="27:27" ht="17.899999999999999" customHeight="1">
      <c r="AA17419"/>
    </row>
    <row r="17420" spans="27:27" ht="17.899999999999999" customHeight="1">
      <c r="AA17420"/>
    </row>
    <row r="17421" spans="27:27" ht="17.899999999999999" customHeight="1">
      <c r="AA17421"/>
    </row>
    <row r="17422" spans="27:27" ht="17.899999999999999" customHeight="1">
      <c r="AA17422"/>
    </row>
    <row r="17423" spans="27:27" ht="17.899999999999999" customHeight="1">
      <c r="AA17423"/>
    </row>
    <row r="17424" spans="27:27" ht="17.899999999999999" customHeight="1">
      <c r="AA17424"/>
    </row>
    <row r="17425" spans="27:27" ht="17.899999999999999" customHeight="1">
      <c r="AA17425"/>
    </row>
    <row r="17426" spans="27:27" ht="17.899999999999999" customHeight="1">
      <c r="AA17426"/>
    </row>
    <row r="17427" spans="27:27" ht="17.899999999999999" customHeight="1">
      <c r="AA17427"/>
    </row>
    <row r="17428" spans="27:27" ht="17.899999999999999" customHeight="1">
      <c r="AA17428"/>
    </row>
    <row r="17429" spans="27:27" ht="17.899999999999999" customHeight="1">
      <c r="AA17429"/>
    </row>
    <row r="17430" spans="27:27" ht="17.899999999999999" customHeight="1">
      <c r="AA17430"/>
    </row>
    <row r="17431" spans="27:27" ht="17.899999999999999" customHeight="1">
      <c r="AA17431"/>
    </row>
    <row r="17432" spans="27:27" ht="17.899999999999999" customHeight="1">
      <c r="AA17432"/>
    </row>
    <row r="17433" spans="27:27" ht="17.899999999999999" customHeight="1">
      <c r="AA17433"/>
    </row>
    <row r="17434" spans="27:27" ht="17.899999999999999" customHeight="1">
      <c r="AA17434"/>
    </row>
    <row r="17435" spans="27:27" ht="17.899999999999999" customHeight="1">
      <c r="AA17435"/>
    </row>
    <row r="17436" spans="27:27" ht="17.899999999999999" customHeight="1">
      <c r="AA17436"/>
    </row>
    <row r="17437" spans="27:27" ht="17.899999999999999" customHeight="1">
      <c r="AA17437"/>
    </row>
    <row r="17438" spans="27:27" ht="17.899999999999999" customHeight="1">
      <c r="AA17438"/>
    </row>
    <row r="17439" spans="27:27" ht="17.899999999999999" customHeight="1">
      <c r="AA17439"/>
    </row>
    <row r="17440" spans="27:27" ht="17.899999999999999" customHeight="1">
      <c r="AA17440"/>
    </row>
    <row r="17441" spans="27:27" ht="17.899999999999999" customHeight="1">
      <c r="AA17441"/>
    </row>
    <row r="17442" spans="27:27" ht="17.899999999999999" customHeight="1">
      <c r="AA17442"/>
    </row>
    <row r="17443" spans="27:27" ht="17.899999999999999" customHeight="1">
      <c r="AA17443"/>
    </row>
    <row r="17444" spans="27:27" ht="17.899999999999999" customHeight="1">
      <c r="AA17444"/>
    </row>
    <row r="17445" spans="27:27" ht="17.899999999999999" customHeight="1">
      <c r="AA17445"/>
    </row>
    <row r="17446" spans="27:27" ht="17.899999999999999" customHeight="1">
      <c r="AA17446"/>
    </row>
    <row r="17447" spans="27:27" ht="17.899999999999999" customHeight="1">
      <c r="AA17447"/>
    </row>
    <row r="17448" spans="27:27" ht="17.899999999999999" customHeight="1">
      <c r="AA17448"/>
    </row>
    <row r="17449" spans="27:27" ht="17.899999999999999" customHeight="1">
      <c r="AA17449"/>
    </row>
    <row r="17450" spans="27:27" ht="17.899999999999999" customHeight="1">
      <c r="AA17450"/>
    </row>
    <row r="17451" spans="27:27" ht="17.899999999999999" customHeight="1">
      <c r="AA17451"/>
    </row>
    <row r="17452" spans="27:27" ht="17.899999999999999" customHeight="1">
      <c r="AA17452"/>
    </row>
    <row r="17453" spans="27:27" ht="17.899999999999999" customHeight="1">
      <c r="AA17453"/>
    </row>
    <row r="17454" spans="27:27" ht="17.899999999999999" customHeight="1">
      <c r="AA17454"/>
    </row>
    <row r="17455" spans="27:27" ht="17.899999999999999" customHeight="1">
      <c r="AA17455"/>
    </row>
    <row r="17456" spans="27:27" ht="17.899999999999999" customHeight="1">
      <c r="AA17456"/>
    </row>
    <row r="17457" spans="27:27" ht="17.899999999999999" customHeight="1">
      <c r="AA17457"/>
    </row>
    <row r="17458" spans="27:27" ht="17.899999999999999" customHeight="1">
      <c r="AA17458"/>
    </row>
    <row r="17459" spans="27:27" ht="17.899999999999999" customHeight="1">
      <c r="AA17459"/>
    </row>
    <row r="17460" spans="27:27" ht="17.899999999999999" customHeight="1">
      <c r="AA17460"/>
    </row>
    <row r="17461" spans="27:27" ht="17.899999999999999" customHeight="1">
      <c r="AA17461"/>
    </row>
    <row r="17462" spans="27:27" ht="17.899999999999999" customHeight="1">
      <c r="AA17462"/>
    </row>
    <row r="17463" spans="27:27" ht="17.899999999999999" customHeight="1">
      <c r="AA17463"/>
    </row>
    <row r="17464" spans="27:27" ht="17.899999999999999" customHeight="1">
      <c r="AA17464"/>
    </row>
    <row r="17465" spans="27:27" ht="17.899999999999999" customHeight="1">
      <c r="AA17465"/>
    </row>
    <row r="17466" spans="27:27" ht="17.899999999999999" customHeight="1">
      <c r="AA17466"/>
    </row>
    <row r="17467" spans="27:27" ht="17.899999999999999" customHeight="1">
      <c r="AA17467"/>
    </row>
    <row r="17468" spans="27:27" ht="17.899999999999999" customHeight="1">
      <c r="AA17468"/>
    </row>
    <row r="17469" spans="27:27" ht="17.899999999999999" customHeight="1">
      <c r="AA17469"/>
    </row>
    <row r="17470" spans="27:27" ht="17.899999999999999" customHeight="1">
      <c r="AA17470"/>
    </row>
    <row r="17471" spans="27:27" ht="17.899999999999999" customHeight="1">
      <c r="AA17471"/>
    </row>
    <row r="17472" spans="27:27" ht="17.899999999999999" customHeight="1">
      <c r="AA17472"/>
    </row>
    <row r="17473" spans="27:27" ht="17.899999999999999" customHeight="1">
      <c r="AA17473"/>
    </row>
    <row r="17474" spans="27:27" ht="17.899999999999999" customHeight="1">
      <c r="AA17474"/>
    </row>
    <row r="17475" spans="27:27" ht="17.899999999999999" customHeight="1">
      <c r="AA17475"/>
    </row>
    <row r="17476" spans="27:27" ht="17.899999999999999" customHeight="1">
      <c r="AA17476"/>
    </row>
    <row r="17477" spans="27:27" ht="17.899999999999999" customHeight="1">
      <c r="AA17477"/>
    </row>
    <row r="17478" spans="27:27" ht="17.899999999999999" customHeight="1">
      <c r="AA17478"/>
    </row>
    <row r="17479" spans="27:27" ht="17.899999999999999" customHeight="1">
      <c r="AA17479"/>
    </row>
    <row r="17480" spans="27:27" ht="17.899999999999999" customHeight="1">
      <c r="AA17480"/>
    </row>
    <row r="17481" spans="27:27" ht="17.899999999999999" customHeight="1">
      <c r="AA17481"/>
    </row>
    <row r="17482" spans="27:27" ht="17.899999999999999" customHeight="1">
      <c r="AA17482"/>
    </row>
    <row r="17483" spans="27:27" ht="17.899999999999999" customHeight="1">
      <c r="AA17483"/>
    </row>
    <row r="17484" spans="27:27" ht="17.899999999999999" customHeight="1">
      <c r="AA17484"/>
    </row>
    <row r="17485" spans="27:27" ht="17.899999999999999" customHeight="1">
      <c r="AA17485"/>
    </row>
    <row r="17486" spans="27:27" ht="17.899999999999999" customHeight="1">
      <c r="AA17486"/>
    </row>
    <row r="17487" spans="27:27" ht="17.899999999999999" customHeight="1">
      <c r="AA17487"/>
    </row>
    <row r="17488" spans="27:27" ht="17.899999999999999" customHeight="1">
      <c r="AA17488"/>
    </row>
    <row r="17489" spans="27:27" ht="17.899999999999999" customHeight="1">
      <c r="AA17489"/>
    </row>
    <row r="17490" spans="27:27" ht="17.899999999999999" customHeight="1">
      <c r="AA17490"/>
    </row>
    <row r="17491" spans="27:27" ht="17.899999999999999" customHeight="1">
      <c r="AA17491"/>
    </row>
    <row r="17492" spans="27:27" ht="17.899999999999999" customHeight="1">
      <c r="AA17492"/>
    </row>
    <row r="17493" spans="27:27" ht="17.899999999999999" customHeight="1">
      <c r="AA17493"/>
    </row>
    <row r="17494" spans="27:27" ht="17.899999999999999" customHeight="1">
      <c r="AA17494"/>
    </row>
    <row r="17495" spans="27:27" ht="17.899999999999999" customHeight="1">
      <c r="AA17495"/>
    </row>
    <row r="17496" spans="27:27" ht="17.899999999999999" customHeight="1">
      <c r="AA17496"/>
    </row>
    <row r="17497" spans="27:27" ht="17.899999999999999" customHeight="1">
      <c r="AA17497"/>
    </row>
    <row r="17498" spans="27:27" ht="17.899999999999999" customHeight="1">
      <c r="AA17498"/>
    </row>
    <row r="17499" spans="27:27" ht="17.899999999999999" customHeight="1">
      <c r="AA17499"/>
    </row>
    <row r="17500" spans="27:27" ht="17.899999999999999" customHeight="1">
      <c r="AA17500"/>
    </row>
    <row r="17501" spans="27:27" ht="17.899999999999999" customHeight="1">
      <c r="AA17501"/>
    </row>
    <row r="17502" spans="27:27" ht="17.899999999999999" customHeight="1">
      <c r="AA17502"/>
    </row>
    <row r="17503" spans="27:27" ht="17.899999999999999" customHeight="1">
      <c r="AA17503"/>
    </row>
    <row r="17504" spans="27:27" ht="17.899999999999999" customHeight="1">
      <c r="AA17504"/>
    </row>
    <row r="17505" spans="27:27" ht="17.899999999999999" customHeight="1">
      <c r="AA17505"/>
    </row>
    <row r="17506" spans="27:27" ht="17.899999999999999" customHeight="1">
      <c r="AA17506"/>
    </row>
    <row r="17507" spans="27:27" ht="17.899999999999999" customHeight="1">
      <c r="AA17507"/>
    </row>
    <row r="17508" spans="27:27" ht="17.899999999999999" customHeight="1">
      <c r="AA17508"/>
    </row>
    <row r="17509" spans="27:27" ht="17.899999999999999" customHeight="1">
      <c r="AA17509"/>
    </row>
    <row r="17510" spans="27:27" ht="17.899999999999999" customHeight="1">
      <c r="AA17510"/>
    </row>
    <row r="17511" spans="27:27" ht="17.899999999999999" customHeight="1">
      <c r="AA17511"/>
    </row>
    <row r="17512" spans="27:27" ht="17.899999999999999" customHeight="1">
      <c r="AA17512"/>
    </row>
    <row r="17513" spans="27:27" ht="17.899999999999999" customHeight="1">
      <c r="AA17513"/>
    </row>
    <row r="17514" spans="27:27" ht="17.899999999999999" customHeight="1">
      <c r="AA17514"/>
    </row>
    <row r="17515" spans="27:27" ht="17.899999999999999" customHeight="1">
      <c r="AA17515"/>
    </row>
    <row r="17516" spans="27:27" ht="17.899999999999999" customHeight="1">
      <c r="AA17516"/>
    </row>
    <row r="17517" spans="27:27" ht="17.899999999999999" customHeight="1">
      <c r="AA17517"/>
    </row>
    <row r="17518" spans="27:27" ht="17.899999999999999" customHeight="1">
      <c r="AA17518"/>
    </row>
    <row r="17519" spans="27:27" ht="17.899999999999999" customHeight="1">
      <c r="AA17519"/>
    </row>
    <row r="17520" spans="27:27" ht="17.899999999999999" customHeight="1">
      <c r="AA17520"/>
    </row>
    <row r="17521" spans="27:27" ht="17.899999999999999" customHeight="1">
      <c r="AA17521"/>
    </row>
    <row r="17522" spans="27:27" ht="17.899999999999999" customHeight="1">
      <c r="AA17522"/>
    </row>
    <row r="17523" spans="27:27" ht="17.899999999999999" customHeight="1">
      <c r="AA17523"/>
    </row>
    <row r="17524" spans="27:27" ht="17.899999999999999" customHeight="1">
      <c r="AA17524"/>
    </row>
    <row r="17525" spans="27:27" ht="17.899999999999999" customHeight="1">
      <c r="AA17525"/>
    </row>
    <row r="17526" spans="27:27" ht="17.899999999999999" customHeight="1">
      <c r="AA17526"/>
    </row>
    <row r="17527" spans="27:27" ht="17.899999999999999" customHeight="1">
      <c r="AA17527"/>
    </row>
    <row r="17528" spans="27:27" ht="17.899999999999999" customHeight="1">
      <c r="AA17528"/>
    </row>
    <row r="17529" spans="27:27" ht="17.899999999999999" customHeight="1">
      <c r="AA17529"/>
    </row>
    <row r="17530" spans="27:27" ht="17.899999999999999" customHeight="1">
      <c r="AA17530"/>
    </row>
    <row r="17531" spans="27:27" ht="17.899999999999999" customHeight="1">
      <c r="AA17531"/>
    </row>
    <row r="17532" spans="27:27" ht="17.899999999999999" customHeight="1">
      <c r="AA17532"/>
    </row>
    <row r="17533" spans="27:27" ht="17.899999999999999" customHeight="1">
      <c r="AA17533"/>
    </row>
    <row r="17534" spans="27:27" ht="17.899999999999999" customHeight="1">
      <c r="AA17534"/>
    </row>
    <row r="17535" spans="27:27" ht="17.899999999999999" customHeight="1">
      <c r="AA17535"/>
    </row>
    <row r="17536" spans="27:27" ht="17.899999999999999" customHeight="1">
      <c r="AA17536"/>
    </row>
    <row r="17537" spans="27:27" ht="17.899999999999999" customHeight="1">
      <c r="AA17537"/>
    </row>
    <row r="17538" spans="27:27" ht="17.899999999999999" customHeight="1">
      <c r="AA17538"/>
    </row>
    <row r="17539" spans="27:27" ht="17.899999999999999" customHeight="1">
      <c r="AA17539"/>
    </row>
    <row r="17540" spans="27:27" ht="17.899999999999999" customHeight="1">
      <c r="AA17540"/>
    </row>
    <row r="17541" spans="27:27" ht="17.899999999999999" customHeight="1">
      <c r="AA17541"/>
    </row>
    <row r="17542" spans="27:27" ht="17.899999999999999" customHeight="1">
      <c r="AA17542"/>
    </row>
    <row r="17543" spans="27:27" ht="17.899999999999999" customHeight="1">
      <c r="AA17543"/>
    </row>
    <row r="17544" spans="27:27" ht="17.899999999999999" customHeight="1">
      <c r="AA17544"/>
    </row>
    <row r="17545" spans="27:27" ht="17.899999999999999" customHeight="1">
      <c r="AA17545"/>
    </row>
    <row r="17546" spans="27:27" ht="17.899999999999999" customHeight="1">
      <c r="AA17546"/>
    </row>
    <row r="17547" spans="27:27" ht="17.899999999999999" customHeight="1">
      <c r="AA17547"/>
    </row>
    <row r="17548" spans="27:27" ht="17.899999999999999" customHeight="1">
      <c r="AA17548"/>
    </row>
    <row r="17549" spans="27:27" ht="17.899999999999999" customHeight="1">
      <c r="AA17549"/>
    </row>
    <row r="17550" spans="27:27" ht="17.899999999999999" customHeight="1">
      <c r="AA17550"/>
    </row>
    <row r="17551" spans="27:27" ht="17.899999999999999" customHeight="1">
      <c r="AA17551"/>
    </row>
    <row r="17552" spans="27:27" ht="17.899999999999999" customHeight="1">
      <c r="AA17552"/>
    </row>
    <row r="17553" spans="27:27" ht="17.899999999999999" customHeight="1">
      <c r="AA17553"/>
    </row>
    <row r="17554" spans="27:27" ht="17.899999999999999" customHeight="1">
      <c r="AA17554"/>
    </row>
    <row r="17555" spans="27:27" ht="17.899999999999999" customHeight="1">
      <c r="AA17555"/>
    </row>
    <row r="17556" spans="27:27" ht="17.899999999999999" customHeight="1">
      <c r="AA17556"/>
    </row>
    <row r="17557" spans="27:27" ht="17.899999999999999" customHeight="1">
      <c r="AA17557"/>
    </row>
    <row r="17558" spans="27:27" ht="17.899999999999999" customHeight="1">
      <c r="AA17558"/>
    </row>
    <row r="17559" spans="27:27" ht="17.899999999999999" customHeight="1">
      <c r="AA17559"/>
    </row>
    <row r="17560" spans="27:27" ht="17.899999999999999" customHeight="1">
      <c r="AA17560"/>
    </row>
    <row r="17561" spans="27:27" ht="17.899999999999999" customHeight="1">
      <c r="AA17561"/>
    </row>
    <row r="17562" spans="27:27" ht="17.899999999999999" customHeight="1">
      <c r="AA17562"/>
    </row>
    <row r="17563" spans="27:27" ht="17.899999999999999" customHeight="1">
      <c r="AA17563"/>
    </row>
    <row r="17564" spans="27:27" ht="17.899999999999999" customHeight="1">
      <c r="AA17564"/>
    </row>
    <row r="17565" spans="27:27" ht="17.899999999999999" customHeight="1">
      <c r="AA17565"/>
    </row>
    <row r="17566" spans="27:27" ht="17.899999999999999" customHeight="1">
      <c r="AA17566"/>
    </row>
    <row r="17567" spans="27:27" ht="17.899999999999999" customHeight="1">
      <c r="AA17567"/>
    </row>
    <row r="17568" spans="27:27" ht="17.899999999999999" customHeight="1">
      <c r="AA17568"/>
    </row>
    <row r="17569" spans="27:27" ht="17.899999999999999" customHeight="1">
      <c r="AA17569"/>
    </row>
    <row r="17570" spans="27:27" ht="17.899999999999999" customHeight="1">
      <c r="AA17570"/>
    </row>
    <row r="17571" spans="27:27" ht="17.899999999999999" customHeight="1">
      <c r="AA17571"/>
    </row>
    <row r="17572" spans="27:27" ht="17.899999999999999" customHeight="1">
      <c r="AA17572"/>
    </row>
    <row r="17573" spans="27:27" ht="17.899999999999999" customHeight="1">
      <c r="AA17573"/>
    </row>
    <row r="17574" spans="27:27" ht="17.899999999999999" customHeight="1">
      <c r="AA17574"/>
    </row>
    <row r="17575" spans="27:27" ht="17.899999999999999" customHeight="1">
      <c r="AA17575"/>
    </row>
    <row r="17576" spans="27:27" ht="17.899999999999999" customHeight="1">
      <c r="AA17576"/>
    </row>
    <row r="17577" spans="27:27" ht="17.899999999999999" customHeight="1">
      <c r="AA17577"/>
    </row>
    <row r="17578" spans="27:27" ht="17.899999999999999" customHeight="1">
      <c r="AA17578"/>
    </row>
    <row r="17579" spans="27:27" ht="17.899999999999999" customHeight="1">
      <c r="AA17579"/>
    </row>
    <row r="17580" spans="27:27" ht="17.899999999999999" customHeight="1">
      <c r="AA17580"/>
    </row>
    <row r="17581" spans="27:27" ht="17.899999999999999" customHeight="1">
      <c r="AA17581"/>
    </row>
    <row r="17582" spans="27:27" ht="17.899999999999999" customHeight="1">
      <c r="AA17582"/>
    </row>
    <row r="17583" spans="27:27" ht="17.899999999999999" customHeight="1">
      <c r="AA17583"/>
    </row>
    <row r="17584" spans="27:27" ht="17.899999999999999" customHeight="1">
      <c r="AA17584"/>
    </row>
    <row r="17585" spans="27:27" ht="17.899999999999999" customHeight="1">
      <c r="AA17585"/>
    </row>
    <row r="17586" spans="27:27" ht="17.899999999999999" customHeight="1">
      <c r="AA17586"/>
    </row>
    <row r="17587" spans="27:27" ht="17.899999999999999" customHeight="1">
      <c r="AA17587"/>
    </row>
    <row r="17588" spans="27:27" ht="17.899999999999999" customHeight="1">
      <c r="AA17588"/>
    </row>
    <row r="17589" spans="27:27" ht="17.899999999999999" customHeight="1">
      <c r="AA17589"/>
    </row>
    <row r="17590" spans="27:27" ht="17.899999999999999" customHeight="1">
      <c r="AA17590"/>
    </row>
    <row r="17591" spans="27:27" ht="17.899999999999999" customHeight="1">
      <c r="AA17591"/>
    </row>
    <row r="17592" spans="27:27" ht="17.899999999999999" customHeight="1">
      <c r="AA17592"/>
    </row>
    <row r="17593" spans="27:27" ht="17.899999999999999" customHeight="1">
      <c r="AA17593"/>
    </row>
    <row r="17594" spans="27:27" ht="17.899999999999999" customHeight="1">
      <c r="AA17594"/>
    </row>
    <row r="17595" spans="27:27" ht="17.899999999999999" customHeight="1">
      <c r="AA17595"/>
    </row>
    <row r="17596" spans="27:27" ht="17.899999999999999" customHeight="1">
      <c r="AA17596"/>
    </row>
    <row r="17597" spans="27:27" ht="17.899999999999999" customHeight="1">
      <c r="AA17597"/>
    </row>
    <row r="17598" spans="27:27" ht="17.899999999999999" customHeight="1">
      <c r="AA17598"/>
    </row>
    <row r="17599" spans="27:27" ht="17.899999999999999" customHeight="1">
      <c r="AA17599"/>
    </row>
    <row r="17600" spans="27:27" ht="17.899999999999999" customHeight="1">
      <c r="AA17600"/>
    </row>
    <row r="17601" spans="27:27" ht="17.899999999999999" customHeight="1">
      <c r="AA17601"/>
    </row>
    <row r="17602" spans="27:27" ht="17.899999999999999" customHeight="1">
      <c r="AA17602"/>
    </row>
    <row r="17603" spans="27:27" ht="17.899999999999999" customHeight="1">
      <c r="AA17603"/>
    </row>
    <row r="17604" spans="27:27" ht="17.899999999999999" customHeight="1">
      <c r="AA17604"/>
    </row>
    <row r="17605" spans="27:27" ht="17.899999999999999" customHeight="1">
      <c r="AA17605"/>
    </row>
    <row r="17606" spans="27:27" ht="17.899999999999999" customHeight="1">
      <c r="AA17606"/>
    </row>
    <row r="17607" spans="27:27" ht="17.899999999999999" customHeight="1">
      <c r="AA17607"/>
    </row>
    <row r="17608" spans="27:27" ht="17.899999999999999" customHeight="1">
      <c r="AA17608"/>
    </row>
    <row r="17609" spans="27:27" ht="17.899999999999999" customHeight="1">
      <c r="AA17609"/>
    </row>
    <row r="17610" spans="27:27" ht="17.899999999999999" customHeight="1">
      <c r="AA17610"/>
    </row>
    <row r="17611" spans="27:27" ht="17.899999999999999" customHeight="1">
      <c r="AA17611"/>
    </row>
    <row r="17612" spans="27:27" ht="17.899999999999999" customHeight="1">
      <c r="AA17612"/>
    </row>
    <row r="17613" spans="27:27" ht="17.899999999999999" customHeight="1">
      <c r="AA17613"/>
    </row>
    <row r="17614" spans="27:27" ht="17.899999999999999" customHeight="1">
      <c r="AA17614"/>
    </row>
    <row r="17615" spans="27:27" ht="17.899999999999999" customHeight="1">
      <c r="AA17615"/>
    </row>
    <row r="17616" spans="27:27" ht="17.899999999999999" customHeight="1">
      <c r="AA17616"/>
    </row>
    <row r="17617" spans="27:27" ht="17.899999999999999" customHeight="1">
      <c r="AA17617"/>
    </row>
    <row r="17618" spans="27:27" ht="17.899999999999999" customHeight="1">
      <c r="AA17618"/>
    </row>
    <row r="17619" spans="27:27" ht="17.899999999999999" customHeight="1">
      <c r="AA17619"/>
    </row>
    <row r="17620" spans="27:27" ht="17.899999999999999" customHeight="1">
      <c r="AA17620"/>
    </row>
    <row r="17621" spans="27:27" ht="17.899999999999999" customHeight="1">
      <c r="AA17621"/>
    </row>
    <row r="17622" spans="27:27" ht="17.899999999999999" customHeight="1">
      <c r="AA17622"/>
    </row>
    <row r="17623" spans="27:27" ht="17.899999999999999" customHeight="1">
      <c r="AA17623"/>
    </row>
    <row r="17624" spans="27:27" ht="17.899999999999999" customHeight="1">
      <c r="AA17624"/>
    </row>
    <row r="17625" spans="27:27" ht="17.899999999999999" customHeight="1">
      <c r="AA17625"/>
    </row>
    <row r="17626" spans="27:27" ht="17.899999999999999" customHeight="1">
      <c r="AA17626"/>
    </row>
    <row r="17627" spans="27:27" ht="17.899999999999999" customHeight="1">
      <c r="AA17627"/>
    </row>
    <row r="17628" spans="27:27" ht="17.899999999999999" customHeight="1">
      <c r="AA17628"/>
    </row>
    <row r="17629" spans="27:27" ht="17.899999999999999" customHeight="1">
      <c r="AA17629"/>
    </row>
    <row r="17630" spans="27:27" ht="17.899999999999999" customHeight="1">
      <c r="AA17630"/>
    </row>
    <row r="17631" spans="27:27" ht="17.899999999999999" customHeight="1">
      <c r="AA17631"/>
    </row>
    <row r="17632" spans="27:27" ht="17.899999999999999" customHeight="1">
      <c r="AA17632"/>
    </row>
    <row r="17633" spans="27:27" ht="17.899999999999999" customHeight="1">
      <c r="AA17633"/>
    </row>
    <row r="17634" spans="27:27" ht="17.899999999999999" customHeight="1">
      <c r="AA17634"/>
    </row>
    <row r="17635" spans="27:27" ht="17.899999999999999" customHeight="1">
      <c r="AA17635"/>
    </row>
    <row r="17636" spans="27:27" ht="17.899999999999999" customHeight="1">
      <c r="AA17636"/>
    </row>
    <row r="17637" spans="27:27" ht="17.899999999999999" customHeight="1">
      <c r="AA17637"/>
    </row>
    <row r="17638" spans="27:27" ht="17.899999999999999" customHeight="1">
      <c r="AA17638"/>
    </row>
    <row r="17639" spans="27:27" ht="17.899999999999999" customHeight="1">
      <c r="AA17639"/>
    </row>
    <row r="17640" spans="27:27" ht="17.899999999999999" customHeight="1">
      <c r="AA17640"/>
    </row>
    <row r="17641" spans="27:27" ht="17.899999999999999" customHeight="1">
      <c r="AA17641"/>
    </row>
    <row r="17642" spans="27:27" ht="17.899999999999999" customHeight="1">
      <c r="AA17642"/>
    </row>
    <row r="17643" spans="27:27" ht="17.899999999999999" customHeight="1">
      <c r="AA17643"/>
    </row>
    <row r="17644" spans="27:27" ht="17.899999999999999" customHeight="1">
      <c r="AA17644"/>
    </row>
    <row r="17645" spans="27:27" ht="17.899999999999999" customHeight="1">
      <c r="AA17645"/>
    </row>
    <row r="17646" spans="27:27" ht="17.899999999999999" customHeight="1">
      <c r="AA17646"/>
    </row>
    <row r="17647" spans="27:27" ht="17.899999999999999" customHeight="1">
      <c r="AA17647"/>
    </row>
    <row r="17648" spans="27:27" ht="17.899999999999999" customHeight="1">
      <c r="AA17648"/>
    </row>
    <row r="17649" spans="27:27" ht="17.899999999999999" customHeight="1">
      <c r="AA17649"/>
    </row>
    <row r="17650" spans="27:27" ht="17.899999999999999" customHeight="1">
      <c r="AA17650"/>
    </row>
    <row r="17651" spans="27:27" ht="17.899999999999999" customHeight="1">
      <c r="AA17651"/>
    </row>
    <row r="17652" spans="27:27" ht="17.899999999999999" customHeight="1">
      <c r="AA17652"/>
    </row>
    <row r="17653" spans="27:27" ht="17.899999999999999" customHeight="1">
      <c r="AA17653"/>
    </row>
    <row r="17654" spans="27:27" ht="17.899999999999999" customHeight="1">
      <c r="AA17654"/>
    </row>
    <row r="17655" spans="27:27" ht="17.899999999999999" customHeight="1">
      <c r="AA17655"/>
    </row>
    <row r="17656" spans="27:27" ht="17.899999999999999" customHeight="1">
      <c r="AA17656"/>
    </row>
    <row r="17657" spans="27:27" ht="17.899999999999999" customHeight="1">
      <c r="AA17657"/>
    </row>
    <row r="17658" spans="27:27" ht="17.899999999999999" customHeight="1">
      <c r="AA17658"/>
    </row>
    <row r="17659" spans="27:27" ht="17.899999999999999" customHeight="1">
      <c r="AA17659"/>
    </row>
    <row r="17660" spans="27:27" ht="17.899999999999999" customHeight="1">
      <c r="AA17660"/>
    </row>
    <row r="17661" spans="27:27" ht="17.899999999999999" customHeight="1">
      <c r="AA17661"/>
    </row>
    <row r="17662" spans="27:27" ht="17.899999999999999" customHeight="1">
      <c r="AA17662"/>
    </row>
    <row r="17663" spans="27:27" ht="17.899999999999999" customHeight="1">
      <c r="AA17663"/>
    </row>
    <row r="17664" spans="27:27" ht="17.899999999999999" customHeight="1">
      <c r="AA17664"/>
    </row>
    <row r="17665" spans="27:27" ht="17.899999999999999" customHeight="1">
      <c r="AA17665"/>
    </row>
    <row r="17666" spans="27:27" ht="17.899999999999999" customHeight="1">
      <c r="AA17666"/>
    </row>
    <row r="17667" spans="27:27" ht="17.899999999999999" customHeight="1">
      <c r="AA17667"/>
    </row>
    <row r="17668" spans="27:27" ht="17.899999999999999" customHeight="1">
      <c r="AA17668"/>
    </row>
    <row r="17669" spans="27:27" ht="17.899999999999999" customHeight="1">
      <c r="AA17669"/>
    </row>
    <row r="17670" spans="27:27" ht="17.899999999999999" customHeight="1">
      <c r="AA17670"/>
    </row>
    <row r="17671" spans="27:27" ht="17.899999999999999" customHeight="1">
      <c r="AA17671"/>
    </row>
    <row r="17672" spans="27:27" ht="17.899999999999999" customHeight="1">
      <c r="AA17672"/>
    </row>
    <row r="17673" spans="27:27" ht="17.899999999999999" customHeight="1">
      <c r="AA17673"/>
    </row>
    <row r="17674" spans="27:27" ht="17.899999999999999" customHeight="1">
      <c r="AA17674"/>
    </row>
    <row r="17675" spans="27:27" ht="17.899999999999999" customHeight="1">
      <c r="AA17675"/>
    </row>
    <row r="17676" spans="27:27" ht="17.899999999999999" customHeight="1">
      <c r="AA17676"/>
    </row>
    <row r="17677" spans="27:27" ht="17.899999999999999" customHeight="1">
      <c r="AA17677"/>
    </row>
    <row r="17678" spans="27:27" ht="17.899999999999999" customHeight="1">
      <c r="AA17678"/>
    </row>
    <row r="17679" spans="27:27" ht="17.899999999999999" customHeight="1">
      <c r="AA17679"/>
    </row>
    <row r="17680" spans="27:27" ht="17.899999999999999" customHeight="1">
      <c r="AA17680"/>
    </row>
    <row r="17681" spans="27:27" ht="17.899999999999999" customHeight="1">
      <c r="AA17681"/>
    </row>
    <row r="17682" spans="27:27" ht="17.899999999999999" customHeight="1">
      <c r="AA17682"/>
    </row>
    <row r="17683" spans="27:27" ht="17.899999999999999" customHeight="1">
      <c r="AA17683"/>
    </row>
    <row r="17684" spans="27:27" ht="17.899999999999999" customHeight="1">
      <c r="AA17684"/>
    </row>
    <row r="17685" spans="27:27" ht="17.899999999999999" customHeight="1">
      <c r="AA17685"/>
    </row>
    <row r="17686" spans="27:27" ht="17.899999999999999" customHeight="1">
      <c r="AA17686"/>
    </row>
    <row r="17687" spans="27:27" ht="17.899999999999999" customHeight="1">
      <c r="AA17687"/>
    </row>
    <row r="17688" spans="27:27" ht="17.899999999999999" customHeight="1">
      <c r="AA17688"/>
    </row>
    <row r="17689" spans="27:27" ht="17.899999999999999" customHeight="1">
      <c r="AA17689"/>
    </row>
    <row r="17690" spans="27:27" ht="17.899999999999999" customHeight="1">
      <c r="AA17690"/>
    </row>
    <row r="17691" spans="27:27" ht="17.899999999999999" customHeight="1">
      <c r="AA17691"/>
    </row>
    <row r="17692" spans="27:27" ht="17.899999999999999" customHeight="1">
      <c r="AA17692"/>
    </row>
    <row r="17693" spans="27:27" ht="17.899999999999999" customHeight="1">
      <c r="AA17693"/>
    </row>
    <row r="17694" spans="27:27" ht="17.899999999999999" customHeight="1">
      <c r="AA17694"/>
    </row>
    <row r="17695" spans="27:27" ht="17.899999999999999" customHeight="1">
      <c r="AA17695"/>
    </row>
    <row r="17696" spans="27:27" ht="17.899999999999999" customHeight="1">
      <c r="AA17696"/>
    </row>
    <row r="17697" spans="27:27" ht="17.899999999999999" customHeight="1">
      <c r="AA17697"/>
    </row>
    <row r="17698" spans="27:27" ht="17.899999999999999" customHeight="1">
      <c r="AA17698"/>
    </row>
    <row r="17699" spans="27:27" ht="17.899999999999999" customHeight="1">
      <c r="AA17699"/>
    </row>
    <row r="17700" spans="27:27" ht="17.899999999999999" customHeight="1">
      <c r="AA17700"/>
    </row>
    <row r="17701" spans="27:27" ht="17.899999999999999" customHeight="1">
      <c r="AA17701"/>
    </row>
    <row r="17702" spans="27:27" ht="17.899999999999999" customHeight="1">
      <c r="AA17702"/>
    </row>
    <row r="17703" spans="27:27" ht="17.899999999999999" customHeight="1">
      <c r="AA17703"/>
    </row>
    <row r="17704" spans="27:27" ht="17.899999999999999" customHeight="1">
      <c r="AA17704"/>
    </row>
    <row r="17705" spans="27:27" ht="17.899999999999999" customHeight="1">
      <c r="AA17705"/>
    </row>
    <row r="17706" spans="27:27" ht="17.899999999999999" customHeight="1">
      <c r="AA17706"/>
    </row>
    <row r="17707" spans="27:27" ht="17.899999999999999" customHeight="1">
      <c r="AA17707"/>
    </row>
    <row r="17708" spans="27:27" ht="17.899999999999999" customHeight="1">
      <c r="AA17708"/>
    </row>
    <row r="17709" spans="27:27" ht="17.899999999999999" customHeight="1">
      <c r="AA17709"/>
    </row>
    <row r="17710" spans="27:27" ht="17.899999999999999" customHeight="1">
      <c r="AA17710"/>
    </row>
    <row r="17711" spans="27:27" ht="17.899999999999999" customHeight="1">
      <c r="AA17711"/>
    </row>
    <row r="17712" spans="27:27" ht="17.899999999999999" customHeight="1">
      <c r="AA17712"/>
    </row>
    <row r="17713" spans="27:27" ht="17.899999999999999" customHeight="1">
      <c r="AA17713"/>
    </row>
    <row r="17714" spans="27:27" ht="17.899999999999999" customHeight="1">
      <c r="AA17714"/>
    </row>
    <row r="17715" spans="27:27" ht="17.899999999999999" customHeight="1">
      <c r="AA17715"/>
    </row>
    <row r="17716" spans="27:27" ht="17.899999999999999" customHeight="1">
      <c r="AA17716"/>
    </row>
    <row r="17717" spans="27:27" ht="17.899999999999999" customHeight="1">
      <c r="AA17717"/>
    </row>
    <row r="17718" spans="27:27" ht="17.899999999999999" customHeight="1">
      <c r="AA17718"/>
    </row>
    <row r="17719" spans="27:27" ht="17.899999999999999" customHeight="1">
      <c r="AA17719"/>
    </row>
    <row r="17720" spans="27:27" ht="17.899999999999999" customHeight="1">
      <c r="AA17720"/>
    </row>
    <row r="17721" spans="27:27" ht="17.899999999999999" customHeight="1">
      <c r="AA17721"/>
    </row>
    <row r="17722" spans="27:27" ht="17.899999999999999" customHeight="1">
      <c r="AA17722"/>
    </row>
    <row r="17723" spans="27:27" ht="17.899999999999999" customHeight="1">
      <c r="AA17723"/>
    </row>
    <row r="17724" spans="27:27" ht="17.899999999999999" customHeight="1">
      <c r="AA17724"/>
    </row>
    <row r="17725" spans="27:27" ht="17.899999999999999" customHeight="1">
      <c r="AA17725"/>
    </row>
    <row r="17726" spans="27:27" ht="17.899999999999999" customHeight="1">
      <c r="AA17726"/>
    </row>
    <row r="17727" spans="27:27" ht="17.899999999999999" customHeight="1">
      <c r="AA17727"/>
    </row>
    <row r="17728" spans="27:27" ht="17.899999999999999" customHeight="1">
      <c r="AA17728"/>
    </row>
    <row r="17729" spans="27:27" ht="17.899999999999999" customHeight="1">
      <c r="AA17729"/>
    </row>
    <row r="17730" spans="27:27" ht="17.899999999999999" customHeight="1">
      <c r="AA17730"/>
    </row>
    <row r="17731" spans="27:27" ht="17.899999999999999" customHeight="1">
      <c r="AA17731"/>
    </row>
    <row r="17732" spans="27:27" ht="17.899999999999999" customHeight="1">
      <c r="AA17732"/>
    </row>
    <row r="17733" spans="27:27" ht="17.899999999999999" customHeight="1">
      <c r="AA17733"/>
    </row>
    <row r="17734" spans="27:27" ht="17.899999999999999" customHeight="1">
      <c r="AA17734"/>
    </row>
    <row r="17735" spans="27:27" ht="17.899999999999999" customHeight="1">
      <c r="AA17735"/>
    </row>
    <row r="17736" spans="27:27" ht="17.899999999999999" customHeight="1">
      <c r="AA17736"/>
    </row>
    <row r="17737" spans="27:27" ht="17.899999999999999" customHeight="1">
      <c r="AA17737"/>
    </row>
    <row r="17738" spans="27:27" ht="17.899999999999999" customHeight="1">
      <c r="AA17738"/>
    </row>
    <row r="17739" spans="27:27" ht="17.899999999999999" customHeight="1">
      <c r="AA17739"/>
    </row>
    <row r="17740" spans="27:27" ht="17.899999999999999" customHeight="1">
      <c r="AA17740"/>
    </row>
    <row r="17741" spans="27:27" ht="17.899999999999999" customHeight="1">
      <c r="AA17741"/>
    </row>
    <row r="17742" spans="27:27" ht="17.899999999999999" customHeight="1">
      <c r="AA17742"/>
    </row>
    <row r="17743" spans="27:27" ht="17.899999999999999" customHeight="1">
      <c r="AA17743"/>
    </row>
    <row r="17744" spans="27:27" ht="17.899999999999999" customHeight="1">
      <c r="AA17744"/>
    </row>
    <row r="17745" spans="27:27" ht="17.899999999999999" customHeight="1">
      <c r="AA17745"/>
    </row>
    <row r="17746" spans="27:27" ht="17.899999999999999" customHeight="1">
      <c r="AA17746"/>
    </row>
    <row r="17747" spans="27:27" ht="17.899999999999999" customHeight="1">
      <c r="AA17747"/>
    </row>
    <row r="17748" spans="27:27" ht="17.899999999999999" customHeight="1">
      <c r="AA17748"/>
    </row>
    <row r="17749" spans="27:27" ht="17.899999999999999" customHeight="1">
      <c r="AA17749"/>
    </row>
    <row r="17750" spans="27:27" ht="17.899999999999999" customHeight="1">
      <c r="AA17750"/>
    </row>
    <row r="17751" spans="27:27" ht="17.899999999999999" customHeight="1">
      <c r="AA17751"/>
    </row>
    <row r="17752" spans="27:27" ht="17.899999999999999" customHeight="1">
      <c r="AA17752"/>
    </row>
    <row r="17753" spans="27:27" ht="17.899999999999999" customHeight="1">
      <c r="AA17753"/>
    </row>
    <row r="17754" spans="27:27" ht="17.899999999999999" customHeight="1">
      <c r="AA17754"/>
    </row>
    <row r="17755" spans="27:27" ht="17.899999999999999" customHeight="1">
      <c r="AA17755"/>
    </row>
    <row r="17756" spans="27:27" ht="17.899999999999999" customHeight="1">
      <c r="AA17756"/>
    </row>
    <row r="17757" spans="27:27" ht="17.899999999999999" customHeight="1">
      <c r="AA17757"/>
    </row>
    <row r="17758" spans="27:27" ht="17.899999999999999" customHeight="1">
      <c r="AA17758"/>
    </row>
    <row r="17759" spans="27:27" ht="17.899999999999999" customHeight="1">
      <c r="AA17759"/>
    </row>
    <row r="17760" spans="27:27" ht="17.899999999999999" customHeight="1">
      <c r="AA17760"/>
    </row>
    <row r="17761" spans="27:27" ht="17.899999999999999" customHeight="1">
      <c r="AA17761"/>
    </row>
    <row r="17762" spans="27:27" ht="17.899999999999999" customHeight="1">
      <c r="AA17762"/>
    </row>
    <row r="17763" spans="27:27" ht="17.899999999999999" customHeight="1">
      <c r="AA17763"/>
    </row>
    <row r="17764" spans="27:27" ht="17.899999999999999" customHeight="1">
      <c r="AA17764"/>
    </row>
    <row r="17765" spans="27:27" ht="17.899999999999999" customHeight="1">
      <c r="AA17765"/>
    </row>
    <row r="17766" spans="27:27" ht="17.899999999999999" customHeight="1">
      <c r="AA17766"/>
    </row>
    <row r="17767" spans="27:27" ht="17.899999999999999" customHeight="1">
      <c r="AA17767"/>
    </row>
    <row r="17768" spans="27:27" ht="17.899999999999999" customHeight="1">
      <c r="AA17768"/>
    </row>
    <row r="17769" spans="27:27" ht="17.899999999999999" customHeight="1">
      <c r="AA17769"/>
    </row>
    <row r="17770" spans="27:27" ht="17.899999999999999" customHeight="1">
      <c r="AA17770"/>
    </row>
    <row r="17771" spans="27:27" ht="17.899999999999999" customHeight="1">
      <c r="AA17771"/>
    </row>
    <row r="17772" spans="27:27" ht="17.899999999999999" customHeight="1">
      <c r="AA17772"/>
    </row>
    <row r="17773" spans="27:27" ht="17.899999999999999" customHeight="1">
      <c r="AA17773"/>
    </row>
    <row r="17774" spans="27:27" ht="17.899999999999999" customHeight="1">
      <c r="AA17774"/>
    </row>
    <row r="17775" spans="27:27" ht="17.899999999999999" customHeight="1">
      <c r="AA17775"/>
    </row>
    <row r="17776" spans="27:27" ht="17.899999999999999" customHeight="1">
      <c r="AA17776"/>
    </row>
    <row r="17777" spans="27:27" ht="17.899999999999999" customHeight="1">
      <c r="AA17777"/>
    </row>
    <row r="17778" spans="27:27" ht="17.899999999999999" customHeight="1">
      <c r="AA17778"/>
    </row>
    <row r="17779" spans="27:27" ht="17.899999999999999" customHeight="1">
      <c r="AA17779"/>
    </row>
    <row r="17780" spans="27:27" ht="17.899999999999999" customHeight="1">
      <c r="AA17780"/>
    </row>
    <row r="17781" spans="27:27" ht="17.899999999999999" customHeight="1">
      <c r="AA17781"/>
    </row>
    <row r="17782" spans="27:27" ht="17.899999999999999" customHeight="1">
      <c r="AA17782"/>
    </row>
    <row r="17783" spans="27:27" ht="17.899999999999999" customHeight="1">
      <c r="AA17783"/>
    </row>
    <row r="17784" spans="27:27" ht="17.899999999999999" customHeight="1">
      <c r="AA17784"/>
    </row>
    <row r="17785" spans="27:27" ht="17.899999999999999" customHeight="1">
      <c r="AA17785"/>
    </row>
    <row r="17786" spans="27:27" ht="17.899999999999999" customHeight="1">
      <c r="AA17786"/>
    </row>
    <row r="17787" spans="27:27" ht="17.899999999999999" customHeight="1">
      <c r="AA17787"/>
    </row>
    <row r="17788" spans="27:27" ht="17.899999999999999" customHeight="1">
      <c r="AA17788"/>
    </row>
    <row r="17789" spans="27:27" ht="17.899999999999999" customHeight="1">
      <c r="AA17789"/>
    </row>
    <row r="17790" spans="27:27" ht="17.899999999999999" customHeight="1">
      <c r="AA17790"/>
    </row>
    <row r="17791" spans="27:27" ht="17.899999999999999" customHeight="1">
      <c r="AA17791"/>
    </row>
    <row r="17792" spans="27:27" ht="17.899999999999999" customHeight="1">
      <c r="AA17792"/>
    </row>
    <row r="17793" spans="27:27" ht="17.899999999999999" customHeight="1">
      <c r="AA17793"/>
    </row>
    <row r="17794" spans="27:27" ht="17.899999999999999" customHeight="1">
      <c r="AA17794"/>
    </row>
    <row r="17795" spans="27:27" ht="17.899999999999999" customHeight="1">
      <c r="AA17795"/>
    </row>
    <row r="17796" spans="27:27" ht="17.899999999999999" customHeight="1">
      <c r="AA17796"/>
    </row>
    <row r="17797" spans="27:27" ht="17.899999999999999" customHeight="1">
      <c r="AA17797"/>
    </row>
    <row r="17798" spans="27:27" ht="17.899999999999999" customHeight="1">
      <c r="AA17798"/>
    </row>
    <row r="17799" spans="27:27" ht="17.899999999999999" customHeight="1">
      <c r="AA17799"/>
    </row>
    <row r="17800" spans="27:27" ht="17.899999999999999" customHeight="1">
      <c r="AA17800"/>
    </row>
    <row r="17801" spans="27:27" ht="17.899999999999999" customHeight="1">
      <c r="AA17801"/>
    </row>
    <row r="17802" spans="27:27" ht="17.899999999999999" customHeight="1">
      <c r="AA17802"/>
    </row>
    <row r="17803" spans="27:27" ht="17.899999999999999" customHeight="1">
      <c r="AA17803"/>
    </row>
    <row r="17804" spans="27:27" ht="17.899999999999999" customHeight="1">
      <c r="AA17804"/>
    </row>
    <row r="17805" spans="27:27" ht="17.899999999999999" customHeight="1">
      <c r="AA17805"/>
    </row>
    <row r="17806" spans="27:27" ht="17.899999999999999" customHeight="1">
      <c r="AA17806"/>
    </row>
    <row r="17807" spans="27:27" ht="17.899999999999999" customHeight="1">
      <c r="AA17807"/>
    </row>
    <row r="17808" spans="27:27" ht="17.899999999999999" customHeight="1">
      <c r="AA17808"/>
    </row>
    <row r="17809" spans="27:27" ht="17.899999999999999" customHeight="1">
      <c r="AA17809"/>
    </row>
    <row r="17810" spans="27:27" ht="17.899999999999999" customHeight="1">
      <c r="AA17810"/>
    </row>
    <row r="17811" spans="27:27" ht="17.899999999999999" customHeight="1">
      <c r="AA17811"/>
    </row>
    <row r="17812" spans="27:27" ht="17.899999999999999" customHeight="1">
      <c r="AA17812"/>
    </row>
    <row r="17813" spans="27:27" ht="17.899999999999999" customHeight="1">
      <c r="AA17813"/>
    </row>
    <row r="17814" spans="27:27" ht="17.899999999999999" customHeight="1">
      <c r="AA17814"/>
    </row>
    <row r="17815" spans="27:27" ht="17.899999999999999" customHeight="1">
      <c r="AA17815"/>
    </row>
    <row r="17816" spans="27:27" ht="17.899999999999999" customHeight="1">
      <c r="AA17816"/>
    </row>
    <row r="17817" spans="27:27" ht="17.899999999999999" customHeight="1">
      <c r="AA17817"/>
    </row>
    <row r="17818" spans="27:27" ht="17.899999999999999" customHeight="1">
      <c r="AA17818"/>
    </row>
    <row r="17819" spans="27:27" ht="17.899999999999999" customHeight="1">
      <c r="AA17819"/>
    </row>
    <row r="17820" spans="27:27" ht="17.899999999999999" customHeight="1">
      <c r="AA17820"/>
    </row>
    <row r="17821" spans="27:27" ht="17.899999999999999" customHeight="1">
      <c r="AA17821"/>
    </row>
    <row r="17822" spans="27:27" ht="17.899999999999999" customHeight="1">
      <c r="AA17822"/>
    </row>
    <row r="17823" spans="27:27" ht="17.899999999999999" customHeight="1">
      <c r="AA17823"/>
    </row>
    <row r="17824" spans="27:27" ht="17.899999999999999" customHeight="1">
      <c r="AA17824"/>
    </row>
    <row r="17825" spans="27:27" ht="17.899999999999999" customHeight="1">
      <c r="AA17825"/>
    </row>
    <row r="17826" spans="27:27" ht="17.899999999999999" customHeight="1">
      <c r="AA17826"/>
    </row>
    <row r="17827" spans="27:27" ht="17.899999999999999" customHeight="1">
      <c r="AA17827"/>
    </row>
    <row r="17828" spans="27:27" ht="17.899999999999999" customHeight="1">
      <c r="AA17828"/>
    </row>
    <row r="17829" spans="27:27" ht="17.899999999999999" customHeight="1">
      <c r="AA17829"/>
    </row>
    <row r="17830" spans="27:27" ht="17.899999999999999" customHeight="1">
      <c r="AA17830"/>
    </row>
    <row r="17831" spans="27:27" ht="17.899999999999999" customHeight="1">
      <c r="AA17831"/>
    </row>
    <row r="17832" spans="27:27" ht="17.899999999999999" customHeight="1">
      <c r="AA17832"/>
    </row>
    <row r="17833" spans="27:27" ht="17.899999999999999" customHeight="1">
      <c r="AA17833"/>
    </row>
    <row r="17834" spans="27:27" ht="17.899999999999999" customHeight="1">
      <c r="AA17834"/>
    </row>
    <row r="17835" spans="27:27" ht="17.899999999999999" customHeight="1">
      <c r="AA17835"/>
    </row>
    <row r="17836" spans="27:27" ht="17.899999999999999" customHeight="1">
      <c r="AA17836"/>
    </row>
    <row r="17837" spans="27:27" ht="17.899999999999999" customHeight="1">
      <c r="AA17837"/>
    </row>
    <row r="17838" spans="27:27" ht="17.899999999999999" customHeight="1">
      <c r="AA17838"/>
    </row>
    <row r="17839" spans="27:27" ht="17.899999999999999" customHeight="1">
      <c r="AA17839"/>
    </row>
    <row r="17840" spans="27:27" ht="17.899999999999999" customHeight="1">
      <c r="AA17840"/>
    </row>
    <row r="17841" spans="27:27" ht="17.899999999999999" customHeight="1">
      <c r="AA17841"/>
    </row>
    <row r="17842" spans="27:27" ht="17.899999999999999" customHeight="1">
      <c r="AA17842"/>
    </row>
    <row r="17843" spans="27:27" ht="17.899999999999999" customHeight="1">
      <c r="AA17843"/>
    </row>
    <row r="17844" spans="27:27" ht="17.899999999999999" customHeight="1">
      <c r="AA17844"/>
    </row>
    <row r="17845" spans="27:27" ht="17.899999999999999" customHeight="1">
      <c r="AA17845"/>
    </row>
    <row r="17846" spans="27:27" ht="17.899999999999999" customHeight="1">
      <c r="AA17846"/>
    </row>
    <row r="17847" spans="27:27" ht="17.899999999999999" customHeight="1">
      <c r="AA17847"/>
    </row>
    <row r="17848" spans="27:27" ht="17.899999999999999" customHeight="1">
      <c r="AA17848"/>
    </row>
    <row r="17849" spans="27:27" ht="17.899999999999999" customHeight="1">
      <c r="AA17849"/>
    </row>
    <row r="17850" spans="27:27" ht="17.899999999999999" customHeight="1">
      <c r="AA17850"/>
    </row>
    <row r="17851" spans="27:27" ht="17.899999999999999" customHeight="1">
      <c r="AA17851"/>
    </row>
    <row r="17852" spans="27:27" ht="17.899999999999999" customHeight="1">
      <c r="AA17852"/>
    </row>
    <row r="17853" spans="27:27" ht="17.899999999999999" customHeight="1">
      <c r="AA17853"/>
    </row>
    <row r="17854" spans="27:27" ht="17.899999999999999" customHeight="1">
      <c r="AA17854"/>
    </row>
    <row r="17855" spans="27:27" ht="17.899999999999999" customHeight="1">
      <c r="AA17855"/>
    </row>
    <row r="17856" spans="27:27" ht="17.899999999999999" customHeight="1">
      <c r="AA17856"/>
    </row>
    <row r="17857" spans="27:27" ht="17.899999999999999" customHeight="1">
      <c r="AA17857"/>
    </row>
    <row r="17858" spans="27:27" ht="17.899999999999999" customHeight="1">
      <c r="AA17858"/>
    </row>
    <row r="17859" spans="27:27" ht="17.899999999999999" customHeight="1">
      <c r="AA17859"/>
    </row>
    <row r="17860" spans="27:27" ht="17.899999999999999" customHeight="1">
      <c r="AA17860"/>
    </row>
    <row r="17861" spans="27:27" ht="17.899999999999999" customHeight="1">
      <c r="AA17861"/>
    </row>
    <row r="17862" spans="27:27" ht="17.899999999999999" customHeight="1">
      <c r="AA17862"/>
    </row>
    <row r="17863" spans="27:27" ht="17.899999999999999" customHeight="1">
      <c r="AA17863"/>
    </row>
    <row r="17864" spans="27:27" ht="17.899999999999999" customHeight="1">
      <c r="AA17864"/>
    </row>
    <row r="17865" spans="27:27" ht="17.899999999999999" customHeight="1">
      <c r="AA17865"/>
    </row>
    <row r="17866" spans="27:27" ht="17.899999999999999" customHeight="1">
      <c r="AA17866"/>
    </row>
    <row r="17867" spans="27:27" ht="17.899999999999999" customHeight="1">
      <c r="AA17867"/>
    </row>
    <row r="17868" spans="27:27" ht="17.899999999999999" customHeight="1">
      <c r="AA17868"/>
    </row>
    <row r="17869" spans="27:27" ht="17.899999999999999" customHeight="1">
      <c r="AA17869"/>
    </row>
    <row r="17870" spans="27:27" ht="17.899999999999999" customHeight="1">
      <c r="AA17870"/>
    </row>
    <row r="17871" spans="27:27" ht="17.899999999999999" customHeight="1">
      <c r="AA17871"/>
    </row>
    <row r="17872" spans="27:27" ht="17.899999999999999" customHeight="1">
      <c r="AA17872"/>
    </row>
    <row r="17873" spans="27:27" ht="17.899999999999999" customHeight="1">
      <c r="AA17873"/>
    </row>
    <row r="17874" spans="27:27" ht="17.899999999999999" customHeight="1">
      <c r="AA17874"/>
    </row>
    <row r="17875" spans="27:27" ht="17.899999999999999" customHeight="1">
      <c r="AA17875"/>
    </row>
    <row r="17876" spans="27:27" ht="17.899999999999999" customHeight="1">
      <c r="AA17876"/>
    </row>
    <row r="17877" spans="27:27" ht="17.899999999999999" customHeight="1">
      <c r="AA17877"/>
    </row>
    <row r="17878" spans="27:27" ht="17.899999999999999" customHeight="1">
      <c r="AA17878"/>
    </row>
    <row r="17879" spans="27:27" ht="17.899999999999999" customHeight="1">
      <c r="AA17879"/>
    </row>
    <row r="17880" spans="27:27" ht="17.899999999999999" customHeight="1">
      <c r="AA17880"/>
    </row>
    <row r="17881" spans="27:27" ht="17.899999999999999" customHeight="1">
      <c r="AA17881"/>
    </row>
    <row r="17882" spans="27:27" ht="17.899999999999999" customHeight="1">
      <c r="AA17882"/>
    </row>
    <row r="17883" spans="27:27" ht="17.899999999999999" customHeight="1">
      <c r="AA17883"/>
    </row>
    <row r="17884" spans="27:27" ht="17.899999999999999" customHeight="1">
      <c r="AA17884"/>
    </row>
    <row r="17885" spans="27:27" ht="17.899999999999999" customHeight="1">
      <c r="AA17885"/>
    </row>
    <row r="17886" spans="27:27" ht="17.899999999999999" customHeight="1">
      <c r="AA17886"/>
    </row>
    <row r="17887" spans="27:27" ht="17.899999999999999" customHeight="1">
      <c r="AA17887"/>
    </row>
    <row r="17888" spans="27:27" ht="17.899999999999999" customHeight="1">
      <c r="AA17888"/>
    </row>
    <row r="17889" spans="27:27" ht="17.899999999999999" customHeight="1">
      <c r="AA17889"/>
    </row>
    <row r="17890" spans="27:27" ht="17.899999999999999" customHeight="1">
      <c r="AA17890"/>
    </row>
    <row r="17891" spans="27:27" ht="17.899999999999999" customHeight="1">
      <c r="AA17891"/>
    </row>
    <row r="17892" spans="27:27" ht="17.899999999999999" customHeight="1">
      <c r="AA17892"/>
    </row>
    <row r="17893" spans="27:27" ht="17.899999999999999" customHeight="1">
      <c r="AA17893"/>
    </row>
    <row r="17894" spans="27:27" ht="17.899999999999999" customHeight="1">
      <c r="AA17894"/>
    </row>
    <row r="17895" spans="27:27" ht="17.899999999999999" customHeight="1">
      <c r="AA17895"/>
    </row>
    <row r="17896" spans="27:27" ht="17.899999999999999" customHeight="1">
      <c r="AA17896"/>
    </row>
    <row r="17897" spans="27:27" ht="17.899999999999999" customHeight="1">
      <c r="AA17897"/>
    </row>
    <row r="17898" spans="27:27" ht="17.899999999999999" customHeight="1">
      <c r="AA17898"/>
    </row>
    <row r="17899" spans="27:27" ht="17.899999999999999" customHeight="1">
      <c r="AA17899"/>
    </row>
    <row r="17900" spans="27:27" ht="17.899999999999999" customHeight="1">
      <c r="AA17900"/>
    </row>
    <row r="17901" spans="27:27" ht="17.899999999999999" customHeight="1">
      <c r="AA17901"/>
    </row>
    <row r="17902" spans="27:27" ht="17.899999999999999" customHeight="1">
      <c r="AA17902"/>
    </row>
    <row r="17903" spans="27:27" ht="17.899999999999999" customHeight="1">
      <c r="AA17903"/>
    </row>
    <row r="17904" spans="27:27" ht="17.899999999999999" customHeight="1">
      <c r="AA17904"/>
    </row>
    <row r="17905" spans="27:27" ht="17.899999999999999" customHeight="1">
      <c r="AA17905"/>
    </row>
    <row r="17906" spans="27:27" ht="17.899999999999999" customHeight="1">
      <c r="AA17906"/>
    </row>
    <row r="17907" spans="27:27" ht="17.899999999999999" customHeight="1">
      <c r="AA17907"/>
    </row>
    <row r="17908" spans="27:27" ht="17.899999999999999" customHeight="1">
      <c r="AA17908"/>
    </row>
    <row r="17909" spans="27:27" ht="17.899999999999999" customHeight="1">
      <c r="AA17909"/>
    </row>
    <row r="17910" spans="27:27" ht="17.899999999999999" customHeight="1">
      <c r="AA17910"/>
    </row>
    <row r="17911" spans="27:27" ht="17.899999999999999" customHeight="1">
      <c r="AA17911"/>
    </row>
    <row r="17912" spans="27:27" ht="17.899999999999999" customHeight="1">
      <c r="AA17912"/>
    </row>
    <row r="17913" spans="27:27" ht="17.899999999999999" customHeight="1">
      <c r="AA17913"/>
    </row>
    <row r="17914" spans="27:27" ht="17.899999999999999" customHeight="1">
      <c r="AA17914"/>
    </row>
    <row r="17915" spans="27:27" ht="17.899999999999999" customHeight="1">
      <c r="AA17915"/>
    </row>
    <row r="17916" spans="27:27" ht="17.899999999999999" customHeight="1">
      <c r="AA17916"/>
    </row>
    <row r="17917" spans="27:27" ht="17.899999999999999" customHeight="1">
      <c r="AA17917"/>
    </row>
    <row r="17918" spans="27:27" ht="17.899999999999999" customHeight="1">
      <c r="AA17918"/>
    </row>
    <row r="17919" spans="27:27" ht="17.899999999999999" customHeight="1">
      <c r="AA17919"/>
    </row>
    <row r="17920" spans="27:27" ht="17.899999999999999" customHeight="1">
      <c r="AA17920"/>
    </row>
    <row r="17921" spans="27:27" ht="17.899999999999999" customHeight="1">
      <c r="AA17921"/>
    </row>
    <row r="17922" spans="27:27" ht="17.899999999999999" customHeight="1">
      <c r="AA17922"/>
    </row>
    <row r="17923" spans="27:27" ht="17.899999999999999" customHeight="1">
      <c r="AA17923"/>
    </row>
    <row r="17924" spans="27:27" ht="17.899999999999999" customHeight="1">
      <c r="AA17924"/>
    </row>
    <row r="17925" spans="27:27" ht="17.899999999999999" customHeight="1">
      <c r="AA17925"/>
    </row>
    <row r="17926" spans="27:27" ht="17.899999999999999" customHeight="1">
      <c r="AA17926"/>
    </row>
    <row r="17927" spans="27:27" ht="17.899999999999999" customHeight="1">
      <c r="AA17927"/>
    </row>
    <row r="17928" spans="27:27" ht="17.899999999999999" customHeight="1">
      <c r="AA17928"/>
    </row>
    <row r="17929" spans="27:27" ht="17.899999999999999" customHeight="1">
      <c r="AA17929"/>
    </row>
    <row r="17930" spans="27:27" ht="17.899999999999999" customHeight="1">
      <c r="AA17930"/>
    </row>
    <row r="17931" spans="27:27" ht="17.899999999999999" customHeight="1">
      <c r="AA17931"/>
    </row>
    <row r="17932" spans="27:27" ht="17.899999999999999" customHeight="1">
      <c r="AA17932"/>
    </row>
    <row r="17933" spans="27:27" ht="17.899999999999999" customHeight="1">
      <c r="AA17933"/>
    </row>
    <row r="17934" spans="27:27" ht="17.899999999999999" customHeight="1">
      <c r="AA17934"/>
    </row>
    <row r="17935" spans="27:27" ht="17.899999999999999" customHeight="1">
      <c r="AA17935"/>
    </row>
    <row r="17936" spans="27:27" ht="17.899999999999999" customHeight="1">
      <c r="AA17936"/>
    </row>
    <row r="17937" spans="27:27" ht="17.899999999999999" customHeight="1">
      <c r="AA17937"/>
    </row>
    <row r="17938" spans="27:27" ht="17.899999999999999" customHeight="1">
      <c r="AA17938"/>
    </row>
    <row r="17939" spans="27:27" ht="17.899999999999999" customHeight="1">
      <c r="AA17939"/>
    </row>
    <row r="17940" spans="27:27" ht="17.899999999999999" customHeight="1">
      <c r="AA17940"/>
    </row>
    <row r="17941" spans="27:27" ht="17.899999999999999" customHeight="1">
      <c r="AA17941"/>
    </row>
    <row r="17942" spans="27:27" ht="17.899999999999999" customHeight="1">
      <c r="AA17942"/>
    </row>
    <row r="17943" spans="27:27" ht="17.899999999999999" customHeight="1">
      <c r="AA17943"/>
    </row>
    <row r="17944" spans="27:27" ht="17.899999999999999" customHeight="1">
      <c r="AA17944"/>
    </row>
    <row r="17945" spans="27:27" ht="17.899999999999999" customHeight="1">
      <c r="AA17945"/>
    </row>
    <row r="17946" spans="27:27" ht="17.899999999999999" customHeight="1">
      <c r="AA17946"/>
    </row>
    <row r="17947" spans="27:27" ht="17.899999999999999" customHeight="1">
      <c r="AA17947"/>
    </row>
    <row r="17948" spans="27:27" ht="17.899999999999999" customHeight="1">
      <c r="AA17948"/>
    </row>
    <row r="17949" spans="27:27" ht="17.899999999999999" customHeight="1">
      <c r="AA17949"/>
    </row>
    <row r="17950" spans="27:27" ht="17.899999999999999" customHeight="1">
      <c r="AA17950"/>
    </row>
    <row r="17951" spans="27:27" ht="17.899999999999999" customHeight="1">
      <c r="AA17951"/>
    </row>
    <row r="17952" spans="27:27" ht="17.899999999999999" customHeight="1">
      <c r="AA17952"/>
    </row>
    <row r="17953" spans="27:27" ht="17.899999999999999" customHeight="1">
      <c r="AA17953"/>
    </row>
    <row r="17954" spans="27:27" ht="17.899999999999999" customHeight="1">
      <c r="AA17954"/>
    </row>
    <row r="17955" spans="27:27" ht="17.899999999999999" customHeight="1">
      <c r="AA17955"/>
    </row>
    <row r="17956" spans="27:27" ht="17.899999999999999" customHeight="1">
      <c r="AA17956"/>
    </row>
    <row r="17957" spans="27:27" ht="17.899999999999999" customHeight="1">
      <c r="AA17957"/>
    </row>
    <row r="17958" spans="27:27" ht="17.899999999999999" customHeight="1">
      <c r="AA17958"/>
    </row>
    <row r="17959" spans="27:27" ht="17.899999999999999" customHeight="1">
      <c r="AA17959"/>
    </row>
    <row r="17960" spans="27:27" ht="17.899999999999999" customHeight="1">
      <c r="AA17960"/>
    </row>
    <row r="17961" spans="27:27" ht="17.899999999999999" customHeight="1">
      <c r="AA17961"/>
    </row>
    <row r="17962" spans="27:27" ht="17.899999999999999" customHeight="1">
      <c r="AA17962"/>
    </row>
    <row r="17963" spans="27:27" ht="17.899999999999999" customHeight="1">
      <c r="AA17963"/>
    </row>
    <row r="17964" spans="27:27" ht="17.899999999999999" customHeight="1">
      <c r="AA17964"/>
    </row>
    <row r="17965" spans="27:27" ht="17.899999999999999" customHeight="1">
      <c r="AA17965"/>
    </row>
    <row r="17966" spans="27:27" ht="17.899999999999999" customHeight="1">
      <c r="AA17966"/>
    </row>
    <row r="17967" spans="27:27" ht="17.899999999999999" customHeight="1">
      <c r="AA17967"/>
    </row>
    <row r="17968" spans="27:27" ht="17.899999999999999" customHeight="1">
      <c r="AA17968"/>
    </row>
    <row r="17969" spans="27:27" ht="17.899999999999999" customHeight="1">
      <c r="AA17969"/>
    </row>
    <row r="17970" spans="27:27" ht="17.899999999999999" customHeight="1">
      <c r="AA17970"/>
    </row>
    <row r="17971" spans="27:27" ht="17.899999999999999" customHeight="1">
      <c r="AA17971"/>
    </row>
    <row r="17972" spans="27:27" ht="17.899999999999999" customHeight="1">
      <c r="AA17972"/>
    </row>
    <row r="17973" spans="27:27" ht="17.899999999999999" customHeight="1">
      <c r="AA17973"/>
    </row>
    <row r="17974" spans="27:27" ht="17.899999999999999" customHeight="1">
      <c r="AA17974"/>
    </row>
    <row r="17975" spans="27:27" ht="17.899999999999999" customHeight="1">
      <c r="AA17975"/>
    </row>
    <row r="17976" spans="27:27" ht="17.899999999999999" customHeight="1">
      <c r="AA17976"/>
    </row>
    <row r="17977" spans="27:27" ht="17.899999999999999" customHeight="1">
      <c r="AA17977"/>
    </row>
    <row r="17978" spans="27:27" ht="17.899999999999999" customHeight="1">
      <c r="AA17978"/>
    </row>
    <row r="17979" spans="27:27" ht="17.899999999999999" customHeight="1">
      <c r="AA17979"/>
    </row>
    <row r="17980" spans="27:27" ht="17.899999999999999" customHeight="1">
      <c r="AA17980"/>
    </row>
    <row r="17981" spans="27:27" ht="17.899999999999999" customHeight="1">
      <c r="AA17981"/>
    </row>
    <row r="17982" spans="27:27" ht="17.899999999999999" customHeight="1">
      <c r="AA17982"/>
    </row>
    <row r="17983" spans="27:27" ht="17.899999999999999" customHeight="1">
      <c r="AA17983"/>
    </row>
    <row r="17984" spans="27:27" ht="17.899999999999999" customHeight="1">
      <c r="AA17984"/>
    </row>
    <row r="17985" spans="27:27" ht="17.899999999999999" customHeight="1">
      <c r="AA17985"/>
    </row>
    <row r="17986" spans="27:27" ht="17.899999999999999" customHeight="1">
      <c r="AA17986"/>
    </row>
    <row r="17987" spans="27:27" ht="17.899999999999999" customHeight="1">
      <c r="AA17987"/>
    </row>
    <row r="17988" spans="27:27" ht="17.899999999999999" customHeight="1">
      <c r="AA17988"/>
    </row>
    <row r="17989" spans="27:27" ht="17.899999999999999" customHeight="1">
      <c r="AA17989"/>
    </row>
    <row r="17990" spans="27:27" ht="17.899999999999999" customHeight="1">
      <c r="AA17990"/>
    </row>
    <row r="17991" spans="27:27" ht="17.899999999999999" customHeight="1">
      <c r="AA17991"/>
    </row>
    <row r="17992" spans="27:27" ht="17.899999999999999" customHeight="1">
      <c r="AA17992"/>
    </row>
    <row r="17993" spans="27:27" ht="17.899999999999999" customHeight="1">
      <c r="AA17993"/>
    </row>
    <row r="17994" spans="27:27" ht="17.899999999999999" customHeight="1">
      <c r="AA17994"/>
    </row>
    <row r="17995" spans="27:27" ht="17.899999999999999" customHeight="1">
      <c r="AA17995"/>
    </row>
    <row r="17996" spans="27:27" ht="17.899999999999999" customHeight="1">
      <c r="AA17996"/>
    </row>
    <row r="17997" spans="27:27" ht="17.899999999999999" customHeight="1">
      <c r="AA17997"/>
    </row>
    <row r="17998" spans="27:27" ht="17.899999999999999" customHeight="1">
      <c r="AA17998"/>
    </row>
    <row r="17999" spans="27:27" ht="17.899999999999999" customHeight="1">
      <c r="AA17999"/>
    </row>
    <row r="18000" spans="27:27" ht="17.899999999999999" customHeight="1">
      <c r="AA18000"/>
    </row>
    <row r="18001" spans="27:27" ht="17.899999999999999" customHeight="1">
      <c r="AA18001"/>
    </row>
    <row r="18002" spans="27:27" ht="17.899999999999999" customHeight="1">
      <c r="AA18002"/>
    </row>
    <row r="18003" spans="27:27" ht="17.899999999999999" customHeight="1">
      <c r="AA18003"/>
    </row>
    <row r="18004" spans="27:27" ht="17.899999999999999" customHeight="1">
      <c r="AA18004"/>
    </row>
    <row r="18005" spans="27:27" ht="17.899999999999999" customHeight="1">
      <c r="AA18005"/>
    </row>
    <row r="18006" spans="27:27" ht="17.899999999999999" customHeight="1">
      <c r="AA18006"/>
    </row>
    <row r="18007" spans="27:27" ht="17.899999999999999" customHeight="1">
      <c r="AA18007"/>
    </row>
    <row r="18008" spans="27:27" ht="17.899999999999999" customHeight="1">
      <c r="AA18008"/>
    </row>
    <row r="18009" spans="27:27" ht="17.899999999999999" customHeight="1">
      <c r="AA18009"/>
    </row>
    <row r="18010" spans="27:27" ht="17.899999999999999" customHeight="1">
      <c r="AA18010"/>
    </row>
    <row r="18011" spans="27:27" ht="17.899999999999999" customHeight="1">
      <c r="AA18011"/>
    </row>
    <row r="18012" spans="27:27" ht="17.899999999999999" customHeight="1">
      <c r="AA18012"/>
    </row>
    <row r="18013" spans="27:27" ht="17.899999999999999" customHeight="1">
      <c r="AA18013"/>
    </row>
    <row r="18014" spans="27:27" ht="17.899999999999999" customHeight="1">
      <c r="AA18014"/>
    </row>
    <row r="18015" spans="27:27" ht="17.899999999999999" customHeight="1">
      <c r="AA18015"/>
    </row>
    <row r="18016" spans="27:27" ht="17.899999999999999" customHeight="1">
      <c r="AA18016"/>
    </row>
    <row r="18017" spans="27:27" ht="17.899999999999999" customHeight="1">
      <c r="AA18017"/>
    </row>
    <row r="18018" spans="27:27" ht="17.899999999999999" customHeight="1">
      <c r="AA18018"/>
    </row>
    <row r="18019" spans="27:27" ht="17.899999999999999" customHeight="1">
      <c r="AA18019"/>
    </row>
    <row r="18020" spans="27:27" ht="17.899999999999999" customHeight="1">
      <c r="AA18020"/>
    </row>
    <row r="18021" spans="27:27" ht="17.899999999999999" customHeight="1">
      <c r="AA18021"/>
    </row>
    <row r="18022" spans="27:27" ht="17.899999999999999" customHeight="1">
      <c r="AA18022"/>
    </row>
    <row r="18023" spans="27:27" ht="17.899999999999999" customHeight="1">
      <c r="AA18023"/>
    </row>
    <row r="18024" spans="27:27" ht="17.899999999999999" customHeight="1">
      <c r="AA18024"/>
    </row>
    <row r="18025" spans="27:27" ht="17.899999999999999" customHeight="1">
      <c r="AA18025"/>
    </row>
    <row r="18026" spans="27:27" ht="17.899999999999999" customHeight="1">
      <c r="AA18026"/>
    </row>
    <row r="18027" spans="27:27" ht="17.899999999999999" customHeight="1">
      <c r="AA18027"/>
    </row>
    <row r="18028" spans="27:27" ht="17.899999999999999" customHeight="1">
      <c r="AA18028"/>
    </row>
    <row r="18029" spans="27:27" ht="17.899999999999999" customHeight="1">
      <c r="AA18029"/>
    </row>
    <row r="18030" spans="27:27" ht="17.899999999999999" customHeight="1">
      <c r="AA18030"/>
    </row>
    <row r="18031" spans="27:27" ht="17.899999999999999" customHeight="1">
      <c r="AA18031"/>
    </row>
    <row r="18032" spans="27:27" ht="17.899999999999999" customHeight="1">
      <c r="AA18032"/>
    </row>
    <row r="18033" spans="27:27" ht="17.899999999999999" customHeight="1">
      <c r="AA18033"/>
    </row>
    <row r="18034" spans="27:27" ht="17.899999999999999" customHeight="1">
      <c r="AA18034"/>
    </row>
    <row r="18035" spans="27:27" ht="17.899999999999999" customHeight="1">
      <c r="AA18035"/>
    </row>
    <row r="18036" spans="27:27" ht="17.899999999999999" customHeight="1">
      <c r="AA18036"/>
    </row>
    <row r="18037" spans="27:27" ht="17.899999999999999" customHeight="1">
      <c r="AA18037"/>
    </row>
    <row r="18038" spans="27:27" ht="17.899999999999999" customHeight="1">
      <c r="AA18038"/>
    </row>
    <row r="18039" spans="27:27" ht="17.899999999999999" customHeight="1">
      <c r="AA18039"/>
    </row>
    <row r="18040" spans="27:27" ht="17.899999999999999" customHeight="1">
      <c r="AA18040"/>
    </row>
    <row r="18041" spans="27:27" ht="17.899999999999999" customHeight="1">
      <c r="AA18041"/>
    </row>
    <row r="18042" spans="27:27" ht="17.899999999999999" customHeight="1">
      <c r="AA18042"/>
    </row>
    <row r="18043" spans="27:27" ht="17.899999999999999" customHeight="1">
      <c r="AA18043"/>
    </row>
    <row r="18044" spans="27:27" ht="17.899999999999999" customHeight="1">
      <c r="AA18044"/>
    </row>
    <row r="18045" spans="27:27" ht="17.899999999999999" customHeight="1">
      <c r="AA18045"/>
    </row>
    <row r="18046" spans="27:27" ht="17.899999999999999" customHeight="1">
      <c r="AA18046"/>
    </row>
    <row r="18047" spans="27:27" ht="17.899999999999999" customHeight="1">
      <c r="AA18047"/>
    </row>
    <row r="18048" spans="27:27" ht="17.899999999999999" customHeight="1">
      <c r="AA18048"/>
    </row>
    <row r="18049" spans="27:27" ht="17.899999999999999" customHeight="1">
      <c r="AA18049"/>
    </row>
    <row r="18050" spans="27:27" ht="17.899999999999999" customHeight="1">
      <c r="AA18050"/>
    </row>
    <row r="18051" spans="27:27" ht="17.899999999999999" customHeight="1">
      <c r="AA18051"/>
    </row>
    <row r="18052" spans="27:27" ht="17.899999999999999" customHeight="1">
      <c r="AA18052"/>
    </row>
    <row r="18053" spans="27:27" ht="17.899999999999999" customHeight="1">
      <c r="AA18053"/>
    </row>
    <row r="18054" spans="27:27" ht="17.899999999999999" customHeight="1">
      <c r="AA18054"/>
    </row>
    <row r="18055" spans="27:27" ht="17.899999999999999" customHeight="1">
      <c r="AA18055"/>
    </row>
    <row r="18056" spans="27:27" ht="17.899999999999999" customHeight="1">
      <c r="AA18056"/>
    </row>
    <row r="18057" spans="27:27" ht="17.899999999999999" customHeight="1">
      <c r="AA18057"/>
    </row>
    <row r="18058" spans="27:27" ht="17.899999999999999" customHeight="1">
      <c r="AA18058"/>
    </row>
    <row r="18059" spans="27:27" ht="17.899999999999999" customHeight="1">
      <c r="AA18059"/>
    </row>
    <row r="18060" spans="27:27" ht="17.899999999999999" customHeight="1">
      <c r="AA18060"/>
    </row>
    <row r="18061" spans="27:27" ht="17.899999999999999" customHeight="1">
      <c r="AA18061"/>
    </row>
    <row r="18062" spans="27:27" ht="17.899999999999999" customHeight="1">
      <c r="AA18062"/>
    </row>
    <row r="18063" spans="27:27" ht="17.899999999999999" customHeight="1">
      <c r="AA18063"/>
    </row>
    <row r="18064" spans="27:27" ht="17.899999999999999" customHeight="1">
      <c r="AA18064"/>
    </row>
    <row r="18065" spans="27:27" ht="17.899999999999999" customHeight="1">
      <c r="AA18065"/>
    </row>
    <row r="18066" spans="27:27" ht="17.899999999999999" customHeight="1">
      <c r="AA18066"/>
    </row>
    <row r="18067" spans="27:27" ht="17.899999999999999" customHeight="1">
      <c r="AA18067"/>
    </row>
    <row r="18068" spans="27:27" ht="17.899999999999999" customHeight="1">
      <c r="AA18068"/>
    </row>
    <row r="18069" spans="27:27" ht="17.899999999999999" customHeight="1">
      <c r="AA18069"/>
    </row>
    <row r="18070" spans="27:27" ht="17.899999999999999" customHeight="1">
      <c r="AA18070"/>
    </row>
    <row r="18071" spans="27:27" ht="17.899999999999999" customHeight="1">
      <c r="AA18071"/>
    </row>
    <row r="18072" spans="27:27" ht="17.899999999999999" customHeight="1">
      <c r="AA18072"/>
    </row>
    <row r="18073" spans="27:27" ht="17.899999999999999" customHeight="1">
      <c r="AA18073"/>
    </row>
    <row r="18074" spans="27:27" ht="17.899999999999999" customHeight="1">
      <c r="AA18074"/>
    </row>
    <row r="18075" spans="27:27" ht="17.899999999999999" customHeight="1">
      <c r="AA18075"/>
    </row>
    <row r="18076" spans="27:27" ht="17.899999999999999" customHeight="1">
      <c r="AA18076"/>
    </row>
    <row r="18077" spans="27:27" ht="17.899999999999999" customHeight="1">
      <c r="AA18077"/>
    </row>
    <row r="18078" spans="27:27" ht="17.899999999999999" customHeight="1">
      <c r="AA18078"/>
    </row>
    <row r="18079" spans="27:27" ht="17.899999999999999" customHeight="1">
      <c r="AA18079"/>
    </row>
    <row r="18080" spans="27:27" ht="17.899999999999999" customHeight="1">
      <c r="AA18080"/>
    </row>
    <row r="18081" spans="27:27" ht="17.899999999999999" customHeight="1">
      <c r="AA18081"/>
    </row>
    <row r="18082" spans="27:27" ht="17.899999999999999" customHeight="1">
      <c r="AA18082"/>
    </row>
    <row r="18083" spans="27:27" ht="17.899999999999999" customHeight="1">
      <c r="AA18083"/>
    </row>
    <row r="18084" spans="27:27" ht="17.899999999999999" customHeight="1">
      <c r="AA18084"/>
    </row>
    <row r="18085" spans="27:27" ht="17.899999999999999" customHeight="1">
      <c r="AA18085"/>
    </row>
    <row r="18086" spans="27:27" ht="17.899999999999999" customHeight="1">
      <c r="AA18086"/>
    </row>
    <row r="18087" spans="27:27" ht="17.899999999999999" customHeight="1">
      <c r="AA18087"/>
    </row>
    <row r="18088" spans="27:27" ht="17.899999999999999" customHeight="1">
      <c r="AA18088"/>
    </row>
    <row r="18089" spans="27:27" ht="17.899999999999999" customHeight="1">
      <c r="AA18089"/>
    </row>
    <row r="18090" spans="27:27" ht="17.899999999999999" customHeight="1">
      <c r="AA18090"/>
    </row>
    <row r="18091" spans="27:27" ht="17.899999999999999" customHeight="1">
      <c r="AA18091"/>
    </row>
    <row r="18092" spans="27:27" ht="17.899999999999999" customHeight="1">
      <c r="AA18092"/>
    </row>
    <row r="18093" spans="27:27" ht="17.899999999999999" customHeight="1">
      <c r="AA18093"/>
    </row>
    <row r="18094" spans="27:27" ht="17.899999999999999" customHeight="1">
      <c r="AA18094"/>
    </row>
    <row r="18095" spans="27:27" ht="17.899999999999999" customHeight="1">
      <c r="AA18095"/>
    </row>
    <row r="18096" spans="27:27" ht="17.899999999999999" customHeight="1">
      <c r="AA18096"/>
    </row>
    <row r="18097" spans="27:27" ht="17.899999999999999" customHeight="1">
      <c r="AA18097"/>
    </row>
    <row r="18098" spans="27:27" ht="17.899999999999999" customHeight="1">
      <c r="AA18098"/>
    </row>
    <row r="18099" spans="27:27" ht="17.899999999999999" customHeight="1">
      <c r="AA18099"/>
    </row>
    <row r="18100" spans="27:27" ht="17.899999999999999" customHeight="1">
      <c r="AA18100"/>
    </row>
    <row r="18101" spans="27:27" ht="17.899999999999999" customHeight="1">
      <c r="AA18101"/>
    </row>
    <row r="18102" spans="27:27" ht="17.899999999999999" customHeight="1">
      <c r="AA18102"/>
    </row>
    <row r="18103" spans="27:27" ht="17.899999999999999" customHeight="1">
      <c r="AA18103"/>
    </row>
    <row r="18104" spans="27:27" ht="17.899999999999999" customHeight="1">
      <c r="AA18104"/>
    </row>
    <row r="18105" spans="27:27" ht="17.899999999999999" customHeight="1">
      <c r="AA18105"/>
    </row>
    <row r="18106" spans="27:27" ht="17.899999999999999" customHeight="1">
      <c r="AA18106"/>
    </row>
    <row r="18107" spans="27:27" ht="17.899999999999999" customHeight="1">
      <c r="AA18107"/>
    </row>
    <row r="18108" spans="27:27" ht="17.899999999999999" customHeight="1">
      <c r="AA18108"/>
    </row>
    <row r="18109" spans="27:27" ht="17.899999999999999" customHeight="1">
      <c r="AA18109"/>
    </row>
    <row r="18110" spans="27:27" ht="17.899999999999999" customHeight="1">
      <c r="AA18110"/>
    </row>
    <row r="18111" spans="27:27" ht="17.899999999999999" customHeight="1">
      <c r="AA18111"/>
    </row>
    <row r="18112" spans="27:27" ht="17.899999999999999" customHeight="1">
      <c r="AA18112"/>
    </row>
    <row r="18113" spans="27:27" ht="17.899999999999999" customHeight="1">
      <c r="AA18113"/>
    </row>
    <row r="18114" spans="27:27" ht="17.899999999999999" customHeight="1">
      <c r="AA18114"/>
    </row>
    <row r="18115" spans="27:27" ht="17.899999999999999" customHeight="1">
      <c r="AA18115"/>
    </row>
    <row r="18116" spans="27:27" ht="17.899999999999999" customHeight="1">
      <c r="AA18116"/>
    </row>
    <row r="18117" spans="27:27" ht="17.899999999999999" customHeight="1">
      <c r="AA18117"/>
    </row>
    <row r="18118" spans="27:27" ht="17.899999999999999" customHeight="1">
      <c r="AA18118"/>
    </row>
    <row r="18119" spans="27:27" ht="17.899999999999999" customHeight="1">
      <c r="AA18119"/>
    </row>
    <row r="18120" spans="27:27" ht="17.899999999999999" customHeight="1">
      <c r="AA18120"/>
    </row>
    <row r="18121" spans="27:27" ht="17.899999999999999" customHeight="1">
      <c r="AA18121"/>
    </row>
    <row r="18122" spans="27:27" ht="17.899999999999999" customHeight="1">
      <c r="AA18122"/>
    </row>
    <row r="18123" spans="27:27" ht="17.899999999999999" customHeight="1">
      <c r="AA18123"/>
    </row>
    <row r="18124" spans="27:27" ht="17.899999999999999" customHeight="1">
      <c r="AA18124"/>
    </row>
    <row r="18125" spans="27:27" ht="17.899999999999999" customHeight="1">
      <c r="AA18125"/>
    </row>
    <row r="18126" spans="27:27" ht="17.899999999999999" customHeight="1">
      <c r="AA18126"/>
    </row>
    <row r="18127" spans="27:27" ht="17.899999999999999" customHeight="1">
      <c r="AA18127"/>
    </row>
    <row r="18128" spans="27:27" ht="17.899999999999999" customHeight="1">
      <c r="AA18128"/>
    </row>
    <row r="18129" spans="27:27" ht="17.899999999999999" customHeight="1">
      <c r="AA18129"/>
    </row>
    <row r="18130" spans="27:27" ht="17.899999999999999" customHeight="1">
      <c r="AA18130"/>
    </row>
    <row r="18131" spans="27:27" ht="17.899999999999999" customHeight="1">
      <c r="AA18131"/>
    </row>
    <row r="18132" spans="27:27" ht="17.899999999999999" customHeight="1">
      <c r="AA18132"/>
    </row>
    <row r="18133" spans="27:27" ht="17.899999999999999" customHeight="1">
      <c r="AA18133"/>
    </row>
    <row r="18134" spans="27:27" ht="17.899999999999999" customHeight="1">
      <c r="AA18134"/>
    </row>
    <row r="18135" spans="27:27" ht="17.899999999999999" customHeight="1">
      <c r="AA18135"/>
    </row>
    <row r="18136" spans="27:27" ht="17.899999999999999" customHeight="1">
      <c r="AA18136"/>
    </row>
    <row r="18137" spans="27:27" ht="17.899999999999999" customHeight="1">
      <c r="AA18137"/>
    </row>
    <row r="18138" spans="27:27" ht="17.899999999999999" customHeight="1">
      <c r="AA18138"/>
    </row>
    <row r="18139" spans="27:27" ht="17.899999999999999" customHeight="1">
      <c r="AA18139"/>
    </row>
    <row r="18140" spans="27:27" ht="17.899999999999999" customHeight="1">
      <c r="AA18140"/>
    </row>
    <row r="18141" spans="27:27" ht="17.899999999999999" customHeight="1">
      <c r="AA18141"/>
    </row>
    <row r="18142" spans="27:27" ht="17.899999999999999" customHeight="1">
      <c r="AA18142"/>
    </row>
    <row r="18143" spans="27:27" ht="17.899999999999999" customHeight="1">
      <c r="AA18143"/>
    </row>
    <row r="18144" spans="27:27" ht="17.899999999999999" customHeight="1">
      <c r="AA18144"/>
    </row>
    <row r="18145" spans="27:27" ht="17.899999999999999" customHeight="1">
      <c r="AA18145"/>
    </row>
    <row r="18146" spans="27:27" ht="17.899999999999999" customHeight="1">
      <c r="AA18146"/>
    </row>
    <row r="18147" spans="27:27" ht="17.899999999999999" customHeight="1">
      <c r="AA18147"/>
    </row>
    <row r="18148" spans="27:27" ht="17.899999999999999" customHeight="1">
      <c r="AA18148"/>
    </row>
    <row r="18149" spans="27:27" ht="17.899999999999999" customHeight="1">
      <c r="AA18149"/>
    </row>
    <row r="18150" spans="27:27" ht="17.899999999999999" customHeight="1">
      <c r="AA18150"/>
    </row>
    <row r="18151" spans="27:27" ht="17.899999999999999" customHeight="1">
      <c r="AA18151"/>
    </row>
    <row r="18152" spans="27:27" ht="17.899999999999999" customHeight="1">
      <c r="AA18152"/>
    </row>
    <row r="18153" spans="27:27" ht="17.899999999999999" customHeight="1">
      <c r="AA18153"/>
    </row>
    <row r="18154" spans="27:27" ht="17.899999999999999" customHeight="1">
      <c r="AA18154"/>
    </row>
    <row r="18155" spans="27:27" ht="17.899999999999999" customHeight="1">
      <c r="AA18155"/>
    </row>
    <row r="18156" spans="27:27" ht="17.899999999999999" customHeight="1">
      <c r="AA18156"/>
    </row>
    <row r="18157" spans="27:27" ht="17.899999999999999" customHeight="1">
      <c r="AA18157"/>
    </row>
    <row r="18158" spans="27:27" ht="17.899999999999999" customHeight="1">
      <c r="AA18158"/>
    </row>
    <row r="18159" spans="27:27" ht="17.899999999999999" customHeight="1">
      <c r="AA18159"/>
    </row>
    <row r="18160" spans="27:27" ht="17.899999999999999" customHeight="1">
      <c r="AA18160"/>
    </row>
    <row r="18161" spans="27:27" ht="17.899999999999999" customHeight="1">
      <c r="AA18161"/>
    </row>
    <row r="18162" spans="27:27" ht="17.899999999999999" customHeight="1">
      <c r="AA18162"/>
    </row>
    <row r="18163" spans="27:27" ht="17.899999999999999" customHeight="1">
      <c r="AA18163"/>
    </row>
    <row r="18164" spans="27:27" ht="17.899999999999999" customHeight="1">
      <c r="AA18164"/>
    </row>
    <row r="18165" spans="27:27" ht="17.899999999999999" customHeight="1">
      <c r="AA18165"/>
    </row>
    <row r="18166" spans="27:27" ht="17.899999999999999" customHeight="1">
      <c r="AA18166"/>
    </row>
    <row r="18167" spans="27:27" ht="17.899999999999999" customHeight="1">
      <c r="AA18167"/>
    </row>
    <row r="18168" spans="27:27" ht="17.899999999999999" customHeight="1">
      <c r="AA18168"/>
    </row>
    <row r="18169" spans="27:27" ht="17.899999999999999" customHeight="1">
      <c r="AA18169"/>
    </row>
    <row r="18170" spans="27:27" ht="17.899999999999999" customHeight="1">
      <c r="AA18170"/>
    </row>
    <row r="18171" spans="27:27" ht="17.899999999999999" customHeight="1">
      <c r="AA18171"/>
    </row>
    <row r="18172" spans="27:27" ht="17.899999999999999" customHeight="1">
      <c r="AA18172"/>
    </row>
    <row r="18173" spans="27:27" ht="17.899999999999999" customHeight="1">
      <c r="AA18173"/>
    </row>
    <row r="18174" spans="27:27" ht="17.899999999999999" customHeight="1">
      <c r="AA18174"/>
    </row>
    <row r="18175" spans="27:27" ht="17.899999999999999" customHeight="1">
      <c r="AA18175"/>
    </row>
    <row r="18176" spans="27:27" ht="17.899999999999999" customHeight="1">
      <c r="AA18176"/>
    </row>
    <row r="18177" spans="27:27" ht="17.899999999999999" customHeight="1">
      <c r="AA18177"/>
    </row>
    <row r="18178" spans="27:27" ht="17.899999999999999" customHeight="1">
      <c r="AA18178"/>
    </row>
    <row r="18179" spans="27:27" ht="17.899999999999999" customHeight="1">
      <c r="AA18179"/>
    </row>
    <row r="18180" spans="27:27" ht="17.899999999999999" customHeight="1">
      <c r="AA18180"/>
    </row>
    <row r="18181" spans="27:27" ht="17.899999999999999" customHeight="1">
      <c r="AA18181"/>
    </row>
    <row r="18182" spans="27:27" ht="17.899999999999999" customHeight="1">
      <c r="AA18182"/>
    </row>
    <row r="18183" spans="27:27" ht="17.899999999999999" customHeight="1">
      <c r="AA18183"/>
    </row>
    <row r="18184" spans="27:27" ht="17.899999999999999" customHeight="1">
      <c r="AA18184"/>
    </row>
    <row r="18185" spans="27:27" ht="17.899999999999999" customHeight="1">
      <c r="AA18185"/>
    </row>
    <row r="18186" spans="27:27" ht="17.899999999999999" customHeight="1">
      <c r="AA18186"/>
    </row>
    <row r="18187" spans="27:27" ht="17.899999999999999" customHeight="1">
      <c r="AA18187"/>
    </row>
    <row r="18188" spans="27:27" ht="17.899999999999999" customHeight="1">
      <c r="AA18188"/>
    </row>
    <row r="18189" spans="27:27" ht="17.899999999999999" customHeight="1">
      <c r="AA18189"/>
    </row>
    <row r="18190" spans="27:27" ht="17.899999999999999" customHeight="1">
      <c r="AA18190"/>
    </row>
    <row r="18191" spans="27:27" ht="17.899999999999999" customHeight="1">
      <c r="AA18191"/>
    </row>
    <row r="18192" spans="27:27" ht="17.899999999999999" customHeight="1">
      <c r="AA18192"/>
    </row>
    <row r="18193" spans="27:27" ht="17.899999999999999" customHeight="1">
      <c r="AA18193"/>
    </row>
    <row r="18194" spans="27:27" ht="17.899999999999999" customHeight="1">
      <c r="AA18194"/>
    </row>
    <row r="18195" spans="27:27" ht="17.899999999999999" customHeight="1">
      <c r="AA18195"/>
    </row>
    <row r="18196" spans="27:27" ht="17.899999999999999" customHeight="1">
      <c r="AA18196"/>
    </row>
    <row r="18197" spans="27:27" ht="17.899999999999999" customHeight="1">
      <c r="AA18197"/>
    </row>
    <row r="18198" spans="27:27" ht="17.899999999999999" customHeight="1">
      <c r="AA18198"/>
    </row>
    <row r="18199" spans="27:27" ht="17.899999999999999" customHeight="1">
      <c r="AA18199"/>
    </row>
    <row r="18200" spans="27:27" ht="17.899999999999999" customHeight="1">
      <c r="AA18200"/>
    </row>
    <row r="18201" spans="27:27" ht="17.899999999999999" customHeight="1">
      <c r="AA18201"/>
    </row>
    <row r="18202" spans="27:27" ht="17.899999999999999" customHeight="1">
      <c r="AA18202"/>
    </row>
    <row r="18203" spans="27:27" ht="17.899999999999999" customHeight="1">
      <c r="AA18203"/>
    </row>
    <row r="18204" spans="27:27" ht="17.899999999999999" customHeight="1">
      <c r="AA18204"/>
    </row>
    <row r="18205" spans="27:27" ht="17.899999999999999" customHeight="1">
      <c r="AA18205"/>
    </row>
    <row r="18206" spans="27:27" ht="17.899999999999999" customHeight="1">
      <c r="AA18206"/>
    </row>
    <row r="18207" spans="27:27" ht="17.899999999999999" customHeight="1">
      <c r="AA18207"/>
    </row>
    <row r="18208" spans="27:27" ht="17.899999999999999" customHeight="1">
      <c r="AA18208"/>
    </row>
    <row r="18209" spans="27:27" ht="17.899999999999999" customHeight="1">
      <c r="AA18209"/>
    </row>
    <row r="18210" spans="27:27" ht="17.899999999999999" customHeight="1">
      <c r="AA18210"/>
    </row>
    <row r="18211" spans="27:27" ht="17.899999999999999" customHeight="1">
      <c r="AA18211"/>
    </row>
    <row r="18212" spans="27:27" ht="17.899999999999999" customHeight="1">
      <c r="AA18212"/>
    </row>
    <row r="18213" spans="27:27" ht="17.899999999999999" customHeight="1">
      <c r="AA18213"/>
    </row>
    <row r="18214" spans="27:27" ht="17.899999999999999" customHeight="1">
      <c r="AA18214"/>
    </row>
    <row r="18215" spans="27:27" ht="17.899999999999999" customHeight="1">
      <c r="AA18215"/>
    </row>
    <row r="18216" spans="27:27" ht="17.899999999999999" customHeight="1">
      <c r="AA18216"/>
    </row>
    <row r="18217" spans="27:27" ht="17.899999999999999" customHeight="1">
      <c r="AA18217"/>
    </row>
    <row r="18218" spans="27:27" ht="17.899999999999999" customHeight="1">
      <c r="AA18218"/>
    </row>
    <row r="18219" spans="27:27" ht="17.899999999999999" customHeight="1">
      <c r="AA18219"/>
    </row>
    <row r="18220" spans="27:27" ht="17.899999999999999" customHeight="1">
      <c r="AA18220"/>
    </row>
    <row r="18221" spans="27:27" ht="17.899999999999999" customHeight="1">
      <c r="AA18221"/>
    </row>
    <row r="18222" spans="27:27" ht="17.899999999999999" customHeight="1">
      <c r="AA18222"/>
    </row>
    <row r="18223" spans="27:27" ht="17.899999999999999" customHeight="1">
      <c r="AA18223"/>
    </row>
    <row r="18224" spans="27:27" ht="17.899999999999999" customHeight="1">
      <c r="AA18224"/>
    </row>
    <row r="18225" spans="27:27" ht="17.899999999999999" customHeight="1">
      <c r="AA18225"/>
    </row>
    <row r="18226" spans="27:27" ht="17.899999999999999" customHeight="1">
      <c r="AA18226"/>
    </row>
    <row r="18227" spans="27:27" ht="17.899999999999999" customHeight="1">
      <c r="AA18227"/>
    </row>
    <row r="18228" spans="27:27" ht="17.899999999999999" customHeight="1">
      <c r="AA18228"/>
    </row>
    <row r="18229" spans="27:27" ht="17.899999999999999" customHeight="1">
      <c r="AA18229"/>
    </row>
    <row r="18230" spans="27:27" ht="17.899999999999999" customHeight="1">
      <c r="AA18230"/>
    </row>
    <row r="18231" spans="27:27" ht="17.899999999999999" customHeight="1">
      <c r="AA18231"/>
    </row>
    <row r="18232" spans="27:27" ht="17.899999999999999" customHeight="1">
      <c r="AA18232"/>
    </row>
    <row r="18233" spans="27:27" ht="17.899999999999999" customHeight="1">
      <c r="AA18233"/>
    </row>
    <row r="18234" spans="27:27" ht="17.899999999999999" customHeight="1">
      <c r="AA18234"/>
    </row>
    <row r="18235" spans="27:27" ht="17.899999999999999" customHeight="1">
      <c r="AA18235"/>
    </row>
    <row r="18236" spans="27:27" ht="17.899999999999999" customHeight="1">
      <c r="AA18236"/>
    </row>
    <row r="18237" spans="27:27" ht="17.899999999999999" customHeight="1">
      <c r="AA18237"/>
    </row>
    <row r="18238" spans="27:27" ht="17.899999999999999" customHeight="1">
      <c r="AA18238"/>
    </row>
    <row r="18239" spans="27:27" ht="17.899999999999999" customHeight="1">
      <c r="AA18239"/>
    </row>
    <row r="18240" spans="27:27" ht="17.899999999999999" customHeight="1">
      <c r="AA18240"/>
    </row>
    <row r="18241" spans="27:27" ht="17.899999999999999" customHeight="1">
      <c r="AA18241"/>
    </row>
    <row r="18242" spans="27:27" ht="17.899999999999999" customHeight="1">
      <c r="AA18242"/>
    </row>
    <row r="18243" spans="27:27" ht="17.899999999999999" customHeight="1">
      <c r="AA18243"/>
    </row>
    <row r="18244" spans="27:27" ht="17.899999999999999" customHeight="1">
      <c r="AA18244"/>
    </row>
    <row r="18245" spans="27:27" ht="17.899999999999999" customHeight="1">
      <c r="AA18245"/>
    </row>
    <row r="18246" spans="27:27" ht="17.899999999999999" customHeight="1">
      <c r="AA18246"/>
    </row>
    <row r="18247" spans="27:27" ht="17.899999999999999" customHeight="1">
      <c r="AA18247"/>
    </row>
    <row r="18248" spans="27:27" ht="17.899999999999999" customHeight="1">
      <c r="AA18248"/>
    </row>
    <row r="18249" spans="27:27" ht="17.899999999999999" customHeight="1">
      <c r="AA18249"/>
    </row>
    <row r="18250" spans="27:27" ht="17.899999999999999" customHeight="1">
      <c r="AA18250"/>
    </row>
    <row r="18251" spans="27:27" ht="17.899999999999999" customHeight="1">
      <c r="AA18251"/>
    </row>
    <row r="18252" spans="27:27" ht="17.899999999999999" customHeight="1">
      <c r="AA18252"/>
    </row>
    <row r="18253" spans="27:27" ht="17.899999999999999" customHeight="1">
      <c r="AA18253"/>
    </row>
    <row r="18254" spans="27:27" ht="17.899999999999999" customHeight="1">
      <c r="AA18254"/>
    </row>
    <row r="18255" spans="27:27" ht="17.899999999999999" customHeight="1">
      <c r="AA18255"/>
    </row>
    <row r="18256" spans="27:27" ht="17.899999999999999" customHeight="1">
      <c r="AA18256"/>
    </row>
    <row r="18257" spans="27:27" ht="17.899999999999999" customHeight="1">
      <c r="AA18257"/>
    </row>
    <row r="18258" spans="27:27" ht="17.899999999999999" customHeight="1">
      <c r="AA18258"/>
    </row>
    <row r="18259" spans="27:27" ht="17.899999999999999" customHeight="1">
      <c r="AA18259"/>
    </row>
    <row r="18260" spans="27:27" ht="17.899999999999999" customHeight="1">
      <c r="AA18260"/>
    </row>
    <row r="18261" spans="27:27" ht="17.899999999999999" customHeight="1">
      <c r="AA18261"/>
    </row>
    <row r="18262" spans="27:27" ht="17.899999999999999" customHeight="1">
      <c r="AA18262"/>
    </row>
    <row r="18263" spans="27:27" ht="17.899999999999999" customHeight="1">
      <c r="AA18263"/>
    </row>
    <row r="18264" spans="27:27" ht="17.899999999999999" customHeight="1">
      <c r="AA18264"/>
    </row>
    <row r="18265" spans="27:27" ht="17.899999999999999" customHeight="1">
      <c r="AA18265"/>
    </row>
    <row r="18266" spans="27:27" ht="17.899999999999999" customHeight="1">
      <c r="AA18266"/>
    </row>
    <row r="18267" spans="27:27" ht="17.899999999999999" customHeight="1">
      <c r="AA18267"/>
    </row>
    <row r="18268" spans="27:27" ht="17.899999999999999" customHeight="1">
      <c r="AA18268"/>
    </row>
    <row r="18269" spans="27:27" ht="17.899999999999999" customHeight="1">
      <c r="AA18269"/>
    </row>
    <row r="18270" spans="27:27" ht="17.899999999999999" customHeight="1">
      <c r="AA18270"/>
    </row>
    <row r="18271" spans="27:27" ht="17.899999999999999" customHeight="1">
      <c r="AA18271"/>
    </row>
    <row r="18272" spans="27:27" ht="17.899999999999999" customHeight="1">
      <c r="AA18272"/>
    </row>
    <row r="18273" spans="27:27" ht="17.899999999999999" customHeight="1">
      <c r="AA18273"/>
    </row>
    <row r="18274" spans="27:27" ht="17.899999999999999" customHeight="1">
      <c r="AA18274"/>
    </row>
    <row r="18275" spans="27:27" ht="17.899999999999999" customHeight="1">
      <c r="AA18275"/>
    </row>
    <row r="18276" spans="27:27" ht="17.899999999999999" customHeight="1">
      <c r="AA18276"/>
    </row>
    <row r="18277" spans="27:27" ht="17.899999999999999" customHeight="1">
      <c r="AA18277"/>
    </row>
    <row r="18278" spans="27:27" ht="17.899999999999999" customHeight="1">
      <c r="AA18278"/>
    </row>
    <row r="18279" spans="27:27" ht="17.899999999999999" customHeight="1">
      <c r="AA18279"/>
    </row>
    <row r="18280" spans="27:27" ht="17.899999999999999" customHeight="1">
      <c r="AA18280"/>
    </row>
    <row r="18281" spans="27:27" ht="17.899999999999999" customHeight="1">
      <c r="AA18281"/>
    </row>
    <row r="18282" spans="27:27" ht="17.899999999999999" customHeight="1">
      <c r="AA18282"/>
    </row>
    <row r="18283" spans="27:27" ht="17.899999999999999" customHeight="1">
      <c r="AA18283"/>
    </row>
    <row r="18284" spans="27:27" ht="17.899999999999999" customHeight="1">
      <c r="AA18284"/>
    </row>
    <row r="18285" spans="27:27" ht="17.899999999999999" customHeight="1">
      <c r="AA18285"/>
    </row>
    <row r="18286" spans="27:27" ht="17.899999999999999" customHeight="1">
      <c r="AA18286"/>
    </row>
    <row r="18287" spans="27:27" ht="17.899999999999999" customHeight="1">
      <c r="AA18287"/>
    </row>
    <row r="18288" spans="27:27" ht="17.899999999999999" customHeight="1">
      <c r="AA18288"/>
    </row>
    <row r="18289" spans="27:27" ht="17.899999999999999" customHeight="1">
      <c r="AA18289"/>
    </row>
    <row r="18290" spans="27:27" ht="17.899999999999999" customHeight="1">
      <c r="AA18290"/>
    </row>
    <row r="18291" spans="27:27" ht="17.899999999999999" customHeight="1">
      <c r="AA18291"/>
    </row>
    <row r="18292" spans="27:27" ht="17.899999999999999" customHeight="1">
      <c r="AA18292"/>
    </row>
    <row r="18293" spans="27:27" ht="17.899999999999999" customHeight="1">
      <c r="AA18293"/>
    </row>
    <row r="18294" spans="27:27" ht="17.899999999999999" customHeight="1">
      <c r="AA18294"/>
    </row>
    <row r="18295" spans="27:27" ht="17.899999999999999" customHeight="1">
      <c r="AA18295"/>
    </row>
    <row r="18296" spans="27:27" ht="17.899999999999999" customHeight="1">
      <c r="AA18296"/>
    </row>
    <row r="18297" spans="27:27" ht="17.899999999999999" customHeight="1">
      <c r="AA18297"/>
    </row>
    <row r="18298" spans="27:27" ht="17.899999999999999" customHeight="1">
      <c r="AA18298"/>
    </row>
    <row r="18299" spans="27:27" ht="17.899999999999999" customHeight="1">
      <c r="AA18299"/>
    </row>
    <row r="18300" spans="27:27" ht="17.899999999999999" customHeight="1">
      <c r="AA18300"/>
    </row>
    <row r="18301" spans="27:27" ht="17.899999999999999" customHeight="1">
      <c r="AA18301"/>
    </row>
    <row r="18302" spans="27:27" ht="17.899999999999999" customHeight="1">
      <c r="AA18302"/>
    </row>
    <row r="18303" spans="27:27" ht="17.899999999999999" customHeight="1">
      <c r="AA18303"/>
    </row>
    <row r="18304" spans="27:27" ht="17.899999999999999" customHeight="1">
      <c r="AA18304"/>
    </row>
    <row r="18305" spans="27:27" ht="17.899999999999999" customHeight="1">
      <c r="AA18305"/>
    </row>
    <row r="18306" spans="27:27" ht="17.899999999999999" customHeight="1">
      <c r="AA18306"/>
    </row>
    <row r="18307" spans="27:27" ht="17.899999999999999" customHeight="1">
      <c r="AA18307"/>
    </row>
    <row r="18308" spans="27:27" ht="17.899999999999999" customHeight="1">
      <c r="AA18308"/>
    </row>
    <row r="18309" spans="27:27" ht="17.899999999999999" customHeight="1">
      <c r="AA18309"/>
    </row>
    <row r="18310" spans="27:27" ht="17.899999999999999" customHeight="1">
      <c r="AA18310"/>
    </row>
    <row r="18311" spans="27:27" ht="17.899999999999999" customHeight="1">
      <c r="AA18311"/>
    </row>
    <row r="18312" spans="27:27" ht="17.899999999999999" customHeight="1">
      <c r="AA18312"/>
    </row>
    <row r="18313" spans="27:27" ht="17.899999999999999" customHeight="1">
      <c r="AA18313"/>
    </row>
    <row r="18314" spans="27:27" ht="17.899999999999999" customHeight="1">
      <c r="AA18314"/>
    </row>
    <row r="18315" spans="27:27" ht="17.899999999999999" customHeight="1">
      <c r="AA18315"/>
    </row>
    <row r="18316" spans="27:27" ht="17.899999999999999" customHeight="1">
      <c r="AA18316"/>
    </row>
    <row r="18317" spans="27:27" ht="17.899999999999999" customHeight="1">
      <c r="AA18317"/>
    </row>
    <row r="18318" spans="27:27" ht="17.899999999999999" customHeight="1">
      <c r="AA18318"/>
    </row>
    <row r="18319" spans="27:27" ht="17.899999999999999" customHeight="1">
      <c r="AA18319"/>
    </row>
    <row r="18320" spans="27:27" ht="17.899999999999999" customHeight="1">
      <c r="AA18320"/>
    </row>
    <row r="18321" spans="27:27" ht="17.899999999999999" customHeight="1">
      <c r="AA18321"/>
    </row>
    <row r="18322" spans="27:27" ht="17.899999999999999" customHeight="1">
      <c r="AA18322"/>
    </row>
    <row r="18323" spans="27:27" ht="17.899999999999999" customHeight="1">
      <c r="AA18323"/>
    </row>
    <row r="18324" spans="27:27" ht="17.899999999999999" customHeight="1">
      <c r="AA18324"/>
    </row>
    <row r="18325" spans="27:27" ht="17.899999999999999" customHeight="1">
      <c r="AA18325"/>
    </row>
    <row r="18326" spans="27:27" ht="17.899999999999999" customHeight="1">
      <c r="AA18326"/>
    </row>
    <row r="18327" spans="27:27" ht="17.899999999999999" customHeight="1">
      <c r="AA18327"/>
    </row>
    <row r="18328" spans="27:27" ht="17.899999999999999" customHeight="1">
      <c r="AA18328"/>
    </row>
    <row r="18329" spans="27:27" ht="17.899999999999999" customHeight="1">
      <c r="AA18329"/>
    </row>
    <row r="18330" spans="27:27" ht="17.899999999999999" customHeight="1">
      <c r="AA18330"/>
    </row>
    <row r="18331" spans="27:27" ht="17.899999999999999" customHeight="1">
      <c r="AA18331"/>
    </row>
    <row r="18332" spans="27:27" ht="17.899999999999999" customHeight="1">
      <c r="AA18332"/>
    </row>
    <row r="18333" spans="27:27" ht="17.899999999999999" customHeight="1">
      <c r="AA18333"/>
    </row>
    <row r="18334" spans="27:27" ht="17.899999999999999" customHeight="1">
      <c r="AA18334"/>
    </row>
    <row r="18335" spans="27:27" ht="17.899999999999999" customHeight="1">
      <c r="AA18335"/>
    </row>
    <row r="18336" spans="27:27" ht="17.899999999999999" customHeight="1">
      <c r="AA18336"/>
    </row>
    <row r="18337" spans="27:27" ht="17.899999999999999" customHeight="1">
      <c r="AA18337"/>
    </row>
    <row r="18338" spans="27:27" ht="17.899999999999999" customHeight="1">
      <c r="AA18338"/>
    </row>
    <row r="18339" spans="27:27" ht="17.899999999999999" customHeight="1">
      <c r="AA18339"/>
    </row>
    <row r="18340" spans="27:27" ht="17.899999999999999" customHeight="1">
      <c r="AA18340"/>
    </row>
    <row r="18341" spans="27:27" ht="17.899999999999999" customHeight="1">
      <c r="AA18341"/>
    </row>
    <row r="18342" spans="27:27" ht="17.899999999999999" customHeight="1">
      <c r="AA18342"/>
    </row>
    <row r="18343" spans="27:27" ht="17.899999999999999" customHeight="1">
      <c r="AA18343"/>
    </row>
    <row r="18344" spans="27:27" ht="17.899999999999999" customHeight="1">
      <c r="AA18344"/>
    </row>
    <row r="18345" spans="27:27" ht="17.899999999999999" customHeight="1">
      <c r="AA18345"/>
    </row>
    <row r="18346" spans="27:27" ht="17.899999999999999" customHeight="1">
      <c r="AA18346"/>
    </row>
    <row r="18347" spans="27:27" ht="17.899999999999999" customHeight="1">
      <c r="AA18347"/>
    </row>
    <row r="18348" spans="27:27" ht="17.899999999999999" customHeight="1">
      <c r="AA18348"/>
    </row>
    <row r="18349" spans="27:27" ht="17.899999999999999" customHeight="1">
      <c r="AA18349"/>
    </row>
    <row r="18350" spans="27:27" ht="17.899999999999999" customHeight="1">
      <c r="AA18350"/>
    </row>
    <row r="18351" spans="27:27" ht="17.899999999999999" customHeight="1">
      <c r="AA18351"/>
    </row>
    <row r="18352" spans="27:27" ht="17.899999999999999" customHeight="1">
      <c r="AA18352"/>
    </row>
    <row r="18353" spans="27:27" ht="17.899999999999999" customHeight="1">
      <c r="AA18353"/>
    </row>
    <row r="18354" spans="27:27" ht="17.899999999999999" customHeight="1">
      <c r="AA18354"/>
    </row>
    <row r="18355" spans="27:27" ht="17.899999999999999" customHeight="1">
      <c r="AA18355"/>
    </row>
    <row r="18356" spans="27:27" ht="17.899999999999999" customHeight="1">
      <c r="AA18356"/>
    </row>
    <row r="18357" spans="27:27" ht="17.899999999999999" customHeight="1">
      <c r="AA18357"/>
    </row>
    <row r="18358" spans="27:27" ht="17.899999999999999" customHeight="1">
      <c r="AA18358"/>
    </row>
    <row r="18359" spans="27:27" ht="17.899999999999999" customHeight="1">
      <c r="AA18359"/>
    </row>
    <row r="18360" spans="27:27" ht="17.899999999999999" customHeight="1">
      <c r="AA18360"/>
    </row>
    <row r="18361" spans="27:27" ht="17.899999999999999" customHeight="1">
      <c r="AA18361"/>
    </row>
    <row r="18362" spans="27:27" ht="17.899999999999999" customHeight="1">
      <c r="AA18362"/>
    </row>
    <row r="18363" spans="27:27" ht="17.899999999999999" customHeight="1">
      <c r="AA18363"/>
    </row>
    <row r="18364" spans="27:27" ht="17.899999999999999" customHeight="1">
      <c r="AA18364"/>
    </row>
    <row r="18365" spans="27:27" ht="17.899999999999999" customHeight="1">
      <c r="AA18365"/>
    </row>
    <row r="18366" spans="27:27" ht="17.899999999999999" customHeight="1">
      <c r="AA18366"/>
    </row>
    <row r="18367" spans="27:27" ht="17.899999999999999" customHeight="1">
      <c r="AA18367"/>
    </row>
    <row r="18368" spans="27:27" ht="17.899999999999999" customHeight="1">
      <c r="AA18368"/>
    </row>
    <row r="18369" spans="27:27" ht="17.899999999999999" customHeight="1">
      <c r="AA18369"/>
    </row>
    <row r="18370" spans="27:27" ht="17.899999999999999" customHeight="1">
      <c r="AA18370"/>
    </row>
    <row r="18371" spans="27:27" ht="17.899999999999999" customHeight="1">
      <c r="AA18371"/>
    </row>
    <row r="18372" spans="27:27" ht="17.899999999999999" customHeight="1">
      <c r="AA18372"/>
    </row>
    <row r="18373" spans="27:27" ht="17.899999999999999" customHeight="1">
      <c r="AA18373"/>
    </row>
    <row r="18374" spans="27:27" ht="17.899999999999999" customHeight="1">
      <c r="AA18374"/>
    </row>
    <row r="18375" spans="27:27" ht="17.899999999999999" customHeight="1">
      <c r="AA18375"/>
    </row>
    <row r="18376" spans="27:27" ht="17.899999999999999" customHeight="1">
      <c r="AA18376"/>
    </row>
    <row r="18377" spans="27:27" ht="17.899999999999999" customHeight="1">
      <c r="AA18377"/>
    </row>
    <row r="18378" spans="27:27" ht="17.899999999999999" customHeight="1">
      <c r="AA18378"/>
    </row>
    <row r="18379" spans="27:27" ht="17.899999999999999" customHeight="1">
      <c r="AA18379"/>
    </row>
    <row r="18380" spans="27:27" ht="17.899999999999999" customHeight="1">
      <c r="AA18380"/>
    </row>
    <row r="18381" spans="27:27" ht="17.899999999999999" customHeight="1">
      <c r="AA18381"/>
    </row>
    <row r="18382" spans="27:27" ht="17.899999999999999" customHeight="1">
      <c r="AA18382"/>
    </row>
    <row r="18383" spans="27:27" ht="17.899999999999999" customHeight="1">
      <c r="AA18383"/>
    </row>
    <row r="18384" spans="27:27" ht="17.899999999999999" customHeight="1">
      <c r="AA18384"/>
    </row>
    <row r="18385" spans="27:27" ht="17.899999999999999" customHeight="1">
      <c r="AA18385"/>
    </row>
    <row r="18386" spans="27:27" ht="17.899999999999999" customHeight="1">
      <c r="AA18386"/>
    </row>
    <row r="18387" spans="27:27" ht="17.899999999999999" customHeight="1">
      <c r="AA18387"/>
    </row>
    <row r="18388" spans="27:27" ht="17.899999999999999" customHeight="1">
      <c r="AA18388"/>
    </row>
    <row r="18389" spans="27:27" ht="17.899999999999999" customHeight="1">
      <c r="AA18389"/>
    </row>
    <row r="18390" spans="27:27" ht="17.899999999999999" customHeight="1">
      <c r="AA18390"/>
    </row>
    <row r="18391" spans="27:27" ht="17.899999999999999" customHeight="1">
      <c r="AA18391"/>
    </row>
    <row r="18392" spans="27:27" ht="17.899999999999999" customHeight="1">
      <c r="AA18392"/>
    </row>
    <row r="18393" spans="27:27" ht="17.899999999999999" customHeight="1">
      <c r="AA18393"/>
    </row>
    <row r="18394" spans="27:27" ht="17.899999999999999" customHeight="1">
      <c r="AA18394"/>
    </row>
    <row r="18395" spans="27:27" ht="17.899999999999999" customHeight="1">
      <c r="AA18395"/>
    </row>
    <row r="18396" spans="27:27" ht="17.899999999999999" customHeight="1">
      <c r="AA18396"/>
    </row>
    <row r="18397" spans="27:27" ht="17.899999999999999" customHeight="1">
      <c r="AA18397"/>
    </row>
    <row r="18398" spans="27:27" ht="17.899999999999999" customHeight="1">
      <c r="AA18398"/>
    </row>
    <row r="18399" spans="27:27" ht="17.899999999999999" customHeight="1">
      <c r="AA18399"/>
    </row>
    <row r="18400" spans="27:27" ht="17.899999999999999" customHeight="1">
      <c r="AA18400"/>
    </row>
    <row r="18401" spans="27:27" ht="17.899999999999999" customHeight="1">
      <c r="AA18401"/>
    </row>
    <row r="18402" spans="27:27" ht="17.899999999999999" customHeight="1">
      <c r="AA18402"/>
    </row>
    <row r="18403" spans="27:27" ht="17.899999999999999" customHeight="1">
      <c r="AA18403"/>
    </row>
    <row r="18404" spans="27:27" ht="17.899999999999999" customHeight="1">
      <c r="AA18404"/>
    </row>
    <row r="18405" spans="27:27" ht="17.899999999999999" customHeight="1">
      <c r="AA18405"/>
    </row>
    <row r="18406" spans="27:27" ht="17.899999999999999" customHeight="1">
      <c r="AA18406"/>
    </row>
    <row r="18407" spans="27:27" ht="17.899999999999999" customHeight="1">
      <c r="AA18407"/>
    </row>
    <row r="18408" spans="27:27" ht="17.899999999999999" customHeight="1">
      <c r="AA18408"/>
    </row>
    <row r="18409" spans="27:27" ht="17.899999999999999" customHeight="1">
      <c r="AA18409"/>
    </row>
    <row r="18410" spans="27:27" ht="17.899999999999999" customHeight="1">
      <c r="AA18410"/>
    </row>
    <row r="18411" spans="27:27" ht="17.899999999999999" customHeight="1">
      <c r="AA18411"/>
    </row>
    <row r="18412" spans="27:27" ht="17.899999999999999" customHeight="1">
      <c r="AA18412"/>
    </row>
    <row r="18413" spans="27:27" ht="17.899999999999999" customHeight="1">
      <c r="AA18413"/>
    </row>
    <row r="18414" spans="27:27" ht="17.899999999999999" customHeight="1">
      <c r="AA18414"/>
    </row>
    <row r="18415" spans="27:27" ht="17.899999999999999" customHeight="1">
      <c r="AA18415"/>
    </row>
    <row r="18416" spans="27:27" ht="17.899999999999999" customHeight="1">
      <c r="AA18416"/>
    </row>
    <row r="18417" spans="27:27" ht="17.899999999999999" customHeight="1">
      <c r="AA18417"/>
    </row>
    <row r="18418" spans="27:27" ht="17.899999999999999" customHeight="1">
      <c r="AA18418"/>
    </row>
    <row r="18419" spans="27:27" ht="17.899999999999999" customHeight="1">
      <c r="AA18419"/>
    </row>
    <row r="18420" spans="27:27" ht="17.899999999999999" customHeight="1">
      <c r="AA18420"/>
    </row>
    <row r="18421" spans="27:27" ht="17.899999999999999" customHeight="1">
      <c r="AA18421"/>
    </row>
    <row r="18422" spans="27:27" ht="17.899999999999999" customHeight="1">
      <c r="AA18422"/>
    </row>
    <row r="18423" spans="27:27" ht="17.899999999999999" customHeight="1">
      <c r="AA18423"/>
    </row>
    <row r="18424" spans="27:27" ht="17.899999999999999" customHeight="1">
      <c r="AA18424"/>
    </row>
    <row r="18425" spans="27:27" ht="17.899999999999999" customHeight="1">
      <c r="AA18425"/>
    </row>
    <row r="18426" spans="27:27" ht="17.899999999999999" customHeight="1">
      <c r="AA18426"/>
    </row>
    <row r="18427" spans="27:27" ht="17.899999999999999" customHeight="1">
      <c r="AA18427"/>
    </row>
    <row r="18428" spans="27:27" ht="17.899999999999999" customHeight="1">
      <c r="AA18428"/>
    </row>
    <row r="18429" spans="27:27" ht="17.899999999999999" customHeight="1">
      <c r="AA18429"/>
    </row>
    <row r="18430" spans="27:27" ht="17.899999999999999" customHeight="1">
      <c r="AA18430"/>
    </row>
    <row r="18431" spans="27:27" ht="17.899999999999999" customHeight="1">
      <c r="AA18431"/>
    </row>
    <row r="18432" spans="27:27" ht="17.899999999999999" customHeight="1">
      <c r="AA18432"/>
    </row>
    <row r="18433" spans="27:27" ht="17.899999999999999" customHeight="1">
      <c r="AA18433"/>
    </row>
    <row r="18434" spans="27:27" ht="17.899999999999999" customHeight="1">
      <c r="AA18434"/>
    </row>
    <row r="18435" spans="27:27" ht="17.899999999999999" customHeight="1">
      <c r="AA18435"/>
    </row>
    <row r="18436" spans="27:27" ht="17.899999999999999" customHeight="1">
      <c r="AA18436"/>
    </row>
    <row r="18437" spans="27:27" ht="17.899999999999999" customHeight="1">
      <c r="AA18437"/>
    </row>
    <row r="18438" spans="27:27" ht="17.899999999999999" customHeight="1">
      <c r="AA18438"/>
    </row>
    <row r="18439" spans="27:27" ht="17.899999999999999" customHeight="1">
      <c r="AA18439"/>
    </row>
    <row r="18440" spans="27:27" ht="17.899999999999999" customHeight="1">
      <c r="AA18440"/>
    </row>
    <row r="18441" spans="27:27" ht="17.899999999999999" customHeight="1">
      <c r="AA18441"/>
    </row>
    <row r="18442" spans="27:27" ht="17.899999999999999" customHeight="1">
      <c r="AA18442"/>
    </row>
    <row r="18443" spans="27:27" ht="17.899999999999999" customHeight="1">
      <c r="AA18443"/>
    </row>
    <row r="18444" spans="27:27" ht="17.899999999999999" customHeight="1">
      <c r="AA18444"/>
    </row>
    <row r="18445" spans="27:27" ht="17.899999999999999" customHeight="1">
      <c r="AA18445"/>
    </row>
    <row r="18446" spans="27:27" ht="17.899999999999999" customHeight="1">
      <c r="AA18446"/>
    </row>
    <row r="18447" spans="27:27" ht="17.899999999999999" customHeight="1">
      <c r="AA18447"/>
    </row>
    <row r="18448" spans="27:27" ht="17.899999999999999" customHeight="1">
      <c r="AA18448"/>
    </row>
    <row r="18449" spans="27:27" ht="17.899999999999999" customHeight="1">
      <c r="AA18449"/>
    </row>
    <row r="18450" spans="27:27" ht="17.899999999999999" customHeight="1">
      <c r="AA18450"/>
    </row>
    <row r="18451" spans="27:27" ht="17.899999999999999" customHeight="1">
      <c r="AA18451"/>
    </row>
    <row r="18452" spans="27:27" ht="17.899999999999999" customHeight="1">
      <c r="AA18452"/>
    </row>
    <row r="18453" spans="27:27" ht="17.899999999999999" customHeight="1">
      <c r="AA18453"/>
    </row>
    <row r="18454" spans="27:27" ht="17.899999999999999" customHeight="1">
      <c r="AA18454"/>
    </row>
    <row r="18455" spans="27:27" ht="17.899999999999999" customHeight="1">
      <c r="AA18455"/>
    </row>
    <row r="18456" spans="27:27" ht="17.899999999999999" customHeight="1">
      <c r="AA18456"/>
    </row>
    <row r="18457" spans="27:27" ht="17.899999999999999" customHeight="1">
      <c r="AA18457"/>
    </row>
    <row r="18458" spans="27:27" ht="17.899999999999999" customHeight="1">
      <c r="AA18458"/>
    </row>
    <row r="18459" spans="27:27" ht="17.899999999999999" customHeight="1">
      <c r="AA18459"/>
    </row>
    <row r="18460" spans="27:27" ht="17.899999999999999" customHeight="1">
      <c r="AA18460"/>
    </row>
    <row r="18461" spans="27:27" ht="17.899999999999999" customHeight="1">
      <c r="AA18461"/>
    </row>
    <row r="18462" spans="27:27" ht="17.899999999999999" customHeight="1">
      <c r="AA18462"/>
    </row>
    <row r="18463" spans="27:27" ht="17.899999999999999" customHeight="1">
      <c r="AA18463"/>
    </row>
    <row r="18464" spans="27:27" ht="17.899999999999999" customHeight="1">
      <c r="AA18464"/>
    </row>
    <row r="18465" spans="27:27" ht="17.899999999999999" customHeight="1">
      <c r="AA18465"/>
    </row>
    <row r="18466" spans="27:27" ht="17.899999999999999" customHeight="1">
      <c r="AA18466"/>
    </row>
    <row r="18467" spans="27:27" ht="17.899999999999999" customHeight="1">
      <c r="AA18467"/>
    </row>
    <row r="18468" spans="27:27" ht="17.899999999999999" customHeight="1">
      <c r="AA18468"/>
    </row>
    <row r="18469" spans="27:27" ht="17.899999999999999" customHeight="1">
      <c r="AA18469"/>
    </row>
    <row r="18470" spans="27:27" ht="17.899999999999999" customHeight="1">
      <c r="AA18470"/>
    </row>
    <row r="18471" spans="27:27" ht="17.899999999999999" customHeight="1">
      <c r="AA18471"/>
    </row>
    <row r="18472" spans="27:27" ht="17.899999999999999" customHeight="1">
      <c r="AA18472"/>
    </row>
    <row r="18473" spans="27:27" ht="17.899999999999999" customHeight="1">
      <c r="AA18473"/>
    </row>
    <row r="18474" spans="27:27" ht="17.899999999999999" customHeight="1">
      <c r="AA18474"/>
    </row>
    <row r="18475" spans="27:27" ht="17.899999999999999" customHeight="1">
      <c r="AA18475"/>
    </row>
    <row r="18476" spans="27:27" ht="17.899999999999999" customHeight="1">
      <c r="AA18476"/>
    </row>
    <row r="18477" spans="27:27" ht="17.899999999999999" customHeight="1">
      <c r="AA18477"/>
    </row>
    <row r="18478" spans="27:27" ht="17.899999999999999" customHeight="1">
      <c r="AA18478"/>
    </row>
    <row r="18479" spans="27:27" ht="17.899999999999999" customHeight="1">
      <c r="AA18479"/>
    </row>
    <row r="18480" spans="27:27" ht="17.899999999999999" customHeight="1">
      <c r="AA18480"/>
    </row>
    <row r="18481" spans="27:27" ht="17.899999999999999" customHeight="1">
      <c r="AA18481"/>
    </row>
    <row r="18482" spans="27:27" ht="17.899999999999999" customHeight="1">
      <c r="AA18482"/>
    </row>
    <row r="18483" spans="27:27" ht="17.899999999999999" customHeight="1">
      <c r="AA18483"/>
    </row>
    <row r="18484" spans="27:27" ht="17.899999999999999" customHeight="1">
      <c r="AA18484"/>
    </row>
    <row r="18485" spans="27:27" ht="17.899999999999999" customHeight="1">
      <c r="AA18485"/>
    </row>
    <row r="18486" spans="27:27" ht="17.899999999999999" customHeight="1">
      <c r="AA18486"/>
    </row>
    <row r="18487" spans="27:27" ht="17.899999999999999" customHeight="1">
      <c r="AA18487"/>
    </row>
    <row r="18488" spans="27:27" ht="17.899999999999999" customHeight="1">
      <c r="AA18488"/>
    </row>
    <row r="18489" spans="27:27" ht="17.899999999999999" customHeight="1">
      <c r="AA18489"/>
    </row>
    <row r="18490" spans="27:27" ht="17.899999999999999" customHeight="1">
      <c r="AA18490"/>
    </row>
    <row r="18491" spans="27:27" ht="17.899999999999999" customHeight="1">
      <c r="AA18491"/>
    </row>
    <row r="18492" spans="27:27" ht="17.899999999999999" customHeight="1">
      <c r="AA18492"/>
    </row>
    <row r="18493" spans="27:27" ht="17.899999999999999" customHeight="1">
      <c r="AA18493"/>
    </row>
    <row r="18494" spans="27:27" ht="17.899999999999999" customHeight="1">
      <c r="AA18494"/>
    </row>
    <row r="18495" spans="27:27" ht="17.899999999999999" customHeight="1">
      <c r="AA18495"/>
    </row>
    <row r="18496" spans="27:27" ht="17.899999999999999" customHeight="1">
      <c r="AA18496"/>
    </row>
    <row r="18497" spans="27:27" ht="17.899999999999999" customHeight="1">
      <c r="AA18497"/>
    </row>
    <row r="18498" spans="27:27" ht="17.899999999999999" customHeight="1">
      <c r="AA18498"/>
    </row>
    <row r="18499" spans="27:27" ht="17.899999999999999" customHeight="1">
      <c r="AA18499"/>
    </row>
    <row r="18500" spans="27:27" ht="17.899999999999999" customHeight="1">
      <c r="AA18500"/>
    </row>
    <row r="18501" spans="27:27" ht="17.899999999999999" customHeight="1">
      <c r="AA18501"/>
    </row>
    <row r="18502" spans="27:27" ht="17.899999999999999" customHeight="1">
      <c r="AA18502"/>
    </row>
    <row r="18503" spans="27:27" ht="17.899999999999999" customHeight="1">
      <c r="AA18503"/>
    </row>
    <row r="18504" spans="27:27" ht="17.899999999999999" customHeight="1">
      <c r="AA18504"/>
    </row>
    <row r="18505" spans="27:27" ht="17.899999999999999" customHeight="1">
      <c r="AA18505"/>
    </row>
    <row r="18506" spans="27:27" ht="17.899999999999999" customHeight="1">
      <c r="AA18506"/>
    </row>
    <row r="18507" spans="27:27" ht="17.899999999999999" customHeight="1">
      <c r="AA18507"/>
    </row>
    <row r="18508" spans="27:27" ht="17.899999999999999" customHeight="1">
      <c r="AA18508"/>
    </row>
    <row r="18509" spans="27:27" ht="17.899999999999999" customHeight="1">
      <c r="AA18509"/>
    </row>
    <row r="18510" spans="27:27" ht="17.899999999999999" customHeight="1">
      <c r="AA18510"/>
    </row>
    <row r="18511" spans="27:27" ht="17.899999999999999" customHeight="1">
      <c r="AA18511"/>
    </row>
    <row r="18512" spans="27:27" ht="17.899999999999999" customHeight="1">
      <c r="AA18512"/>
    </row>
    <row r="18513" spans="27:27" ht="17.899999999999999" customHeight="1">
      <c r="AA18513"/>
    </row>
    <row r="18514" spans="27:27" ht="17.899999999999999" customHeight="1">
      <c r="AA18514"/>
    </row>
    <row r="18515" spans="27:27" ht="17.899999999999999" customHeight="1">
      <c r="AA18515"/>
    </row>
    <row r="18516" spans="27:27" ht="17.899999999999999" customHeight="1">
      <c r="AA18516"/>
    </row>
    <row r="18517" spans="27:27" ht="17.899999999999999" customHeight="1">
      <c r="AA18517"/>
    </row>
    <row r="18518" spans="27:27" ht="17.899999999999999" customHeight="1">
      <c r="AA18518"/>
    </row>
    <row r="18519" spans="27:27" ht="17.899999999999999" customHeight="1">
      <c r="AA18519"/>
    </row>
    <row r="18520" spans="27:27" ht="17.899999999999999" customHeight="1">
      <c r="AA18520"/>
    </row>
    <row r="18521" spans="27:27" ht="17.899999999999999" customHeight="1">
      <c r="AA18521"/>
    </row>
    <row r="18522" spans="27:27" ht="17.899999999999999" customHeight="1">
      <c r="AA18522"/>
    </row>
    <row r="18523" spans="27:27" ht="17.899999999999999" customHeight="1">
      <c r="AA18523"/>
    </row>
    <row r="18524" spans="27:27" ht="17.899999999999999" customHeight="1">
      <c r="AA18524"/>
    </row>
    <row r="18525" spans="27:27" ht="17.899999999999999" customHeight="1">
      <c r="AA18525"/>
    </row>
    <row r="18526" spans="27:27" ht="17.899999999999999" customHeight="1">
      <c r="AA18526"/>
    </row>
    <row r="18527" spans="27:27" ht="17.899999999999999" customHeight="1">
      <c r="AA18527"/>
    </row>
    <row r="18528" spans="27:27" ht="17.899999999999999" customHeight="1">
      <c r="AA18528"/>
    </row>
    <row r="18529" spans="27:27" ht="17.899999999999999" customHeight="1">
      <c r="AA18529"/>
    </row>
    <row r="18530" spans="27:27" ht="17.899999999999999" customHeight="1">
      <c r="AA18530"/>
    </row>
    <row r="18531" spans="27:27" ht="17.899999999999999" customHeight="1">
      <c r="AA18531"/>
    </row>
    <row r="18532" spans="27:27" ht="17.899999999999999" customHeight="1">
      <c r="AA18532"/>
    </row>
    <row r="18533" spans="27:27" ht="17.899999999999999" customHeight="1">
      <c r="AA18533"/>
    </row>
    <row r="18534" spans="27:27" ht="17.899999999999999" customHeight="1">
      <c r="AA18534"/>
    </row>
    <row r="18535" spans="27:27" ht="17.899999999999999" customHeight="1">
      <c r="AA18535"/>
    </row>
    <row r="18536" spans="27:27" ht="17.899999999999999" customHeight="1">
      <c r="AA18536"/>
    </row>
    <row r="18537" spans="27:27" ht="17.899999999999999" customHeight="1">
      <c r="AA18537"/>
    </row>
    <row r="18538" spans="27:27" ht="17.899999999999999" customHeight="1">
      <c r="AA18538"/>
    </row>
    <row r="18539" spans="27:27" ht="17.899999999999999" customHeight="1">
      <c r="AA18539"/>
    </row>
    <row r="18540" spans="27:27" ht="17.899999999999999" customHeight="1">
      <c r="AA18540"/>
    </row>
    <row r="18541" spans="27:27" ht="17.899999999999999" customHeight="1">
      <c r="AA18541"/>
    </row>
    <row r="18542" spans="27:27" ht="17.899999999999999" customHeight="1">
      <c r="AA18542"/>
    </row>
    <row r="18543" spans="27:27" ht="17.899999999999999" customHeight="1">
      <c r="AA18543"/>
    </row>
    <row r="18544" spans="27:27" ht="17.899999999999999" customHeight="1">
      <c r="AA18544"/>
    </row>
    <row r="18545" spans="27:27" ht="17.899999999999999" customHeight="1">
      <c r="AA18545"/>
    </row>
    <row r="18546" spans="27:27" ht="17.899999999999999" customHeight="1">
      <c r="AA18546"/>
    </row>
    <row r="18547" spans="27:27" ht="17.899999999999999" customHeight="1">
      <c r="AA18547"/>
    </row>
    <row r="18548" spans="27:27" ht="17.899999999999999" customHeight="1">
      <c r="AA18548"/>
    </row>
    <row r="18549" spans="27:27" ht="17.899999999999999" customHeight="1">
      <c r="AA18549"/>
    </row>
    <row r="18550" spans="27:27" ht="17.899999999999999" customHeight="1">
      <c r="AA18550"/>
    </row>
    <row r="18551" spans="27:27" ht="17.899999999999999" customHeight="1">
      <c r="AA18551"/>
    </row>
    <row r="18552" spans="27:27" ht="17.899999999999999" customHeight="1">
      <c r="AA18552"/>
    </row>
    <row r="18553" spans="27:27" ht="17.899999999999999" customHeight="1">
      <c r="AA18553"/>
    </row>
    <row r="18554" spans="27:27" ht="17.899999999999999" customHeight="1">
      <c r="AA18554"/>
    </row>
    <row r="18555" spans="27:27" ht="17.899999999999999" customHeight="1">
      <c r="AA18555"/>
    </row>
    <row r="18556" spans="27:27" ht="17.899999999999999" customHeight="1">
      <c r="AA18556"/>
    </row>
    <row r="18557" spans="27:27" ht="17.899999999999999" customHeight="1">
      <c r="AA18557"/>
    </row>
    <row r="18558" spans="27:27" ht="17.899999999999999" customHeight="1">
      <c r="AA18558"/>
    </row>
    <row r="18559" spans="27:27" ht="17.899999999999999" customHeight="1">
      <c r="AA18559"/>
    </row>
    <row r="18560" spans="27:27" ht="17.899999999999999" customHeight="1">
      <c r="AA18560"/>
    </row>
    <row r="18561" spans="27:27" ht="17.899999999999999" customHeight="1">
      <c r="AA18561"/>
    </row>
    <row r="18562" spans="27:27" ht="17.899999999999999" customHeight="1">
      <c r="AA18562"/>
    </row>
    <row r="18563" spans="27:27" ht="17.899999999999999" customHeight="1">
      <c r="AA18563"/>
    </row>
    <row r="18564" spans="27:27" ht="17.899999999999999" customHeight="1">
      <c r="AA18564"/>
    </row>
    <row r="18565" spans="27:27" ht="17.899999999999999" customHeight="1">
      <c r="AA18565"/>
    </row>
    <row r="18566" spans="27:27" ht="17.899999999999999" customHeight="1">
      <c r="AA18566"/>
    </row>
    <row r="18567" spans="27:27" ht="17.899999999999999" customHeight="1">
      <c r="AA18567"/>
    </row>
    <row r="18568" spans="27:27" ht="17.899999999999999" customHeight="1">
      <c r="AA18568"/>
    </row>
    <row r="18569" spans="27:27" ht="17.899999999999999" customHeight="1">
      <c r="AA18569"/>
    </row>
    <row r="18570" spans="27:27" ht="17.899999999999999" customHeight="1">
      <c r="AA18570"/>
    </row>
    <row r="18571" spans="27:27" ht="17.899999999999999" customHeight="1">
      <c r="AA18571"/>
    </row>
    <row r="18572" spans="27:27" ht="17.899999999999999" customHeight="1">
      <c r="AA18572"/>
    </row>
    <row r="18573" spans="27:27" ht="17.899999999999999" customHeight="1">
      <c r="AA18573"/>
    </row>
    <row r="18574" spans="27:27" ht="17.899999999999999" customHeight="1">
      <c r="AA18574"/>
    </row>
    <row r="18575" spans="27:27" ht="17.899999999999999" customHeight="1">
      <c r="AA18575"/>
    </row>
    <row r="18576" spans="27:27" ht="17.899999999999999" customHeight="1">
      <c r="AA18576"/>
    </row>
    <row r="18577" spans="27:27" ht="17.899999999999999" customHeight="1">
      <c r="AA18577"/>
    </row>
    <row r="18578" spans="27:27" ht="17.899999999999999" customHeight="1">
      <c r="AA18578"/>
    </row>
    <row r="18579" spans="27:27" ht="17.899999999999999" customHeight="1">
      <c r="AA18579"/>
    </row>
    <row r="18580" spans="27:27" ht="17.899999999999999" customHeight="1">
      <c r="AA18580"/>
    </row>
    <row r="18581" spans="27:27" ht="17.899999999999999" customHeight="1">
      <c r="AA18581"/>
    </row>
    <row r="18582" spans="27:27" ht="17.899999999999999" customHeight="1">
      <c r="AA18582"/>
    </row>
    <row r="18583" spans="27:27" ht="17.899999999999999" customHeight="1">
      <c r="AA18583"/>
    </row>
    <row r="18584" spans="27:27" ht="17.899999999999999" customHeight="1">
      <c r="AA18584"/>
    </row>
    <row r="18585" spans="27:27" ht="17.899999999999999" customHeight="1">
      <c r="AA18585"/>
    </row>
    <row r="18586" spans="27:27" ht="17.899999999999999" customHeight="1">
      <c r="AA18586"/>
    </row>
    <row r="18587" spans="27:27" ht="17.899999999999999" customHeight="1">
      <c r="AA18587"/>
    </row>
    <row r="18588" spans="27:27" ht="17.899999999999999" customHeight="1">
      <c r="AA18588"/>
    </row>
    <row r="18589" spans="27:27" ht="17.899999999999999" customHeight="1">
      <c r="AA18589"/>
    </row>
    <row r="18590" spans="27:27" ht="17.899999999999999" customHeight="1">
      <c r="AA18590"/>
    </row>
    <row r="18591" spans="27:27" ht="17.899999999999999" customHeight="1">
      <c r="AA18591"/>
    </row>
    <row r="18592" spans="27:27" ht="17.899999999999999" customHeight="1">
      <c r="AA18592"/>
    </row>
    <row r="18593" spans="27:27" ht="17.899999999999999" customHeight="1">
      <c r="AA18593"/>
    </row>
    <row r="18594" spans="27:27" ht="17.899999999999999" customHeight="1">
      <c r="AA18594"/>
    </row>
    <row r="18595" spans="27:27" ht="17.899999999999999" customHeight="1">
      <c r="AA18595"/>
    </row>
    <row r="18596" spans="27:27" ht="17.899999999999999" customHeight="1">
      <c r="AA18596"/>
    </row>
    <row r="18597" spans="27:27" ht="17.899999999999999" customHeight="1">
      <c r="AA18597"/>
    </row>
    <row r="18598" spans="27:27" ht="17.899999999999999" customHeight="1">
      <c r="AA18598"/>
    </row>
    <row r="18599" spans="27:27" ht="17.899999999999999" customHeight="1">
      <c r="AA18599"/>
    </row>
    <row r="18600" spans="27:27" ht="17.899999999999999" customHeight="1">
      <c r="AA18600"/>
    </row>
    <row r="18601" spans="27:27" ht="17.899999999999999" customHeight="1">
      <c r="AA18601"/>
    </row>
    <row r="18602" spans="27:27" ht="17.899999999999999" customHeight="1">
      <c r="AA18602"/>
    </row>
    <row r="18603" spans="27:27" ht="17.899999999999999" customHeight="1">
      <c r="AA18603"/>
    </row>
    <row r="18604" spans="27:27" ht="17.899999999999999" customHeight="1">
      <c r="AA18604"/>
    </row>
    <row r="18605" spans="27:27" ht="17.899999999999999" customHeight="1">
      <c r="AA18605"/>
    </row>
    <row r="18606" spans="27:27" ht="17.899999999999999" customHeight="1">
      <c r="AA18606"/>
    </row>
    <row r="18607" spans="27:27" ht="17.899999999999999" customHeight="1">
      <c r="AA18607"/>
    </row>
    <row r="18608" spans="27:27" ht="17.899999999999999" customHeight="1">
      <c r="AA18608"/>
    </row>
    <row r="18609" spans="27:27" ht="17.899999999999999" customHeight="1">
      <c r="AA18609"/>
    </row>
    <row r="18610" spans="27:27" ht="17.899999999999999" customHeight="1">
      <c r="AA18610"/>
    </row>
    <row r="18611" spans="27:27" ht="17.899999999999999" customHeight="1">
      <c r="AA18611"/>
    </row>
    <row r="18612" spans="27:27" ht="17.899999999999999" customHeight="1">
      <c r="AA18612"/>
    </row>
    <row r="18613" spans="27:27" ht="17.899999999999999" customHeight="1">
      <c r="AA18613"/>
    </row>
    <row r="18614" spans="27:27" ht="17.899999999999999" customHeight="1">
      <c r="AA18614"/>
    </row>
    <row r="18615" spans="27:27" ht="17.899999999999999" customHeight="1">
      <c r="AA18615"/>
    </row>
    <row r="18616" spans="27:27" ht="17.899999999999999" customHeight="1">
      <c r="AA18616"/>
    </row>
    <row r="18617" spans="27:27" ht="17.899999999999999" customHeight="1">
      <c r="AA18617"/>
    </row>
    <row r="18618" spans="27:27" ht="17.899999999999999" customHeight="1">
      <c r="AA18618"/>
    </row>
    <row r="18619" spans="27:27" ht="17.899999999999999" customHeight="1">
      <c r="AA18619"/>
    </row>
    <row r="18620" spans="27:27" ht="17.899999999999999" customHeight="1">
      <c r="AA18620"/>
    </row>
    <row r="18621" spans="27:27" ht="17.899999999999999" customHeight="1">
      <c r="AA18621"/>
    </row>
    <row r="18622" spans="27:27" ht="17.899999999999999" customHeight="1">
      <c r="AA18622"/>
    </row>
    <row r="18623" spans="27:27" ht="17.899999999999999" customHeight="1">
      <c r="AA18623"/>
    </row>
    <row r="18624" spans="27:27" ht="17.899999999999999" customHeight="1">
      <c r="AA18624"/>
    </row>
    <row r="18625" spans="27:27" ht="17.899999999999999" customHeight="1">
      <c r="AA18625"/>
    </row>
    <row r="18626" spans="27:27" ht="17.899999999999999" customHeight="1">
      <c r="AA18626"/>
    </row>
    <row r="18627" spans="27:27" ht="17.899999999999999" customHeight="1">
      <c r="AA18627"/>
    </row>
    <row r="18628" spans="27:27" ht="17.899999999999999" customHeight="1">
      <c r="AA18628"/>
    </row>
    <row r="18629" spans="27:27" ht="17.899999999999999" customHeight="1">
      <c r="AA18629"/>
    </row>
    <row r="18630" spans="27:27" ht="17.899999999999999" customHeight="1">
      <c r="AA18630"/>
    </row>
    <row r="18631" spans="27:27" ht="17.899999999999999" customHeight="1">
      <c r="AA18631"/>
    </row>
    <row r="18632" spans="27:27" ht="17.899999999999999" customHeight="1">
      <c r="AA18632"/>
    </row>
    <row r="18633" spans="27:27" ht="17.899999999999999" customHeight="1">
      <c r="AA18633"/>
    </row>
    <row r="18634" spans="27:27" ht="17.899999999999999" customHeight="1">
      <c r="AA18634"/>
    </row>
    <row r="18635" spans="27:27" ht="17.899999999999999" customHeight="1">
      <c r="AA18635"/>
    </row>
    <row r="18636" spans="27:27" ht="17.899999999999999" customHeight="1">
      <c r="AA18636"/>
    </row>
    <row r="18637" spans="27:27" ht="17.899999999999999" customHeight="1">
      <c r="AA18637"/>
    </row>
    <row r="18638" spans="27:27" ht="17.899999999999999" customHeight="1">
      <c r="AA18638"/>
    </row>
    <row r="18639" spans="27:27" ht="17.899999999999999" customHeight="1">
      <c r="AA18639"/>
    </row>
    <row r="18640" spans="27:27" ht="17.899999999999999" customHeight="1">
      <c r="AA18640"/>
    </row>
    <row r="18641" spans="27:27" ht="17.899999999999999" customHeight="1">
      <c r="AA18641"/>
    </row>
    <row r="18642" spans="27:27" ht="17.899999999999999" customHeight="1">
      <c r="AA18642"/>
    </row>
    <row r="18643" spans="27:27" ht="17.899999999999999" customHeight="1">
      <c r="AA18643"/>
    </row>
    <row r="18644" spans="27:27" ht="17.899999999999999" customHeight="1">
      <c r="AA18644"/>
    </row>
    <row r="18645" spans="27:27" ht="17.899999999999999" customHeight="1">
      <c r="AA18645"/>
    </row>
    <row r="18646" spans="27:27" ht="17.899999999999999" customHeight="1">
      <c r="AA18646"/>
    </row>
    <row r="18647" spans="27:27" ht="17.899999999999999" customHeight="1">
      <c r="AA18647"/>
    </row>
    <row r="18648" spans="27:27" ht="17.899999999999999" customHeight="1">
      <c r="AA18648"/>
    </row>
    <row r="18649" spans="27:27" ht="17.899999999999999" customHeight="1">
      <c r="AA18649"/>
    </row>
    <row r="18650" spans="27:27" ht="17.899999999999999" customHeight="1">
      <c r="AA18650"/>
    </row>
    <row r="18651" spans="27:27" ht="17.899999999999999" customHeight="1">
      <c r="AA18651"/>
    </row>
    <row r="18652" spans="27:27" ht="17.899999999999999" customHeight="1">
      <c r="AA18652"/>
    </row>
    <row r="18653" spans="27:27" ht="17.899999999999999" customHeight="1">
      <c r="AA18653"/>
    </row>
    <row r="18654" spans="27:27" ht="17.899999999999999" customHeight="1">
      <c r="AA18654"/>
    </row>
    <row r="18655" spans="27:27" ht="17.899999999999999" customHeight="1">
      <c r="AA18655"/>
    </row>
    <row r="18656" spans="27:27" ht="17.899999999999999" customHeight="1">
      <c r="AA18656"/>
    </row>
    <row r="18657" spans="27:27" ht="17.899999999999999" customHeight="1">
      <c r="AA18657"/>
    </row>
    <row r="18658" spans="27:27" ht="17.899999999999999" customHeight="1">
      <c r="AA18658"/>
    </row>
    <row r="18659" spans="27:27" ht="17.899999999999999" customHeight="1">
      <c r="AA18659"/>
    </row>
    <row r="18660" spans="27:27" ht="17.899999999999999" customHeight="1">
      <c r="AA18660"/>
    </row>
    <row r="18661" spans="27:27" ht="17.899999999999999" customHeight="1">
      <c r="AA18661"/>
    </row>
    <row r="18662" spans="27:27" ht="17.899999999999999" customHeight="1">
      <c r="AA18662"/>
    </row>
    <row r="18663" spans="27:27" ht="17.899999999999999" customHeight="1">
      <c r="AA18663"/>
    </row>
    <row r="18664" spans="27:27" ht="17.899999999999999" customHeight="1">
      <c r="AA18664"/>
    </row>
    <row r="18665" spans="27:27" ht="17.899999999999999" customHeight="1">
      <c r="AA18665"/>
    </row>
    <row r="18666" spans="27:27" ht="17.899999999999999" customHeight="1">
      <c r="AA18666"/>
    </row>
    <row r="18667" spans="27:27" ht="17.899999999999999" customHeight="1">
      <c r="AA18667"/>
    </row>
    <row r="18668" spans="27:27" ht="17.899999999999999" customHeight="1">
      <c r="AA18668"/>
    </row>
    <row r="18669" spans="27:27" ht="17.899999999999999" customHeight="1">
      <c r="AA18669"/>
    </row>
    <row r="18670" spans="27:27" ht="17.899999999999999" customHeight="1">
      <c r="AA18670"/>
    </row>
    <row r="18671" spans="27:27" ht="17.899999999999999" customHeight="1">
      <c r="AA18671"/>
    </row>
    <row r="18672" spans="27:27" ht="17.899999999999999" customHeight="1">
      <c r="AA18672"/>
    </row>
    <row r="18673" spans="27:27" ht="17.899999999999999" customHeight="1">
      <c r="AA18673"/>
    </row>
    <row r="18674" spans="27:27" ht="17.899999999999999" customHeight="1">
      <c r="AA18674"/>
    </row>
    <row r="18675" spans="27:27" ht="17.899999999999999" customHeight="1">
      <c r="AA18675"/>
    </row>
    <row r="18676" spans="27:27" ht="17.899999999999999" customHeight="1">
      <c r="AA18676"/>
    </row>
    <row r="18677" spans="27:27" ht="17.899999999999999" customHeight="1">
      <c r="AA18677"/>
    </row>
    <row r="18678" spans="27:27" ht="17.899999999999999" customHeight="1">
      <c r="AA18678"/>
    </row>
    <row r="18679" spans="27:27" ht="17.899999999999999" customHeight="1">
      <c r="AA18679"/>
    </row>
    <row r="18680" spans="27:27" ht="17.899999999999999" customHeight="1">
      <c r="AA18680"/>
    </row>
    <row r="18681" spans="27:27" ht="17.899999999999999" customHeight="1">
      <c r="AA18681"/>
    </row>
    <row r="18682" spans="27:27" ht="17.899999999999999" customHeight="1">
      <c r="AA18682"/>
    </row>
    <row r="18683" spans="27:27" ht="17.899999999999999" customHeight="1">
      <c r="AA18683"/>
    </row>
    <row r="18684" spans="27:27" ht="17.899999999999999" customHeight="1">
      <c r="AA18684"/>
    </row>
    <row r="18685" spans="27:27" ht="17.899999999999999" customHeight="1">
      <c r="AA18685"/>
    </row>
    <row r="18686" spans="27:27" ht="17.899999999999999" customHeight="1">
      <c r="AA18686"/>
    </row>
    <row r="18687" spans="27:27" ht="17.899999999999999" customHeight="1">
      <c r="AA18687"/>
    </row>
    <row r="18688" spans="27:27" ht="17.899999999999999" customHeight="1">
      <c r="AA18688"/>
    </row>
    <row r="18689" spans="27:27" ht="17.899999999999999" customHeight="1">
      <c r="AA18689"/>
    </row>
    <row r="18690" spans="27:27" ht="17.899999999999999" customHeight="1">
      <c r="AA18690"/>
    </row>
    <row r="18691" spans="27:27" ht="17.899999999999999" customHeight="1">
      <c r="AA18691"/>
    </row>
    <row r="18692" spans="27:27" ht="17.899999999999999" customHeight="1">
      <c r="AA18692"/>
    </row>
    <row r="18693" spans="27:27" ht="17.899999999999999" customHeight="1">
      <c r="AA18693"/>
    </row>
    <row r="18694" spans="27:27" ht="17.899999999999999" customHeight="1">
      <c r="AA18694"/>
    </row>
    <row r="18695" spans="27:27" ht="17.899999999999999" customHeight="1">
      <c r="AA18695"/>
    </row>
    <row r="18696" spans="27:27" ht="17.899999999999999" customHeight="1">
      <c r="AA18696"/>
    </row>
    <row r="18697" spans="27:27" ht="17.899999999999999" customHeight="1">
      <c r="AA18697"/>
    </row>
    <row r="18698" spans="27:27" ht="17.899999999999999" customHeight="1">
      <c r="AA18698"/>
    </row>
    <row r="18699" spans="27:27" ht="17.899999999999999" customHeight="1">
      <c r="AA18699"/>
    </row>
    <row r="18700" spans="27:27" ht="17.899999999999999" customHeight="1">
      <c r="AA18700"/>
    </row>
    <row r="18701" spans="27:27" ht="17.899999999999999" customHeight="1">
      <c r="AA18701"/>
    </row>
    <row r="18702" spans="27:27" ht="17.899999999999999" customHeight="1">
      <c r="AA18702"/>
    </row>
    <row r="18703" spans="27:27" ht="17.899999999999999" customHeight="1">
      <c r="AA18703"/>
    </row>
    <row r="18704" spans="27:27" ht="17.899999999999999" customHeight="1">
      <c r="AA18704"/>
    </row>
    <row r="18705" spans="27:27" ht="17.899999999999999" customHeight="1">
      <c r="AA18705"/>
    </row>
    <row r="18706" spans="27:27" ht="17.899999999999999" customHeight="1">
      <c r="AA18706"/>
    </row>
    <row r="18707" spans="27:27" ht="17.899999999999999" customHeight="1">
      <c r="AA18707"/>
    </row>
    <row r="18708" spans="27:27" ht="17.899999999999999" customHeight="1">
      <c r="AA18708"/>
    </row>
    <row r="18709" spans="27:27" ht="17.899999999999999" customHeight="1">
      <c r="AA18709"/>
    </row>
    <row r="18710" spans="27:27" ht="17.899999999999999" customHeight="1">
      <c r="AA18710"/>
    </row>
    <row r="18711" spans="27:27" ht="17.899999999999999" customHeight="1">
      <c r="AA18711"/>
    </row>
    <row r="18712" spans="27:27" ht="17.899999999999999" customHeight="1">
      <c r="AA18712"/>
    </row>
    <row r="18713" spans="27:27" ht="17.899999999999999" customHeight="1">
      <c r="AA18713"/>
    </row>
    <row r="18714" spans="27:27" ht="17.899999999999999" customHeight="1">
      <c r="AA18714"/>
    </row>
    <row r="18715" spans="27:27" ht="17.899999999999999" customHeight="1">
      <c r="AA18715"/>
    </row>
    <row r="18716" spans="27:27" ht="17.899999999999999" customHeight="1">
      <c r="AA18716"/>
    </row>
    <row r="18717" spans="27:27" ht="17.899999999999999" customHeight="1">
      <c r="AA18717"/>
    </row>
    <row r="18718" spans="27:27" ht="17.899999999999999" customHeight="1">
      <c r="AA18718"/>
    </row>
    <row r="18719" spans="27:27" ht="17.899999999999999" customHeight="1">
      <c r="AA18719"/>
    </row>
    <row r="18720" spans="27:27" ht="17.899999999999999" customHeight="1">
      <c r="AA18720"/>
    </row>
    <row r="18721" spans="27:27" ht="17.899999999999999" customHeight="1">
      <c r="AA18721"/>
    </row>
    <row r="18722" spans="27:27" ht="17.899999999999999" customHeight="1">
      <c r="AA18722"/>
    </row>
    <row r="18723" spans="27:27" ht="17.899999999999999" customHeight="1">
      <c r="AA18723"/>
    </row>
    <row r="18724" spans="27:27" ht="17.899999999999999" customHeight="1">
      <c r="AA18724"/>
    </row>
    <row r="18725" spans="27:27" ht="17.899999999999999" customHeight="1">
      <c r="AA18725"/>
    </row>
    <row r="18726" spans="27:27" ht="17.899999999999999" customHeight="1">
      <c r="AA18726"/>
    </row>
    <row r="18727" spans="27:27" ht="17.899999999999999" customHeight="1">
      <c r="AA18727"/>
    </row>
    <row r="18728" spans="27:27" ht="17.899999999999999" customHeight="1">
      <c r="AA18728"/>
    </row>
    <row r="18729" spans="27:27" ht="17.899999999999999" customHeight="1">
      <c r="AA18729"/>
    </row>
    <row r="18730" spans="27:27" ht="17.899999999999999" customHeight="1">
      <c r="AA18730"/>
    </row>
    <row r="18731" spans="27:27" ht="17.899999999999999" customHeight="1">
      <c r="AA18731"/>
    </row>
    <row r="18732" spans="27:27" ht="17.899999999999999" customHeight="1">
      <c r="AA18732"/>
    </row>
    <row r="18733" spans="27:27" ht="17.899999999999999" customHeight="1">
      <c r="AA18733"/>
    </row>
    <row r="18734" spans="27:27" ht="17.899999999999999" customHeight="1">
      <c r="AA18734"/>
    </row>
    <row r="18735" spans="27:27" ht="17.899999999999999" customHeight="1">
      <c r="AA18735"/>
    </row>
    <row r="18736" spans="27:27" ht="17.899999999999999" customHeight="1">
      <c r="AA18736"/>
    </row>
    <row r="18737" spans="27:27" ht="17.899999999999999" customHeight="1">
      <c r="AA18737"/>
    </row>
    <row r="18738" spans="27:27" ht="17.899999999999999" customHeight="1">
      <c r="AA18738"/>
    </row>
    <row r="18739" spans="27:27" ht="17.899999999999999" customHeight="1">
      <c r="AA18739"/>
    </row>
    <row r="18740" spans="27:27" ht="17.899999999999999" customHeight="1">
      <c r="AA18740"/>
    </row>
    <row r="18741" spans="27:27" ht="17.899999999999999" customHeight="1">
      <c r="AA18741"/>
    </row>
    <row r="18742" spans="27:27" ht="17.899999999999999" customHeight="1">
      <c r="AA18742"/>
    </row>
    <row r="18743" spans="27:27" ht="17.899999999999999" customHeight="1">
      <c r="AA18743"/>
    </row>
    <row r="18744" spans="27:27" ht="17.899999999999999" customHeight="1">
      <c r="AA18744"/>
    </row>
    <row r="18745" spans="27:27" ht="17.899999999999999" customHeight="1">
      <c r="AA18745"/>
    </row>
    <row r="18746" spans="27:27" ht="17.899999999999999" customHeight="1">
      <c r="AA18746"/>
    </row>
    <row r="18747" spans="27:27" ht="17.899999999999999" customHeight="1">
      <c r="AA18747"/>
    </row>
    <row r="18748" spans="27:27" ht="17.899999999999999" customHeight="1">
      <c r="AA18748"/>
    </row>
    <row r="18749" spans="27:27" ht="17.899999999999999" customHeight="1">
      <c r="AA18749"/>
    </row>
    <row r="18750" spans="27:27" ht="17.899999999999999" customHeight="1">
      <c r="AA18750"/>
    </row>
    <row r="18751" spans="27:27" ht="17.899999999999999" customHeight="1">
      <c r="AA18751"/>
    </row>
    <row r="18752" spans="27:27" ht="17.899999999999999" customHeight="1">
      <c r="AA18752"/>
    </row>
    <row r="18753" spans="27:27" ht="17.899999999999999" customHeight="1">
      <c r="AA18753"/>
    </row>
    <row r="18754" spans="27:27" ht="17.899999999999999" customHeight="1">
      <c r="AA18754"/>
    </row>
    <row r="18755" spans="27:27" ht="17.899999999999999" customHeight="1">
      <c r="AA18755"/>
    </row>
    <row r="18756" spans="27:27" ht="17.899999999999999" customHeight="1">
      <c r="AA18756"/>
    </row>
    <row r="18757" spans="27:27" ht="17.899999999999999" customHeight="1">
      <c r="AA18757"/>
    </row>
    <row r="18758" spans="27:27" ht="17.899999999999999" customHeight="1">
      <c r="AA18758"/>
    </row>
    <row r="18759" spans="27:27" ht="17.899999999999999" customHeight="1">
      <c r="AA18759"/>
    </row>
    <row r="18760" spans="27:27" ht="17.899999999999999" customHeight="1">
      <c r="AA18760"/>
    </row>
    <row r="18761" spans="27:27" ht="17.899999999999999" customHeight="1">
      <c r="AA18761"/>
    </row>
    <row r="18762" spans="27:27" ht="17.899999999999999" customHeight="1">
      <c r="AA18762"/>
    </row>
    <row r="18763" spans="27:27" ht="17.899999999999999" customHeight="1">
      <c r="AA18763"/>
    </row>
    <row r="18764" spans="27:27" ht="17.899999999999999" customHeight="1">
      <c r="AA18764"/>
    </row>
    <row r="18765" spans="27:27" ht="17.899999999999999" customHeight="1">
      <c r="AA18765"/>
    </row>
    <row r="18766" spans="27:27" ht="17.899999999999999" customHeight="1">
      <c r="AA18766"/>
    </row>
    <row r="18767" spans="27:27" ht="17.899999999999999" customHeight="1">
      <c r="AA18767"/>
    </row>
    <row r="18768" spans="27:27" ht="17.899999999999999" customHeight="1">
      <c r="AA18768"/>
    </row>
    <row r="18769" spans="27:27" ht="17.899999999999999" customHeight="1">
      <c r="AA18769"/>
    </row>
    <row r="18770" spans="27:27" ht="17.899999999999999" customHeight="1">
      <c r="AA18770"/>
    </row>
    <row r="18771" spans="27:27" ht="17.899999999999999" customHeight="1">
      <c r="AA18771"/>
    </row>
    <row r="18772" spans="27:27" ht="17.899999999999999" customHeight="1">
      <c r="AA18772"/>
    </row>
    <row r="18773" spans="27:27" ht="17.899999999999999" customHeight="1">
      <c r="AA18773"/>
    </row>
    <row r="18774" spans="27:27" ht="17.899999999999999" customHeight="1">
      <c r="AA18774"/>
    </row>
    <row r="18775" spans="27:27" ht="17.899999999999999" customHeight="1">
      <c r="AA18775"/>
    </row>
    <row r="18776" spans="27:27" ht="17.899999999999999" customHeight="1">
      <c r="AA18776"/>
    </row>
    <row r="18777" spans="27:27" ht="17.899999999999999" customHeight="1">
      <c r="AA18777"/>
    </row>
    <row r="18778" spans="27:27" ht="17.899999999999999" customHeight="1">
      <c r="AA18778"/>
    </row>
    <row r="18779" spans="27:27" ht="17.899999999999999" customHeight="1">
      <c r="AA18779"/>
    </row>
    <row r="18780" spans="27:27" ht="17.899999999999999" customHeight="1">
      <c r="AA18780"/>
    </row>
    <row r="18781" spans="27:27" ht="17.899999999999999" customHeight="1">
      <c r="AA18781"/>
    </row>
    <row r="18782" spans="27:27" ht="17.899999999999999" customHeight="1">
      <c r="AA18782"/>
    </row>
    <row r="18783" spans="27:27" ht="17.899999999999999" customHeight="1">
      <c r="AA18783"/>
    </row>
    <row r="18784" spans="27:27" ht="17.899999999999999" customHeight="1">
      <c r="AA18784"/>
    </row>
    <row r="18785" spans="27:27" ht="17.899999999999999" customHeight="1">
      <c r="AA18785"/>
    </row>
    <row r="18786" spans="27:27" ht="17.899999999999999" customHeight="1">
      <c r="AA18786"/>
    </row>
    <row r="18787" spans="27:27" ht="17.899999999999999" customHeight="1">
      <c r="AA18787"/>
    </row>
    <row r="18788" spans="27:27" ht="17.899999999999999" customHeight="1">
      <c r="AA18788"/>
    </row>
    <row r="18789" spans="27:27" ht="17.899999999999999" customHeight="1">
      <c r="AA18789"/>
    </row>
    <row r="18790" spans="27:27" ht="17.899999999999999" customHeight="1">
      <c r="AA18790"/>
    </row>
    <row r="18791" spans="27:27" ht="17.899999999999999" customHeight="1">
      <c r="AA18791"/>
    </row>
    <row r="18792" spans="27:27" ht="17.899999999999999" customHeight="1">
      <c r="AA18792"/>
    </row>
    <row r="18793" spans="27:27" ht="17.899999999999999" customHeight="1">
      <c r="AA18793"/>
    </row>
    <row r="18794" spans="27:27" ht="17.899999999999999" customHeight="1">
      <c r="AA18794"/>
    </row>
    <row r="18795" spans="27:27" ht="17.899999999999999" customHeight="1">
      <c r="AA18795"/>
    </row>
    <row r="18796" spans="27:27" ht="17.899999999999999" customHeight="1">
      <c r="AA18796"/>
    </row>
    <row r="18797" spans="27:27" ht="17.899999999999999" customHeight="1">
      <c r="AA18797"/>
    </row>
    <row r="18798" spans="27:27" ht="17.899999999999999" customHeight="1">
      <c r="AA18798"/>
    </row>
    <row r="18799" spans="27:27" ht="17.899999999999999" customHeight="1">
      <c r="AA18799"/>
    </row>
    <row r="18800" spans="27:27" ht="17.899999999999999" customHeight="1">
      <c r="AA18800"/>
    </row>
    <row r="18801" spans="27:27" ht="17.899999999999999" customHeight="1">
      <c r="AA18801"/>
    </row>
    <row r="18802" spans="27:27" ht="17.899999999999999" customHeight="1">
      <c r="AA18802"/>
    </row>
    <row r="18803" spans="27:27" ht="17.899999999999999" customHeight="1">
      <c r="AA18803"/>
    </row>
  </sheetData>
  <autoFilter ref="N74:N115" xr:uid="{BDDACEB8-39DA-4BC9-A918-310FEE004466}">
    <sortState xmlns:xlrd2="http://schemas.microsoft.com/office/spreadsheetml/2017/richdata2" ref="N75:N115">
      <sortCondition ref="N74:N115"/>
    </sortState>
  </autoFilter>
  <pageMargins left="0.7" right="0.7" top="0.75" bottom="0.75" header="0.3" footer="0.3"/>
  <pageSetup orientation="portrait" horizontalDpi="300" verticalDpi="300" r:id="rId1"/>
  <headerFooter>
    <oddFooter>&amp;L&amp;1#&amp;"Calibri"&amp;10&amp;K000000Classification: Western Union Unrestricted Internal</oddFooter>
  </headerFooter>
  <customProperties>
    <customPr name="workbookAdvencedSettings" r:id="rId2"/>
    <customPr name="workbookExecutionSettings" r:id="rId3"/>
    <customPr name="workbookGatewaySettings" r:id="rId4"/>
  </customProperties>
  <tableParts count="10">
    <tablePart r:id="rId5"/>
    <tablePart r:id="rId6"/>
    <tablePart r:id="rId7"/>
    <tablePart r:id="rId8"/>
    <tablePart r:id="rId9"/>
    <tablePart r:id="rId10"/>
    <tablePart r:id="rId11"/>
    <tablePart r:id="rId12"/>
    <tablePart r:id="rId13"/>
    <tablePart r:id="rId14"/>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5CCB2-030C-4BE3-A70D-C61DF0F15ADA}">
  <sheetPr codeName="Sheet13"/>
  <dimension ref="B1:BF53"/>
  <sheetViews>
    <sheetView showGridLines="0" showWhiteSpace="0" view="pageBreakPreview" zoomScaleNormal="85" zoomScaleSheetLayoutView="100" workbookViewId="0">
      <selection activeCell="I45" sqref="I45"/>
    </sheetView>
  </sheetViews>
  <sheetFormatPr defaultColWidth="9.453125" defaultRowHeight="14.5"/>
  <cols>
    <col min="1" max="1" width="1.453125" customWidth="1"/>
    <col min="2" max="2" width="7.453125" customWidth="1"/>
    <col min="3" max="3" width="24.54296875" customWidth="1"/>
    <col min="4" max="4" width="4.54296875" customWidth="1"/>
    <col min="5" max="5" width="90.453125" customWidth="1"/>
    <col min="6" max="6" width="13.453125" customWidth="1"/>
    <col min="7" max="8" width="11.453125" customWidth="1"/>
    <col min="9" max="11" width="2.54296875" customWidth="1"/>
    <col min="13" max="13" width="10.453125" customWidth="1"/>
    <col min="17" max="17" width="2.453125" customWidth="1"/>
    <col min="23" max="23" width="3.453125" customWidth="1"/>
    <col min="24" max="25" width="9.453125" customWidth="1"/>
    <col min="29" max="29" width="1.54296875" customWidth="1"/>
    <col min="31" max="31" width="43.54296875" customWidth="1"/>
    <col min="35" max="35" width="1.453125" customWidth="1"/>
    <col min="37" max="37" width="12.54296875" customWidth="1"/>
    <col min="52" max="52" width="9.453125" style="101"/>
    <col min="53" max="54" width="17.453125" style="7" customWidth="1"/>
  </cols>
  <sheetData>
    <row r="1" spans="2:58" ht="12" customHeight="1">
      <c r="I1" s="342" t="str" cm="1">
        <f t="array" ref="I1">LocationInfo[Select Letter Language]</f>
        <v>Spanish</v>
      </c>
      <c r="L1" s="616" t="s">
        <v>2</v>
      </c>
      <c r="M1" s="616"/>
      <c r="N1" s="616"/>
      <c r="O1" s="616"/>
      <c r="P1" s="616"/>
      <c r="R1" s="616" t="s">
        <v>137</v>
      </c>
      <c r="S1" s="616"/>
      <c r="T1" s="616"/>
      <c r="U1" s="616"/>
      <c r="V1" s="616"/>
      <c r="W1" t="s">
        <v>42</v>
      </c>
      <c r="X1" s="616" t="s">
        <v>138</v>
      </c>
      <c r="Y1" s="616"/>
      <c r="Z1" s="616"/>
      <c r="AA1" s="616"/>
      <c r="AB1" s="616"/>
      <c r="AD1" s="616" t="s">
        <v>139</v>
      </c>
      <c r="AE1" s="616"/>
      <c r="AF1" s="616"/>
      <c r="AG1" s="616"/>
      <c r="AH1" s="616"/>
    </row>
    <row r="2" spans="2:58" ht="25.5" customHeight="1">
      <c r="B2" s="344"/>
      <c r="E2" s="343"/>
      <c r="J2" s="342" t="str">
        <f ca="1">OFFSET(L2,0,VLOOKUP($I$1,$AK$4:$AL$8,2,FALSE))</f>
        <v>Nombre del agente:</v>
      </c>
      <c r="K2" s="342" t="str">
        <f ca="1">OFFSET(O2,0,VLOOKUP($I$1,$AK$4:$AL$8,2,FALSE))</f>
        <v>Fecha de finalización:</v>
      </c>
      <c r="L2" s="339" t="s">
        <v>107</v>
      </c>
      <c r="M2" s="339"/>
      <c r="N2" s="339"/>
      <c r="O2" s="339" t="s">
        <v>4439</v>
      </c>
      <c r="P2" s="339" t="s">
        <v>4440</v>
      </c>
      <c r="Q2" t="s">
        <v>42</v>
      </c>
      <c r="R2" s="339" t="s">
        <v>4441</v>
      </c>
      <c r="S2" s="339"/>
      <c r="T2" s="339"/>
      <c r="U2" s="339" t="s">
        <v>4442</v>
      </c>
      <c r="V2" s="339" t="s">
        <v>4443</v>
      </c>
      <c r="W2" t="s">
        <v>42</v>
      </c>
      <c r="X2" s="339" t="s">
        <v>4444</v>
      </c>
      <c r="Y2" s="339"/>
      <c r="Z2" s="339"/>
      <c r="AA2" s="339" t="s">
        <v>4445</v>
      </c>
      <c r="AB2" s="339" t="s">
        <v>4446</v>
      </c>
      <c r="AC2" t="s">
        <v>42</v>
      </c>
      <c r="AD2" s="339" t="s">
        <v>4447</v>
      </c>
      <c r="AE2" s="339"/>
      <c r="AF2" s="339"/>
      <c r="AG2" s="339" t="s">
        <v>4448</v>
      </c>
      <c r="AH2" s="339" t="s">
        <v>4449</v>
      </c>
      <c r="AI2" t="s">
        <v>42</v>
      </c>
    </row>
    <row r="3" spans="2:58" ht="25.5" customHeight="1">
      <c r="B3" s="344"/>
      <c r="E3" s="343"/>
      <c r="F3" s="611" t="str">
        <f ca="1">OFFSET(P2,0,VLOOKUP($I$1,$AK$4:$AL$8,2,FALSE))</f>
        <v>Lista de acciones para el agente</v>
      </c>
      <c r="G3" s="611"/>
      <c r="H3" s="611"/>
      <c r="J3" s="342" t="str">
        <f ca="1">OFFSET(L3,0,VLOOKUP($I$1,$AK$4:$AL$8,2,FALSE))</f>
        <v>Número de agente:</v>
      </c>
      <c r="K3" s="342" t="str">
        <f ca="1">OFFSET(O3,0,VLOOKUP($I$1,$AK$4:$AL$8,2,FALSE))</f>
        <v>Correo electrónico/Fax del agente:</v>
      </c>
      <c r="L3" s="339" t="s">
        <v>4450</v>
      </c>
      <c r="M3" s="339"/>
      <c r="N3" s="339"/>
      <c r="O3" s="339" t="s">
        <v>4451</v>
      </c>
      <c r="P3" s="339" t="s">
        <v>42</v>
      </c>
      <c r="Q3" t="s">
        <v>42</v>
      </c>
      <c r="R3" s="339" t="s">
        <v>4452</v>
      </c>
      <c r="S3" s="339"/>
      <c r="T3" s="339"/>
      <c r="U3" s="339" t="s">
        <v>4453</v>
      </c>
      <c r="V3" s="339" t="s">
        <v>42</v>
      </c>
      <c r="W3" t="s">
        <v>42</v>
      </c>
      <c r="X3" s="339" t="s">
        <v>4454</v>
      </c>
      <c r="Y3" s="339"/>
      <c r="Z3" s="339"/>
      <c r="AA3" s="339" t="s">
        <v>4455</v>
      </c>
      <c r="AB3" s="339" t="s">
        <v>42</v>
      </c>
      <c r="AC3" t="s">
        <v>42</v>
      </c>
      <c r="AD3" s="339" t="s">
        <v>4456</v>
      </c>
      <c r="AE3" s="339"/>
      <c r="AF3" s="339"/>
      <c r="AG3" s="339" t="s">
        <v>4457</v>
      </c>
      <c r="AH3" s="339" t="s">
        <v>42</v>
      </c>
      <c r="AI3" t="s">
        <v>42</v>
      </c>
      <c r="BD3" s="610" t="s">
        <v>4458</v>
      </c>
      <c r="BE3" s="610"/>
      <c r="BF3" s="610"/>
    </row>
    <row r="4" spans="2:58" ht="43.5" customHeight="1" thickBot="1">
      <c r="B4" s="615" t="str">
        <f ca="1">OFFSET(L4,0,VLOOKUP($I$1,$AK$4:$AL$8,2,FALSE))</f>
        <v>Instrucciones para el agente: Los elementos que se muestran a continuación identifican acciones correctivas que son necesarias para reforzar el conocimiento y mantener un programa de cumplimiento eficaz. Consulte el manual global del programa de cumplimiento para el agente y las políticas y los procedimientos antifraude.</v>
      </c>
      <c r="C4" s="615"/>
      <c r="D4" s="615"/>
      <c r="E4" s="615"/>
      <c r="F4" s="612"/>
      <c r="G4" s="612"/>
      <c r="H4" s="612"/>
      <c r="L4" s="341" t="s">
        <v>4459</v>
      </c>
      <c r="M4" s="339"/>
      <c r="N4" s="339"/>
      <c r="O4" s="339"/>
      <c r="P4" s="339"/>
      <c r="Q4" t="s">
        <v>42</v>
      </c>
      <c r="R4" s="341" t="s">
        <v>4460</v>
      </c>
      <c r="S4" s="339"/>
      <c r="T4" s="339"/>
      <c r="U4" s="339"/>
      <c r="V4" s="339"/>
      <c r="W4" t="s">
        <v>42</v>
      </c>
      <c r="X4" s="341" t="s">
        <v>4461</v>
      </c>
      <c r="Y4" s="339"/>
      <c r="Z4" s="339"/>
      <c r="AA4" s="339"/>
      <c r="AB4" s="339"/>
      <c r="AC4" t="s">
        <v>42</v>
      </c>
      <c r="AD4" s="340" t="s">
        <v>4462</v>
      </c>
      <c r="AE4" s="339"/>
      <c r="AF4" s="339"/>
      <c r="AG4" s="339"/>
      <c r="AH4" s="339"/>
      <c r="AI4" t="s">
        <v>42</v>
      </c>
      <c r="AK4" s="338" t="s">
        <v>111</v>
      </c>
      <c r="AL4" s="338" t="s">
        <v>4463</v>
      </c>
      <c r="AM4" s="338"/>
      <c r="AN4" s="338" t="s">
        <v>91</v>
      </c>
      <c r="AO4" s="338" t="s">
        <v>60</v>
      </c>
      <c r="BD4" s="144" t="s">
        <v>76</v>
      </c>
      <c r="BE4" s="609" t="s">
        <v>4464</v>
      </c>
      <c r="BF4" s="609"/>
    </row>
    <row r="5" spans="2:58">
      <c r="B5" s="337" t="s">
        <v>4465</v>
      </c>
      <c r="C5" s="336" t="str">
        <f ca="1">OFFSET(L5,0,VLOOKUP($I$1,$AK$4:$AL$8,2,FALSE))</f>
        <v>Problema</v>
      </c>
      <c r="D5" s="597" t="str">
        <f ca="1">OFFSET(M5,0,VLOOKUP($I$1,$AK$4:$AL$8,2,FALSE))</f>
        <v>ACCIONES CORRECTIVAS</v>
      </c>
      <c r="E5" s="597"/>
      <c r="F5" s="335" t="str">
        <f ca="1">OFFSET(N5,0,VLOOKUP($I$1,$AK$4:$AL$8,2,FALSE))</f>
        <v>HALLAZGO</v>
      </c>
      <c r="G5" s="613" t="str">
        <f ca="1">OFFSET(O5,0,VLOOKUP($I$1,$AK$4:$AL$8,2,FALSE))</f>
        <v>¿RESPUESTA REQUERIDA?</v>
      </c>
      <c r="H5" s="614"/>
      <c r="L5" s="306" t="s">
        <v>4466</v>
      </c>
      <c r="M5" s="306" t="s">
        <v>4467</v>
      </c>
      <c r="N5" s="306" t="s">
        <v>4468</v>
      </c>
      <c r="O5" s="306" t="s">
        <v>4469</v>
      </c>
      <c r="P5" s="306"/>
      <c r="Q5" t="s">
        <v>42</v>
      </c>
      <c r="R5" s="306" t="s">
        <v>4470</v>
      </c>
      <c r="S5" s="306" t="s">
        <v>4471</v>
      </c>
      <c r="T5" s="306" t="s">
        <v>4472</v>
      </c>
      <c r="U5" s="306" t="s">
        <v>4473</v>
      </c>
      <c r="V5" s="306"/>
      <c r="W5" t="s">
        <v>42</v>
      </c>
      <c r="X5" s="306" t="s">
        <v>71</v>
      </c>
      <c r="Y5" s="306" t="s">
        <v>4474</v>
      </c>
      <c r="Z5" s="306" t="s">
        <v>4475</v>
      </c>
      <c r="AA5" s="306" t="s">
        <v>4476</v>
      </c>
      <c r="AB5" s="306"/>
      <c r="AC5" t="s">
        <v>42</v>
      </c>
      <c r="AD5" s="306" t="s">
        <v>4477</v>
      </c>
      <c r="AE5" s="306" t="s">
        <v>4478</v>
      </c>
      <c r="AF5" s="306" t="s">
        <v>4479</v>
      </c>
      <c r="AG5" s="306" t="s">
        <v>4480</v>
      </c>
      <c r="AH5" s="306"/>
      <c r="AI5" t="s">
        <v>42</v>
      </c>
      <c r="AK5" t="s">
        <v>2</v>
      </c>
      <c r="AL5">
        <v>0</v>
      </c>
      <c r="AN5" s="144" t="s">
        <v>91</v>
      </c>
      <c r="AO5" s="144" t="s">
        <v>60</v>
      </c>
    </row>
    <row r="6" spans="2:58" ht="14.9" customHeight="1">
      <c r="B6" s="582">
        <v>1</v>
      </c>
      <c r="C6" s="583" t="str">
        <f ca="1">OFFSET(L6,0,VLOOKUP($I$1,$AK$4:$AL$8,2,FALSE))</f>
        <v>ASPECTOS GENERALES</v>
      </c>
      <c r="D6" s="573" t="str">
        <f ca="1">OFFSET(M6,0,VLOOKUP($I$1,$AK$4:$AL$8,2,FALSE))</f>
        <v>Es necesario reducir los errores en los datos para no mostrar o minimizar los problemas de integridad en la información.</v>
      </c>
      <c r="E6" s="587"/>
      <c r="F6" s="324"/>
      <c r="G6" s="324" t="str">
        <f>"       "&amp;VLOOKUP($I$1,$AK$4:$AO$8,4,FALSE)</f>
        <v xml:space="preserve">       Si</v>
      </c>
      <c r="H6" s="323" t="str">
        <f>"       "&amp;VLOOKUP($I$1,$AK$4:$AO$8,5,FALSE)</f>
        <v xml:space="preserve">       No</v>
      </c>
      <c r="L6" s="306" t="s">
        <v>4481</v>
      </c>
      <c r="M6" s="306" t="s">
        <v>4482</v>
      </c>
      <c r="N6" s="306"/>
      <c r="O6" s="306"/>
      <c r="P6" s="306"/>
      <c r="Q6" t="s">
        <v>42</v>
      </c>
      <c r="R6" s="306" t="s">
        <v>4483</v>
      </c>
      <c r="S6" s="306" t="s">
        <v>4484</v>
      </c>
      <c r="T6" s="306"/>
      <c r="U6" s="306"/>
      <c r="V6" s="306"/>
      <c r="W6" t="s">
        <v>42</v>
      </c>
      <c r="X6" s="306" t="s">
        <v>4485</v>
      </c>
      <c r="Y6" s="306" t="s">
        <v>4486</v>
      </c>
      <c r="Z6" s="306"/>
      <c r="AA6" s="309"/>
      <c r="AB6" s="306"/>
      <c r="AC6" t="s">
        <v>42</v>
      </c>
      <c r="AD6" s="306" t="s">
        <v>4487</v>
      </c>
      <c r="AE6" s="306" t="s">
        <v>4488</v>
      </c>
      <c r="AF6" s="306"/>
      <c r="AG6" s="306"/>
      <c r="AH6" s="306"/>
      <c r="AI6" t="s">
        <v>42</v>
      </c>
      <c r="AK6" t="s">
        <v>137</v>
      </c>
      <c r="AL6">
        <v>6</v>
      </c>
      <c r="AN6" s="144" t="s">
        <v>4205</v>
      </c>
      <c r="AO6" s="144" t="s">
        <v>60</v>
      </c>
      <c r="AZ6" s="322" t="s">
        <v>1902</v>
      </c>
      <c r="BA6" s="7" t="str">
        <f ca="1">IFERROR(IF(VLOOKUP(AZ6,CallTb[[#All],[iWatch '#]:[QNumber]],6,FALSE)=0,"",VLOOKUP(AZ6,CallTb[[#All],[iWatch '#]:[QNumber]],6,FALSE)),"")</f>
        <v/>
      </c>
      <c r="BB6" s="7" t="str">
        <f ca="1">IFERROR(IF(VLOOKUP(AZ6,CallTb[[#All],[iWatch '#]:[QNumber]],7,FALSE)=0,"",VLOOKUP(AZ6,CallTb[[#All],[iWatch '#]:[QNumber]],7,FALSE)),"")</f>
        <v/>
      </c>
      <c r="BD6" t="b">
        <f t="shared" ref="BD6:BD43" ca="1" si="0">IF(BA6="No",TRUE,FALSE)</f>
        <v>0</v>
      </c>
      <c r="BE6" t="b">
        <f t="shared" ref="BE6:BE43" ca="1" si="1">IF(BB6="Response_Required",TRUE,FALSE)</f>
        <v>0</v>
      </c>
      <c r="BF6" t="b">
        <f t="shared" ref="BF6:BF43" ca="1" si="2">IF(BB6="Resolved_Onsite",TRUE,FALSE)</f>
        <v>0</v>
      </c>
    </row>
    <row r="7" spans="2:58" ht="14.9" customHeight="1">
      <c r="B7" s="582"/>
      <c r="C7" s="583"/>
      <c r="D7" s="573" t="str">
        <f t="shared" ref="D7:D43" ca="1" si="3">OFFSET(M7,0,VLOOKUP($I$1,$AK$4:$AL$8,2,FALSE))</f>
        <v>Se debe implementar un programa de control de calidad</v>
      </c>
      <c r="E7" s="587"/>
      <c r="F7" s="324"/>
      <c r="G7" s="324" t="str">
        <f>"       "&amp;VLOOKUP($I$1,$AK$4:$AO$8,4,FALSE)</f>
        <v xml:space="preserve">       Si</v>
      </c>
      <c r="H7" s="323" t="str">
        <f>"       "&amp;VLOOKUP($I$1,$AK$4:$AO$8,5,FALSE)</f>
        <v xml:space="preserve">       No</v>
      </c>
      <c r="L7" s="306"/>
      <c r="M7" s="306" t="s">
        <v>4489</v>
      </c>
      <c r="N7" s="306"/>
      <c r="O7" s="306"/>
      <c r="P7" s="306"/>
      <c r="Q7" t="s">
        <v>42</v>
      </c>
      <c r="R7" s="306"/>
      <c r="S7" s="306" t="s">
        <v>4490</v>
      </c>
      <c r="T7" s="306"/>
      <c r="U7" s="306"/>
      <c r="V7" s="306"/>
      <c r="W7" t="s">
        <v>42</v>
      </c>
      <c r="X7" s="306"/>
      <c r="Y7" s="306" t="s">
        <v>4491</v>
      </c>
      <c r="Z7" s="306"/>
      <c r="AA7" s="309"/>
      <c r="AB7" s="306"/>
      <c r="AC7" t="s">
        <v>42</v>
      </c>
      <c r="AD7" s="306"/>
      <c r="AE7" s="306" t="s">
        <v>4492</v>
      </c>
      <c r="AF7" s="306"/>
      <c r="AG7" s="306"/>
      <c r="AH7" s="306"/>
      <c r="AI7" t="s">
        <v>42</v>
      </c>
      <c r="AK7" t="s">
        <v>138</v>
      </c>
      <c r="AL7">
        <v>12</v>
      </c>
      <c r="AN7" s="144" t="s">
        <v>4493</v>
      </c>
      <c r="AO7" s="144" t="s">
        <v>4494</v>
      </c>
      <c r="AZ7" s="322" t="s">
        <v>1925</v>
      </c>
      <c r="BA7" s="7" t="str">
        <f ca="1">IFERROR(IF(VLOOKUP(AZ7,CallTb[[#All],[iWatch '#]:[QNumber]],6,FALSE)=0,"",VLOOKUP(AZ7,CallTb[[#All],[iWatch '#]:[QNumber]],6,FALSE)),"")</f>
        <v/>
      </c>
      <c r="BB7" s="7" t="str">
        <f ca="1">IFERROR(IF(VLOOKUP(AZ7,CallTb[[#All],[iWatch '#]:[QNumber]],7,FALSE)=0,"",VLOOKUP(AZ7,CallTb[[#All],[iWatch '#]:[QNumber]],7,FALSE)),"")</f>
        <v/>
      </c>
      <c r="BD7" t="b">
        <f t="shared" ca="1" si="0"/>
        <v>0</v>
      </c>
      <c r="BE7" t="b">
        <f t="shared" ca="1" si="1"/>
        <v>0</v>
      </c>
      <c r="BF7" t="b">
        <f t="shared" ca="1" si="2"/>
        <v>0</v>
      </c>
    </row>
    <row r="8" spans="2:58" ht="27.75" customHeight="1">
      <c r="B8" s="582"/>
      <c r="C8" s="583"/>
      <c r="D8" s="598" t="str">
        <f t="shared" ca="1" si="3"/>
        <v>Se debe mejorar el programa para incluir evaluaciones independientes de los controles de fraude y de prevención de lavado de dinero (Anti-Money Laundering, AML) y contra el financiamiento al terrorismo (Counter-Terrorist Financing, CTF)</v>
      </c>
      <c r="E8" s="599"/>
      <c r="F8" s="324"/>
      <c r="G8" s="332" t="str">
        <f>"       "&amp;VLOOKUP($I$1,$AK$4:$AO$8,4,FALSE)</f>
        <v xml:space="preserve">       Si</v>
      </c>
      <c r="H8" s="331" t="str">
        <f>"       "&amp;VLOOKUP($I$1,$AK$4:$AO$8,5,FALSE)</f>
        <v xml:space="preserve">       No</v>
      </c>
      <c r="L8" s="306"/>
      <c r="M8" s="306" t="s">
        <v>4495</v>
      </c>
      <c r="N8" s="306"/>
      <c r="O8" s="306"/>
      <c r="P8" s="306"/>
      <c r="Q8" t="s">
        <v>42</v>
      </c>
      <c r="R8" s="306"/>
      <c r="S8" s="306" t="s">
        <v>4496</v>
      </c>
      <c r="T8" s="306"/>
      <c r="U8" s="306"/>
      <c r="V8" s="306"/>
      <c r="W8" t="s">
        <v>42</v>
      </c>
      <c r="X8" s="306"/>
      <c r="Y8" s="306" t="s">
        <v>4497</v>
      </c>
      <c r="Z8" s="306"/>
      <c r="AA8" s="309"/>
      <c r="AB8" s="306"/>
      <c r="AC8" t="s">
        <v>42</v>
      </c>
      <c r="AD8" s="306"/>
      <c r="AE8" s="306" t="s">
        <v>4498</v>
      </c>
      <c r="AF8" s="306"/>
      <c r="AG8" s="306"/>
      <c r="AH8" s="306"/>
      <c r="AI8" t="s">
        <v>42</v>
      </c>
      <c r="AK8" t="s">
        <v>139</v>
      </c>
      <c r="AL8">
        <v>18</v>
      </c>
      <c r="AN8" s="144" t="s">
        <v>4499</v>
      </c>
      <c r="AO8" s="144" t="s">
        <v>4500</v>
      </c>
      <c r="AZ8" s="322" t="s">
        <v>1925</v>
      </c>
      <c r="BA8" s="7" t="str">
        <f ca="1">IFERROR(IF(VLOOKUP(AZ8,CallTb[[#All],[iWatch '#]:[QNumber]],6,FALSE)=0,"",VLOOKUP(AZ8,CallTb[[#All],[iWatch '#]:[QNumber]],6,FALSE)),"")</f>
        <v/>
      </c>
      <c r="BB8" s="7" t="str">
        <f ca="1">IFERROR(IF(VLOOKUP(AZ8,CallTb[[#All],[iWatch '#]:[QNumber]],7,FALSE)=0,"",VLOOKUP(AZ8,CallTb[[#All],[iWatch '#]:[QNumber]],7,FALSE)),"")</f>
        <v/>
      </c>
      <c r="BD8" t="b">
        <f t="shared" ca="1" si="0"/>
        <v>0</v>
      </c>
      <c r="BE8" t="b">
        <f t="shared" ca="1" si="1"/>
        <v>0</v>
      </c>
      <c r="BF8" t="b">
        <f t="shared" ca="1" si="2"/>
        <v>0</v>
      </c>
    </row>
    <row r="9" spans="2:58" ht="14.9" customHeight="1">
      <c r="B9" s="582"/>
      <c r="C9" s="583"/>
      <c r="D9" s="573" t="str">
        <f t="shared" ca="1" si="3"/>
        <v>Se necesita documentación de evaluaciones independientes</v>
      </c>
      <c r="E9" s="587"/>
      <c r="F9" s="324"/>
      <c r="G9" s="324" t="str">
        <f>"       "&amp;VLOOKUP($I$1,$AK$4:$AO$8,4,FALSE)</f>
        <v xml:space="preserve">       Si</v>
      </c>
      <c r="H9" s="323" t="str">
        <f>"       "&amp;VLOOKUP($I$1,$AK$4:$AO$8,5,FALSE)</f>
        <v xml:space="preserve">       No</v>
      </c>
      <c r="L9" s="306"/>
      <c r="M9" s="306" t="s">
        <v>4501</v>
      </c>
      <c r="N9" s="306"/>
      <c r="O9" s="306"/>
      <c r="P9" s="306"/>
      <c r="Q9" t="s">
        <v>42</v>
      </c>
      <c r="R9" s="306"/>
      <c r="S9" s="306" t="s">
        <v>4502</v>
      </c>
      <c r="T9" s="306"/>
      <c r="U9" s="306"/>
      <c r="V9" s="306"/>
      <c r="W9" t="s">
        <v>42</v>
      </c>
      <c r="X9" s="306"/>
      <c r="Y9" s="306" t="s">
        <v>4503</v>
      </c>
      <c r="Z9" s="306"/>
      <c r="AA9" s="309"/>
      <c r="AB9" s="306"/>
      <c r="AC9" t="s">
        <v>42</v>
      </c>
      <c r="AD9" s="306"/>
      <c r="AE9" s="306" t="s">
        <v>4504</v>
      </c>
      <c r="AF9" s="306"/>
      <c r="AG9" s="306"/>
      <c r="AH9" s="306"/>
      <c r="AI9" t="s">
        <v>42</v>
      </c>
      <c r="AZ9" s="322" t="s">
        <v>1925</v>
      </c>
      <c r="BA9" s="7" t="str">
        <f ca="1">IFERROR(IF(VLOOKUP(AZ9,CallTb[[#All],[iWatch '#]:[QNumber]],6,FALSE)=0,"",VLOOKUP(AZ9,CallTb[[#All],[iWatch '#]:[QNumber]],6,FALSE)),"")</f>
        <v/>
      </c>
      <c r="BB9" s="7" t="str">
        <f ca="1">IFERROR(IF(VLOOKUP(AZ9,CallTb[[#All],[iWatch '#]:[QNumber]],7,FALSE)=0,"",VLOOKUP(AZ9,CallTb[[#All],[iWatch '#]:[QNumber]],7,FALSE)),"")</f>
        <v/>
      </c>
      <c r="BD9" t="b">
        <f t="shared" ca="1" si="0"/>
        <v>0</v>
      </c>
      <c r="BE9" t="b">
        <f t="shared" ca="1" si="1"/>
        <v>0</v>
      </c>
      <c r="BF9" t="b">
        <f t="shared" ca="1" si="2"/>
        <v>0</v>
      </c>
    </row>
    <row r="10" spans="2:58" ht="15" customHeight="1">
      <c r="B10" s="582">
        <v>2</v>
      </c>
      <c r="C10" s="583" t="str">
        <f ca="1">OFFSET(L10,0,VLOOKUP($I$1,$AK$4:$AL$8,2,FALSE))</f>
        <v>PROTECCIÓN AL CLIENTE</v>
      </c>
      <c r="D10" s="573" t="str">
        <f t="shared" ca="1" si="3"/>
        <v>Se debe implementar un programa eficaz de protección al cliente</v>
      </c>
      <c r="E10" s="587"/>
      <c r="F10" s="324"/>
      <c r="G10" s="324" t="str">
        <f>"       "&amp;VLOOKUP($I$1,$AK$4:$AO$8,4,FALSE)</f>
        <v xml:space="preserve">       Si</v>
      </c>
      <c r="H10" s="323" t="str">
        <f>"       "&amp;VLOOKUP($I$1,$AK$4:$AO$8,5,FALSE)</f>
        <v xml:space="preserve">       No</v>
      </c>
      <c r="L10" s="306" t="s">
        <v>4505</v>
      </c>
      <c r="M10" s="306" t="s">
        <v>4506</v>
      </c>
      <c r="N10" s="306"/>
      <c r="O10" s="306"/>
      <c r="P10" s="306"/>
      <c r="Q10" t="s">
        <v>42</v>
      </c>
      <c r="R10" s="306" t="s">
        <v>4507</v>
      </c>
      <c r="S10" s="306" t="s">
        <v>4508</v>
      </c>
      <c r="T10" s="306"/>
      <c r="U10" s="306"/>
      <c r="V10" s="306"/>
      <c r="W10" t="s">
        <v>42</v>
      </c>
      <c r="X10" s="306" t="s">
        <v>4509</v>
      </c>
      <c r="Y10" s="306" t="s">
        <v>4510</v>
      </c>
      <c r="Z10" s="306"/>
      <c r="AA10" s="309"/>
      <c r="AB10" s="306"/>
      <c r="AC10" t="s">
        <v>42</v>
      </c>
      <c r="AD10" s="325" t="s">
        <v>4511</v>
      </c>
      <c r="AE10" s="306" t="s">
        <v>4512</v>
      </c>
      <c r="AF10" s="306"/>
      <c r="AG10" s="306"/>
      <c r="AH10" s="306"/>
      <c r="AI10" t="s">
        <v>42</v>
      </c>
      <c r="AZ10" s="322" t="s">
        <v>661</v>
      </c>
      <c r="BA10" s="7" t="str">
        <f ca="1">IFERROR(IF(VLOOKUP(AZ10,CallTb[[#All],[iWatch '#]:[QNumber]],6,FALSE)=0,"",VLOOKUP(AZ10,CallTb[[#All],[iWatch '#]:[QNumber]],6,FALSE)),"")</f>
        <v/>
      </c>
      <c r="BB10" s="7" t="str">
        <f ca="1">IFERROR(IF(VLOOKUP(AZ10,CallTb[[#All],[iWatch '#]:[QNumber]],7,FALSE)=0,"",VLOOKUP(AZ10,CallTb[[#All],[iWatch '#]:[QNumber]],7,FALSE)),"")</f>
        <v/>
      </c>
      <c r="BD10" t="b">
        <f t="shared" ca="1" si="0"/>
        <v>0</v>
      </c>
      <c r="BE10" t="b">
        <f t="shared" ca="1" si="1"/>
        <v>0</v>
      </c>
      <c r="BF10" t="b">
        <f t="shared" ca="1" si="2"/>
        <v>0</v>
      </c>
    </row>
    <row r="11" spans="2:58" ht="14.9" customHeight="1">
      <c r="B11" s="582"/>
      <c r="C11" s="583"/>
      <c r="D11" s="574" t="str">
        <f t="shared" ca="1" si="3"/>
        <v>Es necesario que los materiales de concientización sobre el fraude</v>
      </c>
      <c r="E11" s="575"/>
      <c r="F11" s="334"/>
      <c r="G11" s="334"/>
      <c r="H11" s="333"/>
      <c r="L11" s="306"/>
      <c r="M11" s="306" t="s">
        <v>4513</v>
      </c>
      <c r="N11" s="306"/>
      <c r="O11" s="306"/>
      <c r="P11" s="306"/>
      <c r="Q11" t="s">
        <v>42</v>
      </c>
      <c r="R11" s="306"/>
      <c r="S11" s="306" t="s">
        <v>4514</v>
      </c>
      <c r="T11" s="306"/>
      <c r="U11" s="306"/>
      <c r="V11" s="306"/>
      <c r="W11" t="s">
        <v>42</v>
      </c>
      <c r="X11" s="306"/>
      <c r="Y11" s="306" t="s">
        <v>4515</v>
      </c>
      <c r="Z11" s="306"/>
      <c r="AA11" s="309"/>
      <c r="AB11" s="306"/>
      <c r="AC11" t="s">
        <v>42</v>
      </c>
      <c r="AD11" s="306"/>
      <c r="AE11" s="306" t="s">
        <v>4516</v>
      </c>
      <c r="AF11" s="306"/>
      <c r="AG11" s="306"/>
      <c r="AH11" s="306"/>
      <c r="AI11" t="s">
        <v>42</v>
      </c>
      <c r="AZ11" s="322" t="s">
        <v>1637</v>
      </c>
      <c r="BA11" s="7" t="str">
        <f>IFERROR(IF(VLOOKUP(#REF!,CallTb[[#All],[iWatch '#]:[QNumber]],6,FALSE)=0,"",VLOOKUP(#REF!,CallTb[[#All],[iWatch '#]:[QNumber]],6,FALSE)),"")</f>
        <v/>
      </c>
      <c r="BB11" s="7" t="str">
        <f>IFERROR(IF(VLOOKUP(#REF!,CallTb[[#All],[iWatch '#]:[QNumber]],7,FALSE)=0,"",VLOOKUP(#REF!,CallTb[[#All],[iWatch '#]:[QNumber]],7,FALSE)),"")</f>
        <v/>
      </c>
      <c r="BD11" t="b">
        <f t="shared" si="0"/>
        <v>0</v>
      </c>
      <c r="BE11" t="b">
        <f t="shared" si="1"/>
        <v>0</v>
      </c>
      <c r="BF11" t="b">
        <f t="shared" si="2"/>
        <v>0</v>
      </c>
    </row>
    <row r="12" spans="2:58" ht="14.9" customHeight="1">
      <c r="B12" s="582"/>
      <c r="C12" s="583"/>
      <c r="D12" s="588" t="str">
        <f t="shared" ca="1" si="3"/>
        <v>Se distribuyan a los asociados u operadores de primera línea (Front-Line Associate, FLA)</v>
      </c>
      <c r="E12" s="588"/>
      <c r="F12" s="324"/>
      <c r="G12" s="324" t="str">
        <f>"       "&amp;VLOOKUP($I$1,$AK$4:$AO$8,4,FALSE)</f>
        <v xml:space="preserve">       Si</v>
      </c>
      <c r="H12" s="323" t="str">
        <f>"       "&amp;VLOOKUP($I$1,$AK$4:$AO$8,5,FALSE)</f>
        <v xml:space="preserve">       No</v>
      </c>
      <c r="L12" s="306"/>
      <c r="M12" s="306" t="s">
        <v>4517</v>
      </c>
      <c r="N12" s="306"/>
      <c r="O12" s="306"/>
      <c r="P12" s="306"/>
      <c r="Q12" t="s">
        <v>42</v>
      </c>
      <c r="R12" s="306"/>
      <c r="S12" s="306" t="s">
        <v>4518</v>
      </c>
      <c r="T12" s="306"/>
      <c r="U12" s="306"/>
      <c r="V12" s="306"/>
      <c r="W12" t="s">
        <v>42</v>
      </c>
      <c r="X12" s="306"/>
      <c r="Y12" s="306" t="s">
        <v>4519</v>
      </c>
      <c r="Z12" s="306"/>
      <c r="AA12" s="309"/>
      <c r="AB12" s="306"/>
      <c r="AC12" t="s">
        <v>42</v>
      </c>
      <c r="AD12" s="306"/>
      <c r="AE12" s="306" t="s">
        <v>4520</v>
      </c>
      <c r="AF12" s="306"/>
      <c r="AG12" s="306"/>
      <c r="AH12" s="306"/>
      <c r="AI12" t="s">
        <v>42</v>
      </c>
      <c r="AZ12" s="322" t="s">
        <v>797</v>
      </c>
      <c r="BA12" s="7" t="str">
        <f>IFERROR(IF(VLOOKUP(#REF!,CallTb[[#All],[iWatch '#]:[QNumber]],6,FALSE)=0,"",VLOOKUP(#REF!,CallTb[[#All],[iWatch '#]:[QNumber]],6,FALSE)),"")</f>
        <v/>
      </c>
      <c r="BB12" s="7" t="str">
        <f>IFERROR(IF(VLOOKUP(#REF!,CallTb[[#All],[iWatch '#]:[QNumber]],7,FALSE)=0,"",VLOOKUP(#REF!,CallTb[[#All],[iWatch '#]:[QNumber]],7,FALSE)),"")</f>
        <v/>
      </c>
      <c r="BD12" t="b">
        <f t="shared" si="0"/>
        <v>0</v>
      </c>
      <c r="BE12" t="b">
        <f t="shared" si="1"/>
        <v>0</v>
      </c>
      <c r="BF12" t="b">
        <f t="shared" si="2"/>
        <v>0</v>
      </c>
    </row>
    <row r="13" spans="2:58" ht="14.9" customHeight="1">
      <c r="B13" s="582"/>
      <c r="C13" s="583"/>
      <c r="D13" s="588" t="str">
        <f t="shared" ca="1" si="3"/>
        <v>Se exhiban en los puntos de venta</v>
      </c>
      <c r="E13" s="588"/>
      <c r="F13" s="324"/>
      <c r="G13" s="324" t="str">
        <f>"       "&amp;VLOOKUP($I$1,$AK$4:$AO$8,4,FALSE)</f>
        <v xml:space="preserve">       Si</v>
      </c>
      <c r="H13" s="323" t="str">
        <f>"       "&amp;VLOOKUP($I$1,$AK$4:$AO$8,5,FALSE)</f>
        <v xml:space="preserve">       No</v>
      </c>
      <c r="L13" s="306"/>
      <c r="M13" s="306" t="s">
        <v>4521</v>
      </c>
      <c r="N13" s="306"/>
      <c r="O13" s="306"/>
      <c r="P13" s="306"/>
      <c r="Q13" t="s">
        <v>42</v>
      </c>
      <c r="R13" s="306"/>
      <c r="S13" s="306" t="s">
        <v>4522</v>
      </c>
      <c r="T13" s="306"/>
      <c r="U13" s="306"/>
      <c r="V13" s="306"/>
      <c r="W13" t="s">
        <v>42</v>
      </c>
      <c r="X13" s="306"/>
      <c r="Y13" s="306" t="s">
        <v>4523</v>
      </c>
      <c r="Z13" s="306"/>
      <c r="AA13" s="309"/>
      <c r="AB13" s="306"/>
      <c r="AC13" t="s">
        <v>42</v>
      </c>
      <c r="AD13" s="306"/>
      <c r="AE13" s="306" t="s">
        <v>4524</v>
      </c>
      <c r="AF13" s="306"/>
      <c r="AG13" s="306"/>
      <c r="AH13" s="306"/>
      <c r="AI13" t="s">
        <v>42</v>
      </c>
      <c r="BA13" s="7" t="str">
        <f ca="1">IFERROR(IF(VLOOKUP(AZ11,CallTb[[#All],[iWatch '#]:[QNumber]],6,FALSE)=0,"",VLOOKUP(AZ11,CallTb[[#All],[iWatch '#]:[QNumber]],6,FALSE)),"")</f>
        <v/>
      </c>
      <c r="BB13" s="7" t="str">
        <f ca="1">IFERROR(IF(VLOOKUP(AZ11,CallTb[[#All],[iWatch '#]:[QNumber]],7,FALSE)=0,"",VLOOKUP(AZ11,CallTb[[#All],[iWatch '#]:[QNumber]],7,FALSE)),"")</f>
        <v/>
      </c>
      <c r="BD13" t="b">
        <f t="shared" ca="1" si="0"/>
        <v>0</v>
      </c>
      <c r="BE13" t="b">
        <f t="shared" ca="1" si="1"/>
        <v>0</v>
      </c>
      <c r="BF13" t="b">
        <f t="shared" ca="1" si="2"/>
        <v>0</v>
      </c>
    </row>
    <row r="14" spans="2:58" ht="14.25" customHeight="1">
      <c r="B14" s="582">
        <v>3</v>
      </c>
      <c r="C14" s="583" t="str">
        <f ca="1">OFFSET(L14,0,VLOOKUP($I$1,$AK$4:$AL$8,2,FALSE))</f>
        <v>OFICIAL DE CUMPLIMIENTO / DELEGADO</v>
      </c>
      <c r="D14" s="574" t="str">
        <f t="shared" ca="1" si="3"/>
        <v>Es necesario que el Oficial de Cumplimiento / Delegado:</v>
      </c>
      <c r="E14" s="575"/>
      <c r="F14" s="334"/>
      <c r="G14" s="334"/>
      <c r="H14" s="333"/>
      <c r="L14" s="306" t="s">
        <v>4525</v>
      </c>
      <c r="M14" s="306" t="s">
        <v>4526</v>
      </c>
      <c r="N14" s="306"/>
      <c r="O14" s="306"/>
      <c r="P14" s="306"/>
      <c r="Q14" t="s">
        <v>42</v>
      </c>
      <c r="R14" s="306" t="s">
        <v>4527</v>
      </c>
      <c r="S14" s="306" t="s">
        <v>4528</v>
      </c>
      <c r="T14" s="306"/>
      <c r="U14" s="306"/>
      <c r="V14" s="306"/>
      <c r="W14" t="s">
        <v>42</v>
      </c>
      <c r="X14" s="306" t="s">
        <v>4529</v>
      </c>
      <c r="Y14" s="306" t="s">
        <v>4530</v>
      </c>
      <c r="Z14" s="306"/>
      <c r="AA14" s="309"/>
      <c r="AB14" s="306"/>
      <c r="AC14" t="s">
        <v>42</v>
      </c>
      <c r="AD14" s="306" t="s">
        <v>4531</v>
      </c>
      <c r="AE14" s="306" t="s">
        <v>4532</v>
      </c>
      <c r="AF14" s="306"/>
      <c r="AG14" s="306"/>
      <c r="AH14" s="306"/>
      <c r="AI14" t="s">
        <v>42</v>
      </c>
      <c r="AZ14" s="328"/>
      <c r="BA14" s="7" t="str">
        <f ca="1">IFERROR(IF(VLOOKUP(AZ14,CallTb[[#All],[iWatch '#]:[QNumber]],6,FALSE)=0,"",VLOOKUP(AZ14,CallTb[[#All],[iWatch '#]:[QNumber]],6,FALSE)),"")</f>
        <v/>
      </c>
      <c r="BB14" s="7" t="str">
        <f ca="1">IFERROR(IF(VLOOKUP(AZ14,CallTb[[#All],[iWatch '#]:[QNumber]],7,FALSE)=0,"",VLOOKUP(AZ14,CallTb[[#All],[iWatch '#]:[QNumber]],7,FALSE)),"")</f>
        <v/>
      </c>
      <c r="BD14" t="b">
        <f t="shared" ca="1" si="0"/>
        <v>0</v>
      </c>
      <c r="BE14" t="b">
        <f t="shared" ca="1" si="1"/>
        <v>0</v>
      </c>
      <c r="BF14" t="b">
        <f t="shared" ca="1" si="2"/>
        <v>0</v>
      </c>
    </row>
    <row r="15" spans="2:58" ht="14.9" customHeight="1">
      <c r="B15" s="582"/>
      <c r="C15" s="583"/>
      <c r="D15" s="588" t="str">
        <f t="shared" ca="1" si="3"/>
        <v>Esté designado por escrito</v>
      </c>
      <c r="E15" s="588"/>
      <c r="F15" s="332"/>
      <c r="G15" s="332" t="str">
        <f>"       "&amp;VLOOKUP($I$1,$AK$4:$AO$8,4,FALSE)</f>
        <v xml:space="preserve">       Si</v>
      </c>
      <c r="H15" s="332" t="str">
        <f>"       "&amp;VLOOKUP($I$1,$AK$4:$AO$8,5,FALSE)</f>
        <v xml:space="preserve">       No</v>
      </c>
      <c r="L15" s="306"/>
      <c r="M15" s="306" t="s">
        <v>4533</v>
      </c>
      <c r="N15" s="306"/>
      <c r="O15" s="306"/>
      <c r="P15" s="306"/>
      <c r="Q15" t="s">
        <v>42</v>
      </c>
      <c r="R15" s="306"/>
      <c r="S15" s="306" t="s">
        <v>4534</v>
      </c>
      <c r="T15" s="306"/>
      <c r="U15" s="306"/>
      <c r="V15" s="306"/>
      <c r="W15" t="s">
        <v>42</v>
      </c>
      <c r="X15" s="306"/>
      <c r="Y15" s="306" t="s">
        <v>4535</v>
      </c>
      <c r="Z15" s="306"/>
      <c r="AA15" s="309"/>
      <c r="AB15" s="306"/>
      <c r="AC15" t="s">
        <v>42</v>
      </c>
      <c r="AD15" s="306"/>
      <c r="AE15" s="306" t="s">
        <v>4536</v>
      </c>
      <c r="AF15" s="306"/>
      <c r="AG15" s="306"/>
      <c r="AH15" s="306"/>
      <c r="AI15" t="s">
        <v>42</v>
      </c>
      <c r="BA15" s="7" t="str">
        <f ca="1">IFERROR(IF(VLOOKUP(AZ12,CallTb[[#All],[iWatch '#]:[QNumber]],6,FALSE)=0,"",VLOOKUP(AZ12,CallTb[[#All],[iWatch '#]:[QNumber]],6,FALSE)),"")</f>
        <v/>
      </c>
      <c r="BB15" s="7" t="str">
        <f ca="1">IFERROR(IF(VLOOKUP(AZ12,CallTb[[#All],[iWatch '#]:[QNumber]],7,FALSE)=0,"",VLOOKUP(AZ12,CallTb[[#All],[iWatch '#]:[QNumber]],7,FALSE)),"")</f>
        <v/>
      </c>
      <c r="BD15" t="b">
        <f t="shared" ca="1" si="0"/>
        <v>0</v>
      </c>
      <c r="BE15" t="b">
        <f t="shared" ca="1" si="1"/>
        <v>0</v>
      </c>
      <c r="BF15" t="b">
        <f t="shared" ca="1" si="2"/>
        <v>0</v>
      </c>
    </row>
    <row r="16" spans="2:58" ht="14.9" customHeight="1">
      <c r="B16" s="582"/>
      <c r="C16" s="583"/>
      <c r="D16" s="588" t="str">
        <f t="shared" ca="1" si="3"/>
        <v>Esté capacitado</v>
      </c>
      <c r="E16" s="588"/>
      <c r="F16" s="332"/>
      <c r="G16" s="332" t="str">
        <f>"       "&amp;VLOOKUP($I$1,$AK$4:$AO$8,4,FALSE)</f>
        <v xml:space="preserve">       Si</v>
      </c>
      <c r="H16" s="332" t="str">
        <f>"       "&amp;VLOOKUP($I$1,$AK$4:$AO$8,5,FALSE)</f>
        <v xml:space="preserve">       No</v>
      </c>
      <c r="L16" s="306"/>
      <c r="M16" s="306" t="s">
        <v>4537</v>
      </c>
      <c r="N16" s="306"/>
      <c r="O16" s="306"/>
      <c r="P16" s="306"/>
      <c r="Q16" t="s">
        <v>42</v>
      </c>
      <c r="R16" s="306"/>
      <c r="S16" s="306" t="s">
        <v>4538</v>
      </c>
      <c r="T16" s="306"/>
      <c r="U16" s="306"/>
      <c r="V16" s="306"/>
      <c r="W16" t="s">
        <v>42</v>
      </c>
      <c r="X16" s="306"/>
      <c r="Y16" s="306" t="s">
        <v>4539</v>
      </c>
      <c r="Z16" s="306"/>
      <c r="AA16" s="309"/>
      <c r="AB16" s="306"/>
      <c r="AC16" t="s">
        <v>42</v>
      </c>
      <c r="AD16" s="306"/>
      <c r="AE16" s="306" t="s">
        <v>4540</v>
      </c>
      <c r="AF16" s="306"/>
      <c r="AG16" s="306"/>
      <c r="AH16" s="306"/>
      <c r="AI16" t="s">
        <v>42</v>
      </c>
      <c r="AZ16" s="322" t="s">
        <v>815</v>
      </c>
      <c r="BA16" s="7" t="str">
        <f ca="1">IFERROR(IF(VLOOKUP(AZ16,CallTb[[#All],[iWatch '#]:[QNumber]],6,FALSE)=0,"",VLOOKUP(AZ16,CallTb[[#All],[iWatch '#]:[QNumber]],6,FALSE)),"")</f>
        <v/>
      </c>
      <c r="BB16" s="7" t="str">
        <f ca="1">IFERROR(IF(VLOOKUP(AZ16,CallTb[[#All],[iWatch '#]:[QNumber]],7,FALSE)=0,"",VLOOKUP(AZ16,CallTb[[#All],[iWatch '#]:[QNumber]],7,FALSE)),"")</f>
        <v/>
      </c>
      <c r="BD16" t="b">
        <f t="shared" ca="1" si="0"/>
        <v>0</v>
      </c>
      <c r="BE16" t="b">
        <f t="shared" ca="1" si="1"/>
        <v>0</v>
      </c>
      <c r="BF16" t="b">
        <f t="shared" ca="1" si="2"/>
        <v>0</v>
      </c>
    </row>
    <row r="17" spans="2:58" ht="15" customHeight="1">
      <c r="B17" s="582">
        <v>4</v>
      </c>
      <c r="C17" s="583" t="str">
        <f ca="1">OFFSET(L17,0,VLOOKUP($I$1,$AK$4:$AL$8,2,FALSE))</f>
        <v>POLÍTICAS Y PROCEDIMIENTOS</v>
      </c>
      <c r="D17" s="574" t="str">
        <f t="shared" ca="1" si="3"/>
        <v>Es necesario que las Políticas y los Procedimientos:</v>
      </c>
      <c r="E17" s="575"/>
      <c r="F17" s="330"/>
      <c r="G17" s="330"/>
      <c r="H17" s="329"/>
      <c r="L17" s="306" t="s">
        <v>4541</v>
      </c>
      <c r="M17" s="306" t="s">
        <v>4542</v>
      </c>
      <c r="N17" s="306"/>
      <c r="O17" s="306"/>
      <c r="P17" s="306"/>
      <c r="Q17" t="s">
        <v>42</v>
      </c>
      <c r="R17" s="306" t="s">
        <v>4543</v>
      </c>
      <c r="S17" s="306" t="s">
        <v>4544</v>
      </c>
      <c r="T17" s="306"/>
      <c r="U17" s="306"/>
      <c r="V17" s="306"/>
      <c r="W17" t="s">
        <v>42</v>
      </c>
      <c r="X17" s="306" t="s">
        <v>4545</v>
      </c>
      <c r="Y17" s="306" t="s">
        <v>4546</v>
      </c>
      <c r="Z17" s="306"/>
      <c r="AA17" s="309"/>
      <c r="AB17" s="306"/>
      <c r="AC17" t="s">
        <v>42</v>
      </c>
      <c r="AD17" s="325" t="s">
        <v>4547</v>
      </c>
      <c r="AE17" s="306" t="s">
        <v>4548</v>
      </c>
      <c r="AF17" s="306"/>
      <c r="AG17" s="306"/>
      <c r="AH17" s="306"/>
      <c r="AI17" t="s">
        <v>42</v>
      </c>
      <c r="AZ17" s="328"/>
      <c r="BA17" s="7" t="str">
        <f ca="1">IFERROR(IF(VLOOKUP(AZ17,CallTb[[#All],[iWatch '#]:[QNumber]],6,FALSE)=0,"",VLOOKUP(AZ17,CallTb[[#All],[iWatch '#]:[QNumber]],6,FALSE)),"")</f>
        <v/>
      </c>
      <c r="BB17" s="7" t="str">
        <f ca="1">IFERROR(IF(VLOOKUP(AZ17,CallTb[[#All],[iWatch '#]:[QNumber]],7,FALSE)=0,"",VLOOKUP(AZ17,CallTb[[#All],[iWatch '#]:[QNumber]],7,FALSE)),"")</f>
        <v/>
      </c>
      <c r="BD17" t="b">
        <f t="shared" ca="1" si="0"/>
        <v>0</v>
      </c>
      <c r="BE17" t="b">
        <f t="shared" ca="1" si="1"/>
        <v>0</v>
      </c>
      <c r="BF17" t="b">
        <f t="shared" ca="1" si="2"/>
        <v>0</v>
      </c>
    </row>
    <row r="18" spans="2:58">
      <c r="B18" s="582"/>
      <c r="C18" s="583"/>
      <c r="D18" s="588" t="str">
        <f t="shared" ca="1" si="3"/>
        <v>Se lean/revisen y se aprueben anualmente</v>
      </c>
      <c r="E18" s="588"/>
      <c r="F18" s="324"/>
      <c r="G18" s="324" t="str">
        <f t="shared" ref="G18:G26" si="4">"       "&amp;VLOOKUP($I$1,$AK$4:$AO$8,4,FALSE)</f>
        <v xml:space="preserve">       Si</v>
      </c>
      <c r="H18" s="323" t="str">
        <f t="shared" ref="H18:H26" si="5">"       "&amp;VLOOKUP($I$1,$AK$4:$AO$8,5,FALSE)</f>
        <v xml:space="preserve">       No</v>
      </c>
      <c r="L18" s="306"/>
      <c r="M18" s="306" t="s">
        <v>4549</v>
      </c>
      <c r="N18" s="306"/>
      <c r="O18" s="306"/>
      <c r="P18" s="306"/>
      <c r="Q18" t="s">
        <v>42</v>
      </c>
      <c r="R18" s="306"/>
      <c r="S18" s="306" t="s">
        <v>4550</v>
      </c>
      <c r="T18" s="306"/>
      <c r="U18" s="306"/>
      <c r="V18" s="306"/>
      <c r="W18" t="s">
        <v>42</v>
      </c>
      <c r="X18" s="306"/>
      <c r="Y18" s="306" t="s">
        <v>4551</v>
      </c>
      <c r="Z18" s="306"/>
      <c r="AA18" s="309"/>
      <c r="AB18" s="306"/>
      <c r="AC18" t="s">
        <v>42</v>
      </c>
      <c r="AD18" s="306"/>
      <c r="AE18" s="306" t="s">
        <v>4552</v>
      </c>
      <c r="AF18" s="306"/>
      <c r="AG18" s="306"/>
      <c r="AH18" s="306"/>
      <c r="AI18" t="s">
        <v>42</v>
      </c>
      <c r="AZ18" s="322" t="s">
        <v>2069</v>
      </c>
      <c r="BA18" s="7" t="str">
        <f ca="1">IFERROR(IF(VLOOKUP(AZ18,CallTb[[#All],[iWatch '#]:[QNumber]],6,FALSE)=0,"",VLOOKUP(AZ18,CallTb[[#All],[iWatch '#]:[QNumber]],6,FALSE)),"")</f>
        <v/>
      </c>
      <c r="BB18" s="7" t="str">
        <f ca="1">IFERROR(IF(VLOOKUP(AZ18,CallTb[[#All],[iWatch '#]:[QNumber]],7,FALSE)=0,"",VLOOKUP(AZ18,CallTb[[#All],[iWatch '#]:[QNumber]],7,FALSE)),"")</f>
        <v/>
      </c>
      <c r="BD18" t="b">
        <f t="shared" ca="1" si="0"/>
        <v>0</v>
      </c>
      <c r="BE18" t="b">
        <f t="shared" ca="1" si="1"/>
        <v>0</v>
      </c>
      <c r="BF18" t="b">
        <f t="shared" ca="1" si="2"/>
        <v>0</v>
      </c>
    </row>
    <row r="19" spans="2:58">
      <c r="B19" s="582"/>
      <c r="C19" s="583"/>
      <c r="D19" s="588" t="str">
        <f t="shared" ca="1" si="3"/>
        <v>Estén disponibles y se conserven en cada localidad</v>
      </c>
      <c r="E19" s="588"/>
      <c r="F19" s="324"/>
      <c r="G19" s="324" t="str">
        <f t="shared" si="4"/>
        <v xml:space="preserve">       Si</v>
      </c>
      <c r="H19" s="323" t="str">
        <f t="shared" si="5"/>
        <v xml:space="preserve">       No</v>
      </c>
      <c r="L19" s="306"/>
      <c r="M19" s="306" t="s">
        <v>4553</v>
      </c>
      <c r="N19" s="306"/>
      <c r="O19" s="306"/>
      <c r="P19" s="306"/>
      <c r="Q19" t="s">
        <v>42</v>
      </c>
      <c r="R19" s="306"/>
      <c r="S19" s="306" t="s">
        <v>4554</v>
      </c>
      <c r="T19" s="306"/>
      <c r="U19" s="306"/>
      <c r="V19" s="306"/>
      <c r="W19" t="s">
        <v>42</v>
      </c>
      <c r="X19" s="306"/>
      <c r="Y19" s="306" t="s">
        <v>4555</v>
      </c>
      <c r="Z19" s="306"/>
      <c r="AA19" s="309"/>
      <c r="AB19" s="306"/>
      <c r="AC19" t="s">
        <v>42</v>
      </c>
      <c r="AD19" s="306"/>
      <c r="AE19" s="306" t="s">
        <v>4556</v>
      </c>
      <c r="AF19" s="306"/>
      <c r="AG19" s="306"/>
      <c r="AH19" s="306"/>
      <c r="AI19" t="s">
        <v>42</v>
      </c>
      <c r="AZ19" s="322" t="s">
        <v>723</v>
      </c>
      <c r="BA19" s="7" t="str">
        <f ca="1">IFERROR(IF(VLOOKUP(AZ19,CallTb[[#All],[iWatch '#]:[QNumber]],6,FALSE)=0,"",VLOOKUP(AZ19,CallTb[[#All],[iWatch '#]:[QNumber]],6,FALSE)),"")</f>
        <v/>
      </c>
      <c r="BB19" s="7" t="str">
        <f ca="1">IFERROR(IF(VLOOKUP(AZ19,CallTb[[#All],[iWatch '#]:[QNumber]],7,FALSE)=0,"",VLOOKUP(AZ19,CallTb[[#All],[iWatch '#]:[QNumber]],7,FALSE)),"")</f>
        <v/>
      </c>
      <c r="BD19" t="b">
        <f t="shared" ca="1" si="0"/>
        <v>0</v>
      </c>
      <c r="BE19" t="b">
        <f t="shared" ca="1" si="1"/>
        <v>0</v>
      </c>
      <c r="BF19" t="b">
        <f t="shared" ca="1" si="2"/>
        <v>0</v>
      </c>
    </row>
    <row r="20" spans="2:58">
      <c r="B20" s="582"/>
      <c r="C20" s="583"/>
      <c r="D20" s="588" t="str">
        <f t="shared" ca="1" si="3"/>
        <v>Se creen/actualicen para cumplir con los requisitos clave de cumplimiento</v>
      </c>
      <c r="E20" s="588"/>
      <c r="F20" s="324"/>
      <c r="G20" s="324" t="str">
        <f t="shared" si="4"/>
        <v xml:space="preserve">       Si</v>
      </c>
      <c r="H20" s="323" t="str">
        <f t="shared" si="5"/>
        <v xml:space="preserve">       No</v>
      </c>
      <c r="L20" s="306"/>
      <c r="M20" s="306" t="s">
        <v>4557</v>
      </c>
      <c r="N20" s="306"/>
      <c r="O20" s="306"/>
      <c r="P20" s="306"/>
      <c r="Q20" t="s">
        <v>42</v>
      </c>
      <c r="R20" s="306"/>
      <c r="S20" s="306" t="s">
        <v>4558</v>
      </c>
      <c r="T20" s="306"/>
      <c r="U20" s="306"/>
      <c r="V20" s="306"/>
      <c r="W20" t="s">
        <v>42</v>
      </c>
      <c r="X20" s="306"/>
      <c r="Y20" s="306" t="s">
        <v>4559</v>
      </c>
      <c r="Z20" s="306"/>
      <c r="AA20" s="309"/>
      <c r="AB20" s="306"/>
      <c r="AC20" t="s">
        <v>42</v>
      </c>
      <c r="AD20" s="306"/>
      <c r="AE20" s="306" t="s">
        <v>4560</v>
      </c>
      <c r="AF20" s="306"/>
      <c r="AG20" s="306"/>
      <c r="AH20" s="306"/>
      <c r="AI20" t="s">
        <v>42</v>
      </c>
      <c r="AZ20" s="322" t="s">
        <v>881</v>
      </c>
      <c r="BA20" s="7" t="str">
        <f ca="1">IFERROR(IF(VLOOKUP(AZ20,CallTb[[#All],[iWatch '#]:[QNumber]],6,FALSE)=0,"",VLOOKUP(AZ20,CallTb[[#All],[iWatch '#]:[QNumber]],6,FALSE)),"")</f>
        <v/>
      </c>
      <c r="BB20" s="7" t="str">
        <f ca="1">IFERROR(IF(VLOOKUP(AZ20,CallTb[[#All],[iWatch '#]:[QNumber]],7,FALSE)=0,"",VLOOKUP(AZ20,CallTb[[#All],[iWatch '#]:[QNumber]],7,FALSE)),"")</f>
        <v/>
      </c>
      <c r="BD20" t="b">
        <f t="shared" ca="1" si="0"/>
        <v>0</v>
      </c>
      <c r="BE20" t="b">
        <f t="shared" ca="1" si="1"/>
        <v>0</v>
      </c>
      <c r="BF20" t="b">
        <f t="shared" ca="1" si="2"/>
        <v>0</v>
      </c>
    </row>
    <row r="21" spans="2:58" ht="15.75" customHeight="1">
      <c r="B21" s="582">
        <v>5</v>
      </c>
      <c r="C21" s="583" t="str">
        <f ca="1">OFFSET(L21,0,VLOOKUP($I$1,$AK$4:$AL$8,2,FALSE))</f>
        <v>CAPACITACIÓN
PLD/ANTIFRAUDE
(INCLUYENDO LA ENTREVISTA DEL FLA)</v>
      </c>
      <c r="D21" s="573" t="str">
        <f t="shared" ca="1" si="3"/>
        <v>(n.°) _____ empleados deben recibir capacitación inicial</v>
      </c>
      <c r="E21" s="573"/>
      <c r="F21" s="324"/>
      <c r="G21" s="324" t="str">
        <f t="shared" si="4"/>
        <v xml:space="preserve">       Si</v>
      </c>
      <c r="H21" s="323" t="str">
        <f t="shared" si="5"/>
        <v xml:space="preserve">       No</v>
      </c>
      <c r="L21" s="306" t="s">
        <v>4561</v>
      </c>
      <c r="M21" s="306" t="s">
        <v>4562</v>
      </c>
      <c r="N21" s="306"/>
      <c r="O21" s="306"/>
      <c r="P21" s="306"/>
      <c r="Q21" t="s">
        <v>42</v>
      </c>
      <c r="R21" s="316" t="s">
        <v>4563</v>
      </c>
      <c r="S21" s="306" t="s">
        <v>4564</v>
      </c>
      <c r="T21" s="306"/>
      <c r="U21" s="306"/>
      <c r="V21" s="306"/>
      <c r="W21" t="s">
        <v>42</v>
      </c>
      <c r="X21" s="306" t="s">
        <v>4565</v>
      </c>
      <c r="Y21" s="306" t="s">
        <v>4566</v>
      </c>
      <c r="Z21" s="306"/>
      <c r="AA21" s="309"/>
      <c r="AB21" s="306"/>
      <c r="AC21" t="s">
        <v>42</v>
      </c>
      <c r="AD21" s="325" t="s">
        <v>4567</v>
      </c>
      <c r="AE21" s="306" t="s">
        <v>4568</v>
      </c>
      <c r="AF21" s="306"/>
      <c r="AG21" s="306"/>
      <c r="AH21" s="306"/>
      <c r="AI21" t="s">
        <v>42</v>
      </c>
      <c r="AZ21" s="322"/>
      <c r="BA21" s="7" t="str">
        <f ca="1">IFERROR(IF(VLOOKUP(AZ21,CallTb[[#All],[iWatch '#]:[QNumber]],6,FALSE)=0,"",VLOOKUP(AZ21,CallTb[[#All],[iWatch '#]:[QNumber]],6,FALSE)),"")</f>
        <v/>
      </c>
      <c r="BB21" s="7" t="str">
        <f ca="1">IFERROR(IF(VLOOKUP(AZ21,CallTb[[#All],[iWatch '#]:[QNumber]],7,FALSE)=0,"",VLOOKUP(AZ21,CallTb[[#All],[iWatch '#]:[QNumber]],7,FALSE)),"")</f>
        <v/>
      </c>
      <c r="BD21" t="b">
        <f t="shared" ca="1" si="0"/>
        <v>0</v>
      </c>
      <c r="BE21" t="b">
        <f t="shared" ca="1" si="1"/>
        <v>0</v>
      </c>
      <c r="BF21" t="b">
        <f t="shared" ca="1" si="2"/>
        <v>0</v>
      </c>
    </row>
    <row r="22" spans="2:58" ht="15.75" customHeight="1">
      <c r="B22" s="582"/>
      <c r="C22" s="583"/>
      <c r="D22" s="573" t="str">
        <f t="shared" ca="1" si="3"/>
        <v>(n.°) _____ empleados deben recibir capacitación continua</v>
      </c>
      <c r="E22" s="573"/>
      <c r="F22" s="324"/>
      <c r="G22" s="324" t="str">
        <f t="shared" si="4"/>
        <v xml:space="preserve">       Si</v>
      </c>
      <c r="H22" s="323" t="str">
        <f t="shared" si="5"/>
        <v xml:space="preserve">       No</v>
      </c>
      <c r="L22" s="306"/>
      <c r="M22" s="306" t="s">
        <v>4569</v>
      </c>
      <c r="N22" s="306"/>
      <c r="O22" s="306"/>
      <c r="P22" s="306"/>
      <c r="Q22" t="s">
        <v>42</v>
      </c>
      <c r="R22" s="306"/>
      <c r="S22" s="306" t="s">
        <v>4570</v>
      </c>
      <c r="T22" s="306"/>
      <c r="U22" s="306"/>
      <c r="V22" s="306"/>
      <c r="W22" t="s">
        <v>42</v>
      </c>
      <c r="X22" s="306"/>
      <c r="Y22" s="306" t="s">
        <v>4571</v>
      </c>
      <c r="Z22" s="306"/>
      <c r="AA22" s="309"/>
      <c r="AB22" s="306"/>
      <c r="AC22" t="s">
        <v>42</v>
      </c>
      <c r="AD22" s="306"/>
      <c r="AE22" s="306" t="s">
        <v>4572</v>
      </c>
      <c r="AF22" s="306"/>
      <c r="AG22" s="306"/>
      <c r="AH22" s="306"/>
      <c r="AI22" t="s">
        <v>42</v>
      </c>
      <c r="AZ22" s="322"/>
      <c r="BA22" s="7" t="str">
        <f ca="1">IFERROR(IF(VLOOKUP(AZ22,CallTb[[#All],[iWatch '#]:[QNumber]],6,FALSE)=0,"",VLOOKUP(AZ22,CallTb[[#All],[iWatch '#]:[QNumber]],6,FALSE)),"")</f>
        <v/>
      </c>
      <c r="BB22" s="7" t="str">
        <f ca="1">IFERROR(IF(VLOOKUP(AZ22,CallTb[[#All],[iWatch '#]:[QNumber]],7,FALSE)=0,"",VLOOKUP(AZ22,CallTb[[#All],[iWatch '#]:[QNumber]],7,FALSE)),"")</f>
        <v/>
      </c>
      <c r="BD22" t="b">
        <f t="shared" ca="1" si="0"/>
        <v>0</v>
      </c>
      <c r="BE22" t="b">
        <f t="shared" ca="1" si="1"/>
        <v>0</v>
      </c>
      <c r="BF22" t="b">
        <f t="shared" ca="1" si="2"/>
        <v>0</v>
      </c>
    </row>
    <row r="23" spans="2:58" ht="15.75" customHeight="1">
      <c r="B23" s="582"/>
      <c r="C23" s="583"/>
      <c r="D23" s="573" t="str">
        <f t="shared" ca="1" si="3"/>
        <v>Se requieren registros de capacitación inicial</v>
      </c>
      <c r="E23" s="573"/>
      <c r="F23" s="324"/>
      <c r="G23" s="324" t="str">
        <f t="shared" si="4"/>
        <v xml:space="preserve">       Si</v>
      </c>
      <c r="H23" s="323" t="str">
        <f t="shared" si="5"/>
        <v xml:space="preserve">       No</v>
      </c>
      <c r="L23" s="306"/>
      <c r="M23" s="306" t="s">
        <v>4573</v>
      </c>
      <c r="N23" s="306"/>
      <c r="O23" s="306"/>
      <c r="P23" s="306"/>
      <c r="Q23" t="s">
        <v>42</v>
      </c>
      <c r="R23" s="306"/>
      <c r="S23" s="306" t="s">
        <v>4574</v>
      </c>
      <c r="T23" s="306"/>
      <c r="U23" s="306"/>
      <c r="V23" s="306"/>
      <c r="W23" t="s">
        <v>42</v>
      </c>
      <c r="X23" s="306"/>
      <c r="Y23" s="306" t="s">
        <v>4575</v>
      </c>
      <c r="Z23" s="306"/>
      <c r="AA23" s="309"/>
      <c r="AB23" s="306"/>
      <c r="AC23" t="s">
        <v>42</v>
      </c>
      <c r="AD23" s="306"/>
      <c r="AE23" s="306" t="s">
        <v>4576</v>
      </c>
      <c r="AF23" s="306"/>
      <c r="AG23" s="306"/>
      <c r="AH23" s="306"/>
      <c r="AI23" t="s">
        <v>42</v>
      </c>
      <c r="AZ23" s="322" t="s">
        <v>4577</v>
      </c>
      <c r="BA23" s="7" t="str">
        <f ca="1">IFERROR(IF(VLOOKUP(AZ23,CallTb[[#All],[iWatch '#]:[QNumber]],6,FALSE)=0,"",VLOOKUP(AZ23,CallTb[[#All],[iWatch '#]:[QNumber]],6,FALSE)),"")</f>
        <v/>
      </c>
      <c r="BB23" s="7" t="str">
        <f ca="1">IFERROR(IF(VLOOKUP(AZ23,CallTb[[#All],[iWatch '#]:[QNumber]],7,FALSE)=0,"",VLOOKUP(AZ23,CallTb[[#All],[iWatch '#]:[QNumber]],7,FALSE)),"")</f>
        <v/>
      </c>
      <c r="BD23" t="b">
        <f t="shared" ca="1" si="0"/>
        <v>0</v>
      </c>
      <c r="BE23" t="b">
        <f t="shared" ca="1" si="1"/>
        <v>0</v>
      </c>
      <c r="BF23" t="b">
        <f t="shared" ca="1" si="2"/>
        <v>0</v>
      </c>
    </row>
    <row r="24" spans="2:58" ht="15.75" customHeight="1">
      <c r="B24" s="582"/>
      <c r="C24" s="583"/>
      <c r="D24" s="573" t="str">
        <f t="shared" ca="1" si="3"/>
        <v>Se requieren registros de capacitación continua</v>
      </c>
      <c r="E24" s="573"/>
      <c r="F24" s="324"/>
      <c r="G24" s="324" t="str">
        <f t="shared" si="4"/>
        <v xml:space="preserve">       Si</v>
      </c>
      <c r="H24" s="323" t="str">
        <f t="shared" si="5"/>
        <v xml:space="preserve">       No</v>
      </c>
      <c r="L24" s="306"/>
      <c r="M24" s="306" t="s">
        <v>4578</v>
      </c>
      <c r="N24" s="306"/>
      <c r="O24" s="306"/>
      <c r="P24" s="306"/>
      <c r="Q24" t="s">
        <v>42</v>
      </c>
      <c r="R24" s="306"/>
      <c r="S24" s="306" t="s">
        <v>4579</v>
      </c>
      <c r="T24" s="306"/>
      <c r="U24" s="306"/>
      <c r="V24" s="306"/>
      <c r="W24" t="s">
        <v>42</v>
      </c>
      <c r="X24" s="306"/>
      <c r="Y24" s="306" t="s">
        <v>4580</v>
      </c>
      <c r="Z24" s="306"/>
      <c r="AA24" s="309"/>
      <c r="AB24" s="306"/>
      <c r="AC24" t="s">
        <v>42</v>
      </c>
      <c r="AD24" s="306"/>
      <c r="AE24" s="306" t="s">
        <v>4581</v>
      </c>
      <c r="AF24" s="306"/>
      <c r="AG24" s="306"/>
      <c r="AH24" s="306"/>
      <c r="AI24" t="s">
        <v>42</v>
      </c>
      <c r="AZ24" s="322" t="s">
        <v>4582</v>
      </c>
      <c r="BA24" s="7" t="str">
        <f ca="1">IFERROR(IF(VLOOKUP(AZ24,CallTb[[#All],[iWatch '#]:[QNumber]],6,FALSE)=0,"",VLOOKUP(AZ24,CallTb[[#All],[iWatch '#]:[QNumber]],6,FALSE)),"")</f>
        <v/>
      </c>
      <c r="BB24" s="7" t="str">
        <f ca="1">IFERROR(IF(VLOOKUP(AZ24,CallTb[[#All],[iWatch '#]:[QNumber]],7,FALSE)=0,"",VLOOKUP(AZ24,CallTb[[#All],[iWatch '#]:[QNumber]],7,FALSE)),"")</f>
        <v/>
      </c>
      <c r="BD24" t="b">
        <f t="shared" ca="1" si="0"/>
        <v>0</v>
      </c>
      <c r="BE24" t="b">
        <f t="shared" ca="1" si="1"/>
        <v>0</v>
      </c>
      <c r="BF24" t="b">
        <f t="shared" ca="1" si="2"/>
        <v>0</v>
      </c>
    </row>
    <row r="25" spans="2:58" ht="28.5" customHeight="1">
      <c r="B25" s="582">
        <v>6</v>
      </c>
      <c r="C25" s="583" t="str">
        <f ca="1">OFFSET(L25,0,VLOOKUP($I$1,$AK$4:$AL$8,2,FALSE))</f>
        <v>REPORTES</v>
      </c>
      <c r="D25" s="573" t="str">
        <f t="shared" ca="1" si="3"/>
        <v>El proceso se implementó para que todos los empleados, incluidos los FLA, personal de cumplimiento y gerencia, informen actividades inusuales</v>
      </c>
      <c r="E25" s="573"/>
      <c r="F25" s="324"/>
      <c r="G25" s="332" t="str">
        <f t="shared" si="4"/>
        <v xml:space="preserve">       Si</v>
      </c>
      <c r="H25" s="331" t="str">
        <f t="shared" si="5"/>
        <v xml:space="preserve">       No</v>
      </c>
      <c r="L25" s="306" t="s">
        <v>1872</v>
      </c>
      <c r="M25" s="306" t="s">
        <v>4583</v>
      </c>
      <c r="N25" s="306"/>
      <c r="O25" s="306"/>
      <c r="P25" s="306"/>
      <c r="Q25" t="s">
        <v>42</v>
      </c>
      <c r="R25" s="306" t="s">
        <v>4584</v>
      </c>
      <c r="S25" s="307" t="s">
        <v>4585</v>
      </c>
      <c r="T25" s="306"/>
      <c r="U25" s="306"/>
      <c r="V25" s="306"/>
      <c r="W25" t="s">
        <v>42</v>
      </c>
      <c r="X25" s="306" t="s">
        <v>4586</v>
      </c>
      <c r="Y25" s="306" t="s">
        <v>4587</v>
      </c>
      <c r="Z25" s="306"/>
      <c r="AA25" s="309"/>
      <c r="AB25" s="306"/>
      <c r="AC25" t="s">
        <v>42</v>
      </c>
      <c r="AD25" s="306" t="s">
        <v>4584</v>
      </c>
      <c r="AE25" s="306" t="s">
        <v>4588</v>
      </c>
      <c r="AF25" s="306"/>
      <c r="AG25" s="306"/>
      <c r="AH25" s="306"/>
      <c r="AI25" t="s">
        <v>42</v>
      </c>
      <c r="AZ25" s="322" t="s">
        <v>932</v>
      </c>
      <c r="BA25" s="7" t="str">
        <f ca="1">IFERROR(IF(VLOOKUP(AZ25,CallTb[[#All],[iWatch '#]:[QNumber]],6,FALSE)=0,"",VLOOKUP(AZ25,CallTb[[#All],[iWatch '#]:[QNumber]],6,FALSE)),"")</f>
        <v/>
      </c>
      <c r="BB25" s="7" t="str">
        <f ca="1">IFERROR(IF(VLOOKUP(AZ25,CallTb[[#All],[iWatch '#]:[QNumber]],7,FALSE)=0,"",VLOOKUP(AZ25,CallTb[[#All],[iWatch '#]:[QNumber]],7,FALSE)),"")</f>
        <v/>
      </c>
      <c r="BD25" t="b">
        <f t="shared" ca="1" si="0"/>
        <v>0</v>
      </c>
      <c r="BE25" t="b">
        <f t="shared" ca="1" si="1"/>
        <v>0</v>
      </c>
      <c r="BF25" t="b">
        <f t="shared" ca="1" si="2"/>
        <v>0</v>
      </c>
    </row>
    <row r="26" spans="2:58" ht="28.5" customHeight="1">
      <c r="B26" s="582"/>
      <c r="C26" s="583"/>
      <c r="D26" s="573" t="str">
        <f t="shared" ca="1" si="3"/>
        <v>Según se requiera, se deben completar y presentar todos los reportes necesarios a nivel local (incluidas las referencias de transacciones sospechosas o inusuales a Western Union)</v>
      </c>
      <c r="E26" s="573"/>
      <c r="F26" s="324"/>
      <c r="G26" s="332" t="str">
        <f t="shared" si="4"/>
        <v xml:space="preserve">       Si</v>
      </c>
      <c r="H26" s="331" t="str">
        <f t="shared" si="5"/>
        <v xml:space="preserve">       No</v>
      </c>
      <c r="L26" s="306"/>
      <c r="M26" s="306" t="s">
        <v>4589</v>
      </c>
      <c r="N26" s="306"/>
      <c r="O26" s="306"/>
      <c r="P26" s="306"/>
      <c r="Q26" t="s">
        <v>42</v>
      </c>
      <c r="R26" s="306"/>
      <c r="S26" s="307" t="s">
        <v>4590</v>
      </c>
      <c r="T26" s="306"/>
      <c r="U26" s="306"/>
      <c r="V26" s="306"/>
      <c r="W26" t="s">
        <v>42</v>
      </c>
      <c r="X26" s="306"/>
      <c r="Y26" s="306" t="s">
        <v>4591</v>
      </c>
      <c r="Z26" s="306"/>
      <c r="AA26" s="309"/>
      <c r="AB26" s="306"/>
      <c r="AC26" t="s">
        <v>42</v>
      </c>
      <c r="AD26" s="306"/>
      <c r="AE26" s="306" t="s">
        <v>4592</v>
      </c>
      <c r="AF26" s="306"/>
      <c r="AG26" s="306"/>
      <c r="AH26" s="306"/>
      <c r="AI26" t="s">
        <v>42</v>
      </c>
      <c r="AZ26" s="322" t="s">
        <v>941</v>
      </c>
      <c r="BA26" s="7" t="str">
        <f ca="1">IFERROR(IF(VLOOKUP(AZ26,CallTb[[#All],[iWatch '#]:[QNumber]],6,FALSE)=0,"",VLOOKUP(AZ26,CallTb[[#All],[iWatch '#]:[QNumber]],6,FALSE)),"")</f>
        <v/>
      </c>
      <c r="BB26" s="7" t="str">
        <f ca="1">IFERROR(IF(VLOOKUP(AZ26,CallTb[[#All],[iWatch '#]:[QNumber]],7,FALSE)=0,"",VLOOKUP(AZ26,CallTb[[#All],[iWatch '#]:[QNumber]],7,FALSE)),"")</f>
        <v/>
      </c>
      <c r="BD26" t="b">
        <f t="shared" ca="1" si="0"/>
        <v>0</v>
      </c>
      <c r="BE26" t="b">
        <f t="shared" ca="1" si="1"/>
        <v>0</v>
      </c>
      <c r="BF26" t="b">
        <f t="shared" ca="1" si="2"/>
        <v>0</v>
      </c>
    </row>
    <row r="27" spans="2:58" ht="14.25" customHeight="1">
      <c r="B27" s="582">
        <v>7</v>
      </c>
      <c r="C27" s="583" t="str">
        <f ca="1">OFFSET(L27,0,VLOOKUP($I$1,$AK$4:$AL$8,2,FALSE))</f>
        <v>MONITOREO DE TRANSACCIONES</v>
      </c>
      <c r="D27" s="574" t="str">
        <f t="shared" ca="1" si="3"/>
        <v>Es necesario que el monitoreo:</v>
      </c>
      <c r="E27" s="575"/>
      <c r="F27" s="330"/>
      <c r="G27" s="330"/>
      <c r="H27" s="329"/>
      <c r="L27" s="306" t="s">
        <v>4593</v>
      </c>
      <c r="M27" s="306" t="s">
        <v>4594</v>
      </c>
      <c r="N27" s="306"/>
      <c r="O27" s="306"/>
      <c r="P27" s="306"/>
      <c r="Q27" t="s">
        <v>42</v>
      </c>
      <c r="R27" s="306" t="s">
        <v>4595</v>
      </c>
      <c r="S27" s="306" t="s">
        <v>4596</v>
      </c>
      <c r="T27" s="306"/>
      <c r="U27" s="306"/>
      <c r="V27" s="306"/>
      <c r="W27" t="s">
        <v>42</v>
      </c>
      <c r="X27" s="306" t="s">
        <v>4597</v>
      </c>
      <c r="Y27" s="306" t="s">
        <v>4598</v>
      </c>
      <c r="Z27" s="306"/>
      <c r="AA27" s="309"/>
      <c r="AB27" s="306"/>
      <c r="AC27" t="s">
        <v>42</v>
      </c>
      <c r="AD27" s="325" t="s">
        <v>4599</v>
      </c>
      <c r="AE27" s="306" t="s">
        <v>4600</v>
      </c>
      <c r="AF27" s="306"/>
      <c r="AG27" s="306"/>
      <c r="AH27" s="306"/>
      <c r="AI27" t="s">
        <v>42</v>
      </c>
      <c r="AZ27" s="328"/>
      <c r="BA27" s="7" t="str">
        <f ca="1">IFERROR(IF(VLOOKUP(AZ27,CallTb[[#All],[iWatch '#]:[QNumber]],6,FALSE)=0,"",VLOOKUP(AZ27,CallTb[[#All],[iWatch '#]:[QNumber]],6,FALSE)),"")</f>
        <v/>
      </c>
      <c r="BB27" s="7" t="str">
        <f ca="1">IFERROR(IF(VLOOKUP(AZ27,CallTb[[#All],[iWatch '#]:[QNumber]],7,FALSE)=0,"",VLOOKUP(AZ27,CallTb[[#All],[iWatch '#]:[QNumber]],7,FALSE)),"")</f>
        <v/>
      </c>
      <c r="BD27" t="b">
        <f t="shared" ca="1" si="0"/>
        <v>0</v>
      </c>
      <c r="BE27" t="b">
        <f t="shared" ca="1" si="1"/>
        <v>0</v>
      </c>
      <c r="BF27" t="b">
        <f t="shared" ca="1" si="2"/>
        <v>0</v>
      </c>
    </row>
    <row r="28" spans="2:58" ht="24">
      <c r="B28" s="582"/>
      <c r="C28" s="583"/>
      <c r="D28" s="588" t="str">
        <f t="shared" ca="1" si="3"/>
        <v>Se realice</v>
      </c>
      <c r="E28" s="588"/>
      <c r="F28" s="324"/>
      <c r="G28" s="324" t="str">
        <f>"       "&amp;VLOOKUP($I$1,$AK$4:$AO$8,4,FALSE)</f>
        <v xml:space="preserve">       Si</v>
      </c>
      <c r="H28" s="323" t="str">
        <f>"       "&amp;VLOOKUP($I$1,$AK$4:$AO$8,5,FALSE)</f>
        <v xml:space="preserve">       No</v>
      </c>
      <c r="L28" s="306"/>
      <c r="M28" s="306" t="s">
        <v>4601</v>
      </c>
      <c r="N28" s="306"/>
      <c r="O28" s="306"/>
      <c r="P28" s="306"/>
      <c r="Q28" t="s">
        <v>42</v>
      </c>
      <c r="R28" s="306"/>
      <c r="S28" s="306" t="s">
        <v>4602</v>
      </c>
      <c r="T28" s="306"/>
      <c r="U28" s="306"/>
      <c r="V28" s="306"/>
      <c r="W28" t="s">
        <v>42</v>
      </c>
      <c r="X28" s="306"/>
      <c r="Y28" s="306" t="s">
        <v>4603</v>
      </c>
      <c r="Z28" s="306"/>
      <c r="AA28" s="309"/>
      <c r="AB28" s="306"/>
      <c r="AC28" t="s">
        <v>42</v>
      </c>
      <c r="AD28" s="306"/>
      <c r="AE28" s="306" t="s">
        <v>4604</v>
      </c>
      <c r="AF28" s="306"/>
      <c r="AG28" s="306"/>
      <c r="AH28" s="306"/>
      <c r="AI28" t="s">
        <v>42</v>
      </c>
      <c r="AZ28" s="322" t="s">
        <v>4605</v>
      </c>
      <c r="BA28" s="7" t="str">
        <f ca="1">IFERROR(IF(VLOOKUP(AZ28,CallTb[[#All],[iWatch '#]:[QNumber]],6,FALSE)=0,"",VLOOKUP(AZ28,CallTb[[#All],[iWatch '#]:[QNumber]],6,FALSE)),"")</f>
        <v/>
      </c>
      <c r="BB28" s="7" t="str">
        <f ca="1">IFERROR(IF(VLOOKUP(AZ28,CallTb[[#All],[iWatch '#]:[QNumber]],7,FALSE)=0,"",VLOOKUP(AZ28,CallTb[[#All],[iWatch '#]:[QNumber]],7,FALSE)),"")</f>
        <v/>
      </c>
      <c r="BD28" t="b">
        <f t="shared" ca="1" si="0"/>
        <v>0</v>
      </c>
      <c r="BE28" t="b">
        <f t="shared" ca="1" si="1"/>
        <v>0</v>
      </c>
      <c r="BF28" t="b">
        <f t="shared" ca="1" si="2"/>
        <v>0</v>
      </c>
    </row>
    <row r="29" spans="2:58">
      <c r="B29" s="582"/>
      <c r="C29" s="583"/>
      <c r="D29" s="588" t="str">
        <f t="shared" ca="1" si="3"/>
        <v>Se documente</v>
      </c>
      <c r="E29" s="588"/>
      <c r="F29" s="324"/>
      <c r="G29" s="324" t="str">
        <f>"       "&amp;VLOOKUP($I$1,$AK$4:$AO$8,4,FALSE)</f>
        <v xml:space="preserve">       Si</v>
      </c>
      <c r="H29" s="323" t="str">
        <f>"       "&amp;VLOOKUP($I$1,$AK$4:$AO$8,5,FALSE)</f>
        <v xml:space="preserve">       No</v>
      </c>
      <c r="L29" s="306"/>
      <c r="M29" s="306" t="s">
        <v>4606</v>
      </c>
      <c r="N29" s="306"/>
      <c r="O29" s="306"/>
      <c r="P29" s="306"/>
      <c r="Q29" t="s">
        <v>42</v>
      </c>
      <c r="R29" s="306"/>
      <c r="S29" s="306" t="s">
        <v>4607</v>
      </c>
      <c r="T29" s="306"/>
      <c r="U29" s="306"/>
      <c r="V29" s="306"/>
      <c r="W29" t="s">
        <v>42</v>
      </c>
      <c r="X29" s="306"/>
      <c r="Y29" s="306" t="s">
        <v>4608</v>
      </c>
      <c r="Z29" s="306"/>
      <c r="AA29" s="309"/>
      <c r="AB29" s="306"/>
      <c r="AC29" t="s">
        <v>42</v>
      </c>
      <c r="AD29" s="306"/>
      <c r="AE29" s="306" t="s">
        <v>4609</v>
      </c>
      <c r="AF29" s="306"/>
      <c r="AG29" s="306"/>
      <c r="AH29" s="306"/>
      <c r="AI29" t="s">
        <v>42</v>
      </c>
      <c r="AZ29" s="322" t="s">
        <v>1583</v>
      </c>
      <c r="BA29" s="7" t="str">
        <f ca="1">IFERROR(IF(VLOOKUP(AZ29,CallTb[[#All],[iWatch '#]:[QNumber]],6,FALSE)=0,"",VLOOKUP(AZ29,CallTb[[#All],[iWatch '#]:[QNumber]],6,FALSE)),"")</f>
        <v/>
      </c>
      <c r="BB29" s="7" t="str">
        <f ca="1">IFERROR(IF(VLOOKUP(AZ29,CallTb[[#All],[iWatch '#]:[QNumber]],7,FALSE)=0,"",VLOOKUP(AZ29,CallTb[[#All],[iWatch '#]:[QNumber]],7,FALSE)),"")</f>
        <v/>
      </c>
      <c r="BD29" t="b">
        <f t="shared" ca="1" si="0"/>
        <v>0</v>
      </c>
      <c r="BE29" t="b">
        <f t="shared" ca="1" si="1"/>
        <v>0</v>
      </c>
      <c r="BF29" t="b">
        <f t="shared" ca="1" si="2"/>
        <v>0</v>
      </c>
    </row>
    <row r="30" spans="2:58">
      <c r="B30" s="582"/>
      <c r="C30" s="583"/>
      <c r="D30" s="588" t="str">
        <f t="shared" ca="1" si="3"/>
        <v>Se mejore para detectar actividad inusual</v>
      </c>
      <c r="E30" s="588"/>
      <c r="F30" s="324"/>
      <c r="G30" s="324" t="str">
        <f>"       "&amp;VLOOKUP($I$1,$AK$4:$AO$8,4,FALSE)</f>
        <v xml:space="preserve">       Si</v>
      </c>
      <c r="H30" s="323" t="str">
        <f>"       "&amp;VLOOKUP($I$1,$AK$4:$AO$8,5,FALSE)</f>
        <v xml:space="preserve">       No</v>
      </c>
      <c r="L30" s="306"/>
      <c r="M30" s="306" t="s">
        <v>4610</v>
      </c>
      <c r="N30" s="306"/>
      <c r="O30" s="306"/>
      <c r="P30" s="306"/>
      <c r="Q30" t="s">
        <v>42</v>
      </c>
      <c r="R30" s="306"/>
      <c r="S30" s="306" t="s">
        <v>4611</v>
      </c>
      <c r="T30" s="306"/>
      <c r="U30" s="306"/>
      <c r="V30" s="306"/>
      <c r="W30" t="s">
        <v>42</v>
      </c>
      <c r="X30" s="306"/>
      <c r="Y30" s="306" t="s">
        <v>4612</v>
      </c>
      <c r="Z30" s="306"/>
      <c r="AA30" s="309"/>
      <c r="AB30" s="306"/>
      <c r="AC30" t="s">
        <v>42</v>
      </c>
      <c r="AD30" s="306"/>
      <c r="AE30" s="306" t="s">
        <v>4613</v>
      </c>
      <c r="AF30" s="306"/>
      <c r="AG30" s="306"/>
      <c r="AH30" s="306"/>
      <c r="AI30" t="s">
        <v>42</v>
      </c>
      <c r="AZ30" s="322"/>
      <c r="BA30" s="7" t="str">
        <f ca="1">IFERROR(IF(VLOOKUP(AZ30,CallTb[[#All],[iWatch '#]:[QNumber]],6,FALSE)=0,"",VLOOKUP(AZ30,CallTb[[#All],[iWatch '#]:[QNumber]],6,FALSE)),"")</f>
        <v/>
      </c>
      <c r="BB30" s="7" t="str">
        <f ca="1">IFERROR(IF(VLOOKUP(AZ30,CallTb[[#All],[iWatch '#]:[QNumber]],7,FALSE)=0,"",VLOOKUP(AZ30,CallTb[[#All],[iWatch '#]:[QNumber]],7,FALSE)),"")</f>
        <v/>
      </c>
      <c r="BD30" t="b">
        <f t="shared" ca="1" si="0"/>
        <v>0</v>
      </c>
      <c r="BE30" t="b">
        <f t="shared" ca="1" si="1"/>
        <v>0</v>
      </c>
      <c r="BF30" t="b">
        <f t="shared" ca="1" si="2"/>
        <v>0</v>
      </c>
    </row>
    <row r="31" spans="2:58" ht="14.25" customHeight="1">
      <c r="B31" s="582">
        <v>8</v>
      </c>
      <c r="C31" s="583" t="str">
        <f ca="1">OFFSET(L31,0,VLOOKUP($I$1,$AK$4:$AL$8,2,FALSE))</f>
        <v>MANTENIMIENTO DE REGISTROS</v>
      </c>
      <c r="D31" s="574" t="str">
        <f t="shared" ca="1" si="3"/>
        <v>Es necesario que los registros:</v>
      </c>
      <c r="E31" s="575"/>
      <c r="F31" s="330"/>
      <c r="G31" s="330"/>
      <c r="H31" s="329"/>
      <c r="L31" s="306" t="s">
        <v>1877</v>
      </c>
      <c r="M31" s="306" t="s">
        <v>4614</v>
      </c>
      <c r="N31" s="306"/>
      <c r="O31" s="306"/>
      <c r="P31" s="306"/>
      <c r="Q31" t="s">
        <v>42</v>
      </c>
      <c r="R31" s="306" t="s">
        <v>4615</v>
      </c>
      <c r="S31" s="306" t="s">
        <v>4616</v>
      </c>
      <c r="T31" s="306"/>
      <c r="U31" s="306"/>
      <c r="V31" s="306"/>
      <c r="W31" t="s">
        <v>42</v>
      </c>
      <c r="X31" s="306" t="s">
        <v>4617</v>
      </c>
      <c r="Y31" s="306" t="s">
        <v>4618</v>
      </c>
      <c r="Z31" s="306"/>
      <c r="AA31" s="309"/>
      <c r="AB31" s="306"/>
      <c r="AC31" t="s">
        <v>42</v>
      </c>
      <c r="AD31" s="325" t="s">
        <v>4619</v>
      </c>
      <c r="AE31" s="306" t="s">
        <v>4620</v>
      </c>
      <c r="AF31" s="306"/>
      <c r="AG31" s="306"/>
      <c r="AH31" s="306"/>
      <c r="AI31" t="s">
        <v>42</v>
      </c>
      <c r="AZ31" s="328"/>
      <c r="BA31" s="7" t="str">
        <f ca="1">IFERROR(IF(VLOOKUP(AZ31,CallTb[[#All],[iWatch '#]:[QNumber]],6,FALSE)=0,"",VLOOKUP(AZ31,CallTb[[#All],[iWatch '#]:[QNumber]],6,FALSE)),"")</f>
        <v/>
      </c>
      <c r="BB31" s="7" t="str">
        <f ca="1">IFERROR(IF(VLOOKUP(AZ31,CallTb[[#All],[iWatch '#]:[QNumber]],7,FALSE)=0,"",VLOOKUP(AZ31,CallTb[[#All],[iWatch '#]:[QNumber]],7,FALSE)),"")</f>
        <v/>
      </c>
      <c r="BD31" t="b">
        <f t="shared" ca="1" si="0"/>
        <v>0</v>
      </c>
      <c r="BE31" t="b">
        <f t="shared" ca="1" si="1"/>
        <v>0</v>
      </c>
      <c r="BF31" t="b">
        <f t="shared" ca="1" si="2"/>
        <v>0</v>
      </c>
    </row>
    <row r="32" spans="2:58" ht="14.25" customHeight="1">
      <c r="B32" s="582"/>
      <c r="C32" s="583"/>
      <c r="D32" s="588" t="str">
        <f t="shared" ca="1" si="3"/>
        <v>Incluyan la recopilación y el mantenimiento de registros de identidad de los FLA</v>
      </c>
      <c r="E32" s="588"/>
      <c r="F32" s="324"/>
      <c r="G32" s="324" t="str">
        <f>"       "&amp;VLOOKUP($I$1,$AK$4:$AO$8,4,FALSE)</f>
        <v xml:space="preserve">       Si</v>
      </c>
      <c r="H32" s="323" t="str">
        <f>"       "&amp;VLOOKUP($I$1,$AK$4:$AO$8,5,FALSE)</f>
        <v xml:space="preserve">       No</v>
      </c>
      <c r="L32" s="306"/>
      <c r="M32" s="306" t="s">
        <v>4621</v>
      </c>
      <c r="N32" s="306"/>
      <c r="O32" s="306"/>
      <c r="P32" s="306"/>
      <c r="Q32" t="s">
        <v>42</v>
      </c>
      <c r="R32" s="306"/>
      <c r="S32" s="306" t="s">
        <v>4622</v>
      </c>
      <c r="T32" s="306"/>
      <c r="U32" s="306"/>
      <c r="V32" s="306"/>
      <c r="W32" t="s">
        <v>42</v>
      </c>
      <c r="X32" s="306"/>
      <c r="Y32" s="306" t="s">
        <v>4623</v>
      </c>
      <c r="Z32" s="306"/>
      <c r="AA32" s="309"/>
      <c r="AB32" s="306"/>
      <c r="AC32" t="s">
        <v>42</v>
      </c>
      <c r="AD32" s="306"/>
      <c r="AE32" s="306" t="s">
        <v>4624</v>
      </c>
      <c r="AF32" s="306"/>
      <c r="AG32" s="306"/>
      <c r="AH32" s="306"/>
      <c r="AI32" t="s">
        <v>42</v>
      </c>
      <c r="AZ32" s="322" t="s">
        <v>1312</v>
      </c>
      <c r="BA32" s="7" t="str">
        <f ca="1">IFERROR(IF(VLOOKUP(AZ32,CallTb[[#All],[iWatch '#]:[QNumber]],6,FALSE)=0,"",VLOOKUP(AZ32,CallTb[[#All],[iWatch '#]:[QNumber]],6,FALSE)),"")</f>
        <v/>
      </c>
      <c r="BB32" s="7" t="str">
        <f ca="1">IFERROR(IF(VLOOKUP(AZ32,CallTb[[#All],[iWatch '#]:[QNumber]],7,FALSE)=0,"",VLOOKUP(AZ32,CallTb[[#All],[iWatch '#]:[QNumber]],7,FALSE)),"")</f>
        <v/>
      </c>
      <c r="BD32" t="b">
        <f t="shared" ca="1" si="0"/>
        <v>0</v>
      </c>
      <c r="BE32" t="b">
        <f t="shared" ca="1" si="1"/>
        <v>0</v>
      </c>
      <c r="BF32" t="b">
        <f t="shared" ca="1" si="2"/>
        <v>0</v>
      </c>
    </row>
    <row r="33" spans="2:58" ht="14.25" customHeight="1">
      <c r="B33" s="582"/>
      <c r="C33" s="583"/>
      <c r="D33" s="588" t="str">
        <f t="shared" ca="1" si="3"/>
        <v>Cumplan con los requisitos de mantenimiento de registros según las regulaciones locales y de acuerdo con los estándares de Western Union</v>
      </c>
      <c r="E33" s="588"/>
      <c r="F33" s="324"/>
      <c r="G33" s="324" t="str">
        <f>"       "&amp;VLOOKUP($I$1,$AK$4:$AO$8,4,FALSE)</f>
        <v xml:space="preserve">       Si</v>
      </c>
      <c r="H33" s="323" t="str">
        <f>"       "&amp;VLOOKUP($I$1,$AK$4:$AO$8,5,FALSE)</f>
        <v xml:space="preserve">       No</v>
      </c>
      <c r="L33" s="306"/>
      <c r="M33" s="306" t="s">
        <v>4625</v>
      </c>
      <c r="N33" s="306"/>
      <c r="O33" s="306"/>
      <c r="P33" s="306"/>
      <c r="Q33" t="s">
        <v>42</v>
      </c>
      <c r="R33" s="306"/>
      <c r="S33" s="306" t="s">
        <v>4626</v>
      </c>
      <c r="T33" s="306"/>
      <c r="U33" s="306"/>
      <c r="V33" s="306"/>
      <c r="W33" t="s">
        <v>42</v>
      </c>
      <c r="X33" s="306"/>
      <c r="Y33" s="306" t="s">
        <v>4627</v>
      </c>
      <c r="Z33" s="306"/>
      <c r="AA33" s="309"/>
      <c r="AB33" s="306"/>
      <c r="AC33" t="s">
        <v>42</v>
      </c>
      <c r="AD33" s="306"/>
      <c r="AE33" s="306" t="s">
        <v>4628</v>
      </c>
      <c r="AF33" s="306"/>
      <c r="AG33" s="306"/>
      <c r="AH33" s="306"/>
      <c r="AI33" t="s">
        <v>42</v>
      </c>
      <c r="AZ33" s="322" t="s">
        <v>1326</v>
      </c>
      <c r="BA33" s="7" t="str">
        <f ca="1">IFERROR(IF(VLOOKUP(AZ33,CallTb[[#All],[iWatch '#]:[QNumber]],6,FALSE)=0,"",VLOOKUP(AZ33,CallTb[[#All],[iWatch '#]:[QNumber]],6,FALSE)),"")</f>
        <v/>
      </c>
      <c r="BB33" s="7" t="str">
        <f ca="1">IFERROR(IF(VLOOKUP(AZ33,CallTb[[#All],[iWatch '#]:[QNumber]],7,FALSE)=0,"",VLOOKUP(AZ33,CallTb[[#All],[iWatch '#]:[QNumber]],7,FALSE)),"")</f>
        <v/>
      </c>
      <c r="BD33" t="b">
        <f t="shared" ca="1" si="0"/>
        <v>0</v>
      </c>
      <c r="BE33" t="b">
        <f t="shared" ca="1" si="1"/>
        <v>0</v>
      </c>
      <c r="BF33" t="b">
        <f t="shared" ca="1" si="2"/>
        <v>0</v>
      </c>
    </row>
    <row r="34" spans="2:58" ht="14.25" customHeight="1">
      <c r="B34" s="582"/>
      <c r="C34" s="583"/>
      <c r="D34" s="588" t="str">
        <f t="shared" ca="1" si="3"/>
        <v>Estén protegidos de manera segura y por el periodo de retención requerido</v>
      </c>
      <c r="E34" s="588"/>
      <c r="F34" s="324"/>
      <c r="G34" s="324" t="str">
        <f>"       "&amp;VLOOKUP($I$1,$AK$4:$AO$8,4,FALSE)</f>
        <v xml:space="preserve">       Si</v>
      </c>
      <c r="H34" s="323" t="str">
        <f>"       "&amp;VLOOKUP($I$1,$AK$4:$AO$8,5,FALSE)</f>
        <v xml:space="preserve">       No</v>
      </c>
      <c r="L34" s="306"/>
      <c r="M34" s="306" t="s">
        <v>4629</v>
      </c>
      <c r="N34" s="306"/>
      <c r="O34" s="306"/>
      <c r="P34" s="306"/>
      <c r="Q34" t="s">
        <v>42</v>
      </c>
      <c r="R34" s="306"/>
      <c r="S34" s="306" t="s">
        <v>4630</v>
      </c>
      <c r="T34" s="306"/>
      <c r="U34" s="306"/>
      <c r="V34" s="306"/>
      <c r="W34" t="s">
        <v>42</v>
      </c>
      <c r="X34" s="306"/>
      <c r="Y34" s="306" t="s">
        <v>4631</v>
      </c>
      <c r="Z34" s="306"/>
      <c r="AA34" s="309"/>
      <c r="AB34" s="306"/>
      <c r="AC34" t="s">
        <v>42</v>
      </c>
      <c r="AD34" s="306"/>
      <c r="AE34" s="306" t="s">
        <v>4632</v>
      </c>
      <c r="AF34" s="306"/>
      <c r="AG34" s="306"/>
      <c r="AH34" s="306"/>
      <c r="AI34" t="s">
        <v>42</v>
      </c>
      <c r="AZ34" s="322" t="s">
        <v>1343</v>
      </c>
      <c r="BA34" s="7" t="str">
        <f ca="1">IFERROR(IF(VLOOKUP(AZ34,CallTb[[#All],[iWatch '#]:[QNumber]],6,FALSE)=0,"",VLOOKUP(AZ34,CallTb[[#All],[iWatch '#]:[QNumber]],6,FALSE)),"")</f>
        <v/>
      </c>
      <c r="BB34" s="7" t="str">
        <f ca="1">IFERROR(IF(VLOOKUP(AZ34,CallTb[[#All],[iWatch '#]:[QNumber]],7,FALSE)=0,"",VLOOKUP(AZ34,CallTb[[#All],[iWatch '#]:[QNumber]],7,FALSE)),"")</f>
        <v/>
      </c>
      <c r="BD34" t="b">
        <f t="shared" ca="1" si="0"/>
        <v>0</v>
      </c>
      <c r="BE34" t="b">
        <f t="shared" ca="1" si="1"/>
        <v>0</v>
      </c>
      <c r="BF34" t="b">
        <f t="shared" ca="1" si="2"/>
        <v>0</v>
      </c>
    </row>
    <row r="35" spans="2:58" ht="14.25" customHeight="1">
      <c r="B35" s="582">
        <v>9</v>
      </c>
      <c r="C35" s="583" t="str">
        <f ca="1">OFFSET(L35,0,VLOOKUP($I$1,$AK$4:$AL$8,2,FALSE))</f>
        <v>CONOZCA A SU CLIENTE (KNOW YOUR CUSTOMER, KYC)</v>
      </c>
      <c r="D35" s="574" t="str">
        <f t="shared" ca="1" si="3"/>
        <v>Es necesario que un programa integral KYC</v>
      </c>
      <c r="E35" s="575"/>
      <c r="F35" s="330"/>
      <c r="G35" s="330"/>
      <c r="H35" s="329"/>
      <c r="L35" s="306" t="s">
        <v>4633</v>
      </c>
      <c r="M35" s="306" t="s">
        <v>4634</v>
      </c>
      <c r="N35" s="306"/>
      <c r="O35" s="306"/>
      <c r="P35" s="306"/>
      <c r="Q35" t="s">
        <v>42</v>
      </c>
      <c r="R35" s="306" t="s">
        <v>4635</v>
      </c>
      <c r="S35" s="306" t="s">
        <v>4636</v>
      </c>
      <c r="T35" s="306"/>
      <c r="U35" s="306"/>
      <c r="V35" s="306"/>
      <c r="W35" t="s">
        <v>42</v>
      </c>
      <c r="X35" s="306" t="s">
        <v>4637</v>
      </c>
      <c r="Y35" s="306" t="s">
        <v>4638</v>
      </c>
      <c r="Z35" s="306"/>
      <c r="AA35" s="309"/>
      <c r="AB35" s="306"/>
      <c r="AC35" t="s">
        <v>42</v>
      </c>
      <c r="AD35" s="325" t="s">
        <v>4639</v>
      </c>
      <c r="AE35" s="306" t="s">
        <v>4640</v>
      </c>
      <c r="AF35" s="306"/>
      <c r="AG35" s="306"/>
      <c r="AH35" s="306"/>
      <c r="AI35" t="s">
        <v>42</v>
      </c>
      <c r="AZ35" s="328"/>
      <c r="BA35" s="7" t="str">
        <f ca="1">IFERROR(IF(VLOOKUP(AZ35,CallTb[[#All],[iWatch '#]:[QNumber]],6,FALSE)=0,"",VLOOKUP(AZ35,CallTb[[#All],[iWatch '#]:[QNumber]],6,FALSE)),"")</f>
        <v/>
      </c>
      <c r="BB35" s="7" t="str">
        <f ca="1">IFERROR(IF(VLOOKUP(AZ35,CallTb[[#All],[iWatch '#]:[QNumber]],7,FALSE)=0,"",VLOOKUP(AZ35,CallTb[[#All],[iWatch '#]:[QNumber]],7,FALSE)),"")</f>
        <v/>
      </c>
      <c r="BD35" t="b">
        <f t="shared" ca="1" si="0"/>
        <v>0</v>
      </c>
      <c r="BE35" t="b">
        <f t="shared" ca="1" si="1"/>
        <v>0</v>
      </c>
      <c r="BF35" t="b">
        <f t="shared" ca="1" si="2"/>
        <v>0</v>
      </c>
    </row>
    <row r="36" spans="2:58" ht="14.25" customHeight="1">
      <c r="B36" s="582"/>
      <c r="C36" s="583"/>
      <c r="D36" s="588" t="str">
        <f t="shared" ca="1" si="3"/>
        <v>Garantice que la identificación que se acepta esté vigente (que no haya expirado) y que la foto se asemeje al cliente</v>
      </c>
      <c r="E36" s="588"/>
      <c r="F36" s="324"/>
      <c r="G36" s="324" t="str">
        <f>"       "&amp;VLOOKUP($I$1,$AK$4:$AO$8,4,FALSE)</f>
        <v xml:space="preserve">       Si</v>
      </c>
      <c r="H36" s="323" t="str">
        <f>"       "&amp;VLOOKUP($I$1,$AK$4:$AO$8,5,FALSE)</f>
        <v xml:space="preserve">       No</v>
      </c>
      <c r="L36" s="306"/>
      <c r="M36" s="306" t="s">
        <v>4641</v>
      </c>
      <c r="N36" s="306"/>
      <c r="O36" s="306"/>
      <c r="P36" s="306"/>
      <c r="Q36" t="s">
        <v>42</v>
      </c>
      <c r="R36" s="306"/>
      <c r="S36" s="306" t="s">
        <v>4642</v>
      </c>
      <c r="T36" s="306"/>
      <c r="U36" s="306"/>
      <c r="V36" s="306"/>
      <c r="W36" t="s">
        <v>42</v>
      </c>
      <c r="X36" s="306"/>
      <c r="Y36" s="306" t="s">
        <v>4643</v>
      </c>
      <c r="Z36" s="306"/>
      <c r="AA36" s="309"/>
      <c r="AB36" s="306"/>
      <c r="AC36" t="s">
        <v>42</v>
      </c>
      <c r="AD36" s="306"/>
      <c r="AE36" s="306" t="s">
        <v>4644</v>
      </c>
      <c r="AF36" s="306"/>
      <c r="AG36" s="306"/>
      <c r="AH36" s="306"/>
      <c r="AI36" t="s">
        <v>42</v>
      </c>
      <c r="AZ36" s="322" t="s">
        <v>1541</v>
      </c>
      <c r="BA36" s="7" t="str">
        <f ca="1">IFERROR(IF(VLOOKUP(AZ36,CallTb[[#All],[iWatch '#]:[QNumber]],6,FALSE)=0,"",VLOOKUP(AZ36,CallTb[[#All],[iWatch '#]:[QNumber]],6,FALSE)),"")</f>
        <v/>
      </c>
      <c r="BB36" s="7" t="str">
        <f ca="1">IFERROR(IF(VLOOKUP(AZ36,CallTb[[#All],[iWatch '#]:[QNumber]],7,FALSE)=0,"",VLOOKUP(AZ36,CallTb[[#All],[iWatch '#]:[QNumber]],7,FALSE)),"")</f>
        <v/>
      </c>
      <c r="BD36" t="b">
        <f t="shared" ca="1" si="0"/>
        <v>0</v>
      </c>
      <c r="BE36" t="b">
        <f t="shared" ca="1" si="1"/>
        <v>0</v>
      </c>
      <c r="BF36" t="b">
        <f t="shared" ca="1" si="2"/>
        <v>0</v>
      </c>
    </row>
    <row r="37" spans="2:58" ht="14.25" customHeight="1">
      <c r="B37" s="582"/>
      <c r="C37" s="583"/>
      <c r="D37" s="588" t="str">
        <f t="shared" ca="1" si="3"/>
        <v>Garantice que los FLA ingresen la información del cliente de forma completa y correcta en el sistema de Western Union</v>
      </c>
      <c r="E37" s="588"/>
      <c r="F37" s="324"/>
      <c r="G37" s="324" t="str">
        <f>"       "&amp;VLOOKUP($I$1,$AK$4:$AO$8,4,FALSE)</f>
        <v xml:space="preserve">       Si</v>
      </c>
      <c r="H37" s="323" t="str">
        <f>"       "&amp;VLOOKUP($I$1,$AK$4:$AO$8,5,FALSE)</f>
        <v xml:space="preserve">       No</v>
      </c>
      <c r="L37" s="306"/>
      <c r="M37" s="306" t="s">
        <v>4645</v>
      </c>
      <c r="N37" s="306"/>
      <c r="O37" s="306"/>
      <c r="P37" s="306"/>
      <c r="Q37" t="s">
        <v>42</v>
      </c>
      <c r="R37" s="306"/>
      <c r="S37" s="306" t="s">
        <v>4646</v>
      </c>
      <c r="T37" s="306"/>
      <c r="U37" s="306"/>
      <c r="V37" s="306"/>
      <c r="W37" t="s">
        <v>42</v>
      </c>
      <c r="X37" s="306"/>
      <c r="Y37" s="306" t="s">
        <v>4647</v>
      </c>
      <c r="Z37" s="306"/>
      <c r="AA37" s="309"/>
      <c r="AB37" s="306"/>
      <c r="AC37" t="s">
        <v>42</v>
      </c>
      <c r="AD37" s="306"/>
      <c r="AE37" s="306" t="s">
        <v>4648</v>
      </c>
      <c r="AF37" s="306"/>
      <c r="AG37" s="306"/>
      <c r="AH37" s="306"/>
      <c r="AI37" t="s">
        <v>42</v>
      </c>
      <c r="AZ37" s="322" t="s">
        <v>4649</v>
      </c>
      <c r="BA37" s="7" t="str">
        <f ca="1">IFERROR(IF(VLOOKUP(AZ37,CallTb[[#All],[iWatch '#]:[QNumber]],6,FALSE)=0,"",VLOOKUP(AZ37,CallTb[[#All],[iWatch '#]:[QNumber]],6,FALSE)),"")</f>
        <v/>
      </c>
      <c r="BB37" s="7" t="str">
        <f ca="1">IFERROR(IF(VLOOKUP(AZ37,CallTb[[#All],[iWatch '#]:[QNumber]],7,FALSE)=0,"",VLOOKUP(AZ37,CallTb[[#All],[iWatch '#]:[QNumber]],7,FALSE)),"")</f>
        <v/>
      </c>
      <c r="BD37" t="b">
        <f t="shared" ca="1" si="0"/>
        <v>0</v>
      </c>
      <c r="BE37" t="b">
        <f t="shared" ca="1" si="1"/>
        <v>0</v>
      </c>
      <c r="BF37" t="b">
        <f t="shared" ca="1" si="2"/>
        <v>0</v>
      </c>
    </row>
    <row r="38" spans="2:58" ht="27" customHeight="1">
      <c r="B38" s="582"/>
      <c r="C38" s="583"/>
      <c r="D38" s="588" t="str">
        <f t="shared" ca="1" si="3"/>
        <v>Garantice que los FLA entiendan y sigan los procedimientos de Debida Diligencia Mejorada y de Transferencias de Dinero de Montos Altos</v>
      </c>
      <c r="E38" s="588"/>
      <c r="F38" s="332"/>
      <c r="G38" s="332" t="str">
        <f>"       "&amp;VLOOKUP($I$1,$AK$4:$AO$8,4,FALSE)</f>
        <v xml:space="preserve">       Si</v>
      </c>
      <c r="H38" s="331" t="str">
        <f>"       "&amp;VLOOKUP($I$1,$AK$4:$AO$8,5,FALSE)</f>
        <v xml:space="preserve">       No</v>
      </c>
      <c r="L38" s="306"/>
      <c r="M38" s="306" t="s">
        <v>4650</v>
      </c>
      <c r="N38" s="306"/>
      <c r="O38" s="306"/>
      <c r="P38" s="306"/>
      <c r="Q38" t="s">
        <v>42</v>
      </c>
      <c r="R38" s="306"/>
      <c r="S38" s="306" t="s">
        <v>4651</v>
      </c>
      <c r="T38" s="306"/>
      <c r="U38" s="306"/>
      <c r="V38" s="306"/>
      <c r="W38" t="s">
        <v>42</v>
      </c>
      <c r="X38" s="306"/>
      <c r="Y38" s="306" t="s">
        <v>4652</v>
      </c>
      <c r="Z38" s="306"/>
      <c r="AA38" s="309"/>
      <c r="AB38" s="306"/>
      <c r="AC38" t="s">
        <v>42</v>
      </c>
      <c r="AD38" s="306"/>
      <c r="AE38" s="306" t="s">
        <v>4653</v>
      </c>
      <c r="AF38" s="306"/>
      <c r="AG38" s="306"/>
      <c r="AH38" s="306"/>
      <c r="AI38" t="s">
        <v>42</v>
      </c>
      <c r="AZ38" s="322" t="s">
        <v>1272</v>
      </c>
      <c r="BA38" s="7" t="str">
        <f ca="1">IFERROR(IF(VLOOKUP(AZ38,CallTb[[#All],[iWatch '#]:[QNumber]],6,FALSE)=0,"",VLOOKUP(AZ38,CallTb[[#All],[iWatch '#]:[QNumber]],6,FALSE)),"")</f>
        <v/>
      </c>
      <c r="BB38" s="7" t="str">
        <f ca="1">IFERROR(IF(VLOOKUP(AZ38,CallTb[[#All],[iWatch '#]:[QNumber]],7,FALSE)=0,"",VLOOKUP(AZ38,CallTb[[#All],[iWatch '#]:[QNumber]],7,FALSE)),"")</f>
        <v/>
      </c>
      <c r="BD38" t="b">
        <f t="shared" ca="1" si="0"/>
        <v>0</v>
      </c>
      <c r="BE38" t="b">
        <f t="shared" ca="1" si="1"/>
        <v>0</v>
      </c>
      <c r="BF38" t="b">
        <f t="shared" ca="1" si="2"/>
        <v>0</v>
      </c>
    </row>
    <row r="39" spans="2:58" ht="14.25" customHeight="1">
      <c r="B39" s="584">
        <v>10</v>
      </c>
      <c r="C39" s="585" t="str">
        <f ca="1">OFFSET(L39,0,VLOOKUP($I$1,$AK$4:$AL$8,2,FALSE))</f>
        <v>GESTIÓN Y SUPERVISIÓN DE SUBAGENTES</v>
      </c>
      <c r="D39" s="574" t="str">
        <f t="shared" ca="1" si="3"/>
        <v>La gestión de los subagentes debe incluir lo siguiente</v>
      </c>
      <c r="E39" s="575"/>
      <c r="F39" s="330"/>
      <c r="G39" s="330"/>
      <c r="H39" s="329"/>
      <c r="L39" s="306" t="s">
        <v>4654</v>
      </c>
      <c r="M39" s="306" t="s">
        <v>4655</v>
      </c>
      <c r="N39" s="306"/>
      <c r="O39" s="306"/>
      <c r="P39" s="306"/>
      <c r="Q39" t="s">
        <v>42</v>
      </c>
      <c r="R39" s="306" t="s">
        <v>4656</v>
      </c>
      <c r="S39" s="306" t="s">
        <v>4657</v>
      </c>
      <c r="T39" s="306"/>
      <c r="U39" s="306"/>
      <c r="V39" s="306"/>
      <c r="W39" t="s">
        <v>42</v>
      </c>
      <c r="X39" s="306" t="s">
        <v>4658</v>
      </c>
      <c r="Y39" s="306" t="s">
        <v>4659</v>
      </c>
      <c r="Z39" s="306"/>
      <c r="AA39" s="309"/>
      <c r="AB39" s="306"/>
      <c r="AC39" t="s">
        <v>42</v>
      </c>
      <c r="AD39" s="325" t="s">
        <v>4660</v>
      </c>
      <c r="AE39" s="306" t="s">
        <v>4661</v>
      </c>
      <c r="AF39" s="306"/>
      <c r="AG39" s="306"/>
      <c r="AH39" s="306"/>
      <c r="AI39" t="s">
        <v>42</v>
      </c>
      <c r="AZ39" s="328"/>
      <c r="BA39" s="7" t="str">
        <f ca="1">IFERROR(IF(VLOOKUP(AZ39,CallTb[[#All],[iWatch '#]:[QNumber]],6,FALSE)=0,"",VLOOKUP(AZ39,CallTb[[#All],[iWatch '#]:[QNumber]],6,FALSE)),"")</f>
        <v/>
      </c>
      <c r="BB39" s="7" t="str">
        <f ca="1">IFERROR(IF(VLOOKUP(AZ39,CallTb[[#All],[iWatch '#]:[QNumber]],7,FALSE)=0,"",VLOOKUP(AZ39,CallTb[[#All],[iWatch '#]:[QNumber]],7,FALSE)),"")</f>
        <v/>
      </c>
      <c r="BD39" t="b">
        <f t="shared" ca="1" si="0"/>
        <v>0</v>
      </c>
      <c r="BE39" t="b">
        <f t="shared" ca="1" si="1"/>
        <v>0</v>
      </c>
      <c r="BF39" t="b">
        <f t="shared" ca="1" si="2"/>
        <v>0</v>
      </c>
    </row>
    <row r="40" spans="2:58" ht="28.5" customHeight="1">
      <c r="B40" s="584"/>
      <c r="C40" s="585"/>
      <c r="D40" s="586" t="str">
        <f t="shared" ca="1" si="3"/>
        <v>Realización de revisiones periódicas en sitio de subagentes seleccionados o en las oficinas centrales de la red para evaluar la idoneidad de los programas de cumplimiento de los subagentes</v>
      </c>
      <c r="E40" s="586"/>
      <c r="F40" s="327"/>
      <c r="G40" s="327" t="str">
        <f>"       "&amp;VLOOKUP($I$1,$AK$4:$AO$8,4,FALSE)</f>
        <v xml:space="preserve">       Si</v>
      </c>
      <c r="H40" s="326" t="str">
        <f>"       "&amp;VLOOKUP($I$1,$AK$4:$AO$8,5,FALSE)</f>
        <v xml:space="preserve">       No</v>
      </c>
      <c r="L40" s="306"/>
      <c r="M40" s="306" t="s">
        <v>4662</v>
      </c>
      <c r="N40" s="306"/>
      <c r="O40" s="306"/>
      <c r="P40" s="306"/>
      <c r="Q40" t="s">
        <v>42</v>
      </c>
      <c r="R40" s="306"/>
      <c r="S40" s="306" t="s">
        <v>4663</v>
      </c>
      <c r="T40" s="306"/>
      <c r="U40" s="306"/>
      <c r="V40" s="306"/>
      <c r="W40" t="s">
        <v>42</v>
      </c>
      <c r="X40" s="306"/>
      <c r="Y40" s="306" t="s">
        <v>4664</v>
      </c>
      <c r="Z40" s="306"/>
      <c r="AA40" s="309"/>
      <c r="AB40" s="306"/>
      <c r="AC40" t="s">
        <v>42</v>
      </c>
      <c r="AD40" s="306"/>
      <c r="AE40" s="306" t="s">
        <v>4665</v>
      </c>
      <c r="AF40" s="306"/>
      <c r="AG40" s="306"/>
      <c r="AH40" s="306"/>
      <c r="AI40" t="s">
        <v>42</v>
      </c>
      <c r="AZ40" s="322"/>
      <c r="BA40" s="7" t="str">
        <f ca="1">IFERROR(IF(VLOOKUP(AZ40,CallTb[[#All],[iWatch '#]:[QNumber]],6,FALSE)=0,"",VLOOKUP(AZ40,CallTb[[#All],[iWatch '#]:[QNumber]],6,FALSE)),"")</f>
        <v/>
      </c>
      <c r="BB40" s="7" t="str">
        <f ca="1">IFERROR(IF(VLOOKUP(AZ40,CallTb[[#All],[iWatch '#]:[QNumber]],7,FALSE)=0,"",VLOOKUP(AZ40,CallTb[[#All],[iWatch '#]:[QNumber]],7,FALSE)),"")</f>
        <v/>
      </c>
      <c r="BD40" t="b">
        <f t="shared" ca="1" si="0"/>
        <v>0</v>
      </c>
      <c r="BE40" t="b">
        <f t="shared" ca="1" si="1"/>
        <v>0</v>
      </c>
      <c r="BF40" t="b">
        <f t="shared" ca="1" si="2"/>
        <v>0</v>
      </c>
    </row>
    <row r="41" spans="2:58" ht="14.25" customHeight="1">
      <c r="B41" s="582">
        <v>11</v>
      </c>
      <c r="C41" s="583" t="str">
        <f ca="1">OFFSET(L41,0,VLOOKUP($I$1,$AK$4:$AL$8,2,FALSE))</f>
        <v>OTROS REQUISITOS ESPECÍFICOS</v>
      </c>
      <c r="D41" s="573" t="str">
        <f t="shared" ca="1" si="3"/>
        <v>Garantizar que las identificaciones, códigos de usuarios y contraseñas de los empleados estén actualizados y sean únicos</v>
      </c>
      <c r="E41" s="573"/>
      <c r="F41" s="324"/>
      <c r="G41" s="324" t="str">
        <f>"       "&amp;VLOOKUP($I$1,$AK$4:$AO$8,4,FALSE)</f>
        <v xml:space="preserve">       Si</v>
      </c>
      <c r="H41" s="323" t="str">
        <f>"       "&amp;VLOOKUP($I$1,$AK$4:$AO$8,5,FALSE)</f>
        <v xml:space="preserve">       No</v>
      </c>
      <c r="L41" s="306" t="s">
        <v>4666</v>
      </c>
      <c r="M41" s="306" t="s">
        <v>4667</v>
      </c>
      <c r="N41" s="306"/>
      <c r="O41" s="306"/>
      <c r="P41" s="306"/>
      <c r="Q41" t="s">
        <v>42</v>
      </c>
      <c r="R41" s="306" t="s">
        <v>4668</v>
      </c>
      <c r="S41" s="306" t="s">
        <v>4669</v>
      </c>
      <c r="T41" s="306"/>
      <c r="U41" s="306"/>
      <c r="V41" s="306"/>
      <c r="W41" t="s">
        <v>42</v>
      </c>
      <c r="X41" s="306" t="s">
        <v>4670</v>
      </c>
      <c r="Y41" s="306" t="s">
        <v>4671</v>
      </c>
      <c r="Z41" s="306"/>
      <c r="AA41" s="309"/>
      <c r="AB41" s="306"/>
      <c r="AC41" t="s">
        <v>42</v>
      </c>
      <c r="AD41" s="325" t="s">
        <v>4672</v>
      </c>
      <c r="AE41" s="306" t="s">
        <v>4673</v>
      </c>
      <c r="AF41" s="306"/>
      <c r="AG41" s="306"/>
      <c r="AH41" s="306"/>
      <c r="AI41" t="s">
        <v>42</v>
      </c>
      <c r="AZ41" s="322" t="s">
        <v>711</v>
      </c>
      <c r="BA41" s="7" t="str">
        <f ca="1">IFERROR(IF(VLOOKUP(AZ41,CallTb[[#All],[iWatch '#]:[QNumber]],6,FALSE)=0,"",VLOOKUP(AZ41,CallTb[[#All],[iWatch '#]:[QNumber]],6,FALSE)),"")</f>
        <v/>
      </c>
      <c r="BB41" s="7" t="str">
        <f ca="1">IFERROR(IF(VLOOKUP(AZ41,CallTb[[#All],[iWatch '#]:[QNumber]],7,FALSE)=0,"",VLOOKUP(AZ41,CallTb[[#All],[iWatch '#]:[QNumber]],7,FALSE)),"")</f>
        <v/>
      </c>
      <c r="BD41" t="b">
        <f t="shared" ca="1" si="0"/>
        <v>0</v>
      </c>
      <c r="BE41" t="b">
        <f t="shared" ca="1" si="1"/>
        <v>0</v>
      </c>
      <c r="BF41" t="b">
        <f t="shared" ca="1" si="2"/>
        <v>0</v>
      </c>
    </row>
    <row r="42" spans="2:58" ht="14.25" customHeight="1">
      <c r="B42" s="582"/>
      <c r="C42" s="583"/>
      <c r="D42" s="573" t="str">
        <f t="shared" ca="1" si="3"/>
        <v>Garantizar que se cumplan con los requisitos específicos del estado o del país</v>
      </c>
      <c r="E42" s="573"/>
      <c r="F42" s="324"/>
      <c r="G42" s="324" t="str">
        <f>"       "&amp;VLOOKUP($I$1,$AK$4:$AO$8,4,FALSE)</f>
        <v xml:space="preserve">       Si</v>
      </c>
      <c r="H42" s="323" t="str">
        <f>"       "&amp;VLOOKUP($I$1,$AK$4:$AO$8,5,FALSE)</f>
        <v xml:space="preserve">       No</v>
      </c>
      <c r="L42" s="306"/>
      <c r="M42" s="306" t="s">
        <v>4674</v>
      </c>
      <c r="N42" s="306"/>
      <c r="O42" s="306"/>
      <c r="P42" s="306"/>
      <c r="Q42" t="s">
        <v>42</v>
      </c>
      <c r="R42" s="306"/>
      <c r="S42" s="306" t="s">
        <v>4675</v>
      </c>
      <c r="T42" s="306"/>
      <c r="U42" s="306"/>
      <c r="V42" s="306"/>
      <c r="W42" t="s">
        <v>42</v>
      </c>
      <c r="X42" s="306"/>
      <c r="Y42" s="306" t="s">
        <v>4676</v>
      </c>
      <c r="Z42" s="306"/>
      <c r="AA42" s="309"/>
      <c r="AB42" s="306"/>
      <c r="AC42" t="s">
        <v>42</v>
      </c>
      <c r="AD42" s="306"/>
      <c r="AE42" s="306" t="s">
        <v>4677</v>
      </c>
      <c r="AF42" s="306"/>
      <c r="AG42" s="306"/>
      <c r="AH42" s="306"/>
      <c r="AI42" t="s">
        <v>42</v>
      </c>
      <c r="AZ42" s="322" t="s">
        <v>1853</v>
      </c>
      <c r="BA42" s="7" t="str">
        <f ca="1">IFERROR(IF(VLOOKUP(AZ42,CallTb[[#All],[iWatch '#]:[QNumber]],6,FALSE)=0,"",VLOOKUP(AZ42,CallTb[[#All],[iWatch '#]:[QNumber]],6,FALSE)),"")</f>
        <v/>
      </c>
      <c r="BB42" s="7" t="str">
        <f ca="1">IFERROR(IF(VLOOKUP(AZ42,CallTb[[#All],[iWatch '#]:[QNumber]],7,FALSE)=0,"",VLOOKUP(AZ42,CallTb[[#All],[iWatch '#]:[QNumber]],7,FALSE)),"")</f>
        <v/>
      </c>
      <c r="BD42" t="b">
        <f t="shared" ca="1" si="0"/>
        <v>0</v>
      </c>
      <c r="BE42" t="b">
        <f t="shared" ca="1" si="1"/>
        <v>0</v>
      </c>
      <c r="BF42" t="b">
        <f t="shared" ca="1" si="2"/>
        <v>0</v>
      </c>
    </row>
    <row r="43" spans="2:58" ht="14.25" customHeight="1">
      <c r="B43" s="582"/>
      <c r="C43" s="583"/>
      <c r="D43" s="573" t="str">
        <f t="shared" ca="1" si="3"/>
        <v>Garantizar que los empleados se capaciten usando/revisando la información del país en F2Zoom o F2</v>
      </c>
      <c r="E43" s="573"/>
      <c r="F43" s="324"/>
      <c r="G43" s="324" t="str">
        <f>"       "&amp;VLOOKUP($I$1,$AK$4:$AO$8,4,FALSE)</f>
        <v xml:space="preserve">       Si</v>
      </c>
      <c r="H43" s="323" t="str">
        <f>"       "&amp;VLOOKUP($I$1,$AK$4:$AO$8,5,FALSE)</f>
        <v xml:space="preserve">       No</v>
      </c>
      <c r="L43" s="306"/>
      <c r="M43" s="306" t="s">
        <v>4678</v>
      </c>
      <c r="N43" s="306"/>
      <c r="O43" s="306"/>
      <c r="P43" s="306"/>
      <c r="Q43" t="s">
        <v>42</v>
      </c>
      <c r="R43" s="306"/>
      <c r="S43" s="306" t="s">
        <v>4679</v>
      </c>
      <c r="T43" s="306"/>
      <c r="U43" s="306"/>
      <c r="V43" s="306"/>
      <c r="W43" t="s">
        <v>42</v>
      </c>
      <c r="X43" s="306"/>
      <c r="Y43" s="306" t="s">
        <v>4680</v>
      </c>
      <c r="Z43" s="306"/>
      <c r="AA43" s="309"/>
      <c r="AB43" s="306"/>
      <c r="AC43" t="s">
        <v>42</v>
      </c>
      <c r="AD43" s="306"/>
      <c r="AE43" s="306" t="s">
        <v>4681</v>
      </c>
      <c r="AF43" s="306"/>
      <c r="AG43" s="306"/>
      <c r="AH43" s="306"/>
      <c r="AI43" t="s">
        <v>42</v>
      </c>
      <c r="AZ43" s="322" t="s">
        <v>4682</v>
      </c>
      <c r="BA43" s="7" t="str">
        <f ca="1">IFERROR(IF(VLOOKUP(AZ43,CallTb[[#All],[iWatch '#]:[QNumber]],6,FALSE)=0,"",VLOOKUP(AZ43,CallTb[[#All],[iWatch '#]:[QNumber]],6,FALSE)),"")</f>
        <v/>
      </c>
      <c r="BB43" s="7" t="str">
        <f ca="1">IFERROR(IF(VLOOKUP(AZ43,CallTb[[#All],[iWatch '#]:[QNumber]],7,FALSE)=0,"",VLOOKUP(AZ43,CallTb[[#All],[iWatch '#]:[QNumber]],7,FALSE)),"")</f>
        <v/>
      </c>
      <c r="BD43" t="b">
        <f t="shared" ca="1" si="0"/>
        <v>0</v>
      </c>
      <c r="BE43" t="b">
        <f t="shared" ca="1" si="1"/>
        <v>0</v>
      </c>
      <c r="BF43" t="b">
        <f t="shared" ca="1" si="2"/>
        <v>0</v>
      </c>
    </row>
    <row r="44" spans="2:58" ht="15" thickBot="1">
      <c r="B44" s="321"/>
      <c r="C44" s="320" t="str">
        <f ca="1">OFFSET(L44,0,VLOOKUP($I$1,$AK$4:$AL$8,2,FALSE))</f>
        <v>COMENTARIOS/OTROS</v>
      </c>
      <c r="D44" s="318"/>
      <c r="E44" s="319"/>
      <c r="F44" s="318"/>
      <c r="G44" s="318"/>
      <c r="H44" s="317"/>
      <c r="L44" s="307" t="s">
        <v>4683</v>
      </c>
      <c r="M44" s="306"/>
      <c r="N44" s="306"/>
      <c r="O44" s="306"/>
      <c r="P44" s="306"/>
      <c r="Q44" t="s">
        <v>42</v>
      </c>
      <c r="R44" s="307" t="s">
        <v>4684</v>
      </c>
      <c r="S44" s="306"/>
      <c r="T44" s="306"/>
      <c r="U44" s="306"/>
      <c r="V44" s="306"/>
      <c r="W44" t="s">
        <v>42</v>
      </c>
      <c r="X44" s="307" t="s">
        <v>4685</v>
      </c>
      <c r="Y44" s="306"/>
      <c r="Z44" s="306"/>
      <c r="AA44" s="309"/>
      <c r="AB44" s="306"/>
      <c r="AC44" t="s">
        <v>42</v>
      </c>
      <c r="AD44" s="307" t="s">
        <v>4686</v>
      </c>
      <c r="AE44" s="306"/>
      <c r="AF44" s="306"/>
      <c r="AG44" s="306"/>
      <c r="AH44" s="306"/>
      <c r="AI44" t="s">
        <v>42</v>
      </c>
    </row>
    <row r="45" spans="2:58" ht="14.25" customHeight="1" thickBot="1">
      <c r="L45" s="306"/>
      <c r="M45" s="306"/>
      <c r="N45" s="306"/>
      <c r="O45" s="306"/>
      <c r="P45" s="306"/>
      <c r="Q45" t="s">
        <v>42</v>
      </c>
      <c r="R45" s="306"/>
      <c r="S45" s="306"/>
      <c r="T45" s="306"/>
      <c r="U45" s="306"/>
      <c r="V45" s="306"/>
      <c r="W45" t="s">
        <v>42</v>
      </c>
      <c r="X45" s="306"/>
      <c r="Y45" s="306"/>
      <c r="Z45" s="306"/>
      <c r="AA45" s="309"/>
      <c r="AB45" s="306"/>
      <c r="AC45" t="s">
        <v>42</v>
      </c>
      <c r="AD45" s="306"/>
      <c r="AE45" s="306"/>
      <c r="AF45" s="306"/>
      <c r="AG45" s="306"/>
      <c r="AH45" s="306"/>
      <c r="AI45" t="s">
        <v>42</v>
      </c>
    </row>
    <row r="46" spans="2:58" ht="51.75" customHeight="1" thickBot="1">
      <c r="B46" s="600" t="str">
        <f ca="1">OFFSET(L46,0,VLOOKUP($I$1,$AK$4:$AL$8,2,FALSE))</f>
        <v>Tenga en cuenta que: Como resultado de la visita, Western Union puede determinar que es necesario suspender o finalizar los servicios de Western Union, considerando la cantidad de hallazgos que se detecten, o la gravedad de los mismos. Si esta revisión se realiza extra-situ, se debe firmar una copia de esta lista de acciones devolverla al oficial de cumplimiento de Western Union.
Al firmar, reconozco que la información anterior ha sido revisada</v>
      </c>
      <c r="C46" s="601"/>
      <c r="D46" s="601"/>
      <c r="E46" s="601"/>
      <c r="F46" s="601"/>
      <c r="G46" s="601"/>
      <c r="H46" s="602"/>
      <c r="L46" s="316" t="s">
        <v>4687</v>
      </c>
      <c r="M46" s="306"/>
      <c r="N46" s="306"/>
      <c r="O46" s="306"/>
      <c r="P46" s="306"/>
      <c r="Q46" t="s">
        <v>42</v>
      </c>
      <c r="R46" s="307" t="s">
        <v>4688</v>
      </c>
      <c r="S46" s="306"/>
      <c r="T46" s="306"/>
      <c r="U46" s="306"/>
      <c r="V46" s="306"/>
      <c r="W46" t="s">
        <v>42</v>
      </c>
      <c r="X46" s="307" t="s">
        <v>4689</v>
      </c>
      <c r="Y46" s="306"/>
      <c r="Z46" s="306"/>
      <c r="AA46" s="309"/>
      <c r="AB46" s="306"/>
      <c r="AC46" t="s">
        <v>42</v>
      </c>
      <c r="AD46" s="307" t="s">
        <v>4690</v>
      </c>
      <c r="AE46" s="306"/>
      <c r="AF46" s="306"/>
      <c r="AG46" s="306"/>
      <c r="AH46" s="306"/>
      <c r="AI46" t="s">
        <v>42</v>
      </c>
    </row>
    <row r="47" spans="2:58" ht="24.75" customHeight="1">
      <c r="B47" s="579" t="str">
        <f ca="1">OFFSET(L47,0,VLOOKUP($I$1,$AK$4:$AL$8,2,FALSE))</f>
        <v>NOMBRE DEL REPRESENTANTE DEL AGENTE</v>
      </c>
      <c r="C47" s="580"/>
      <c r="D47" s="581"/>
      <c r="E47" s="315" t="str">
        <f ca="1">OFFSET(M47,0,VLOOKUP($I$1,$AK$4:$AL$8,2,FALSE))</f>
        <v>FIRMA DEL REPRESENTANTE DEL AGENTE</v>
      </c>
      <c r="F47" s="603" t="str">
        <f ca="1">OFFSET(N47,0,VLOOKUP($I$1,$AK$4:$AL$8,2,FALSE))</f>
        <v>Fecha</v>
      </c>
      <c r="G47" s="604"/>
      <c r="H47" s="605"/>
      <c r="L47" s="306" t="s">
        <v>4691</v>
      </c>
      <c r="M47" s="306" t="s">
        <v>4692</v>
      </c>
      <c r="N47" s="306" t="s">
        <v>4693</v>
      </c>
      <c r="O47" s="306"/>
      <c r="P47" s="306"/>
      <c r="Q47" t="s">
        <v>42</v>
      </c>
      <c r="R47" s="306" t="s">
        <v>4694</v>
      </c>
      <c r="S47" s="306" t="s">
        <v>4695</v>
      </c>
      <c r="T47" s="306" t="s">
        <v>4696</v>
      </c>
      <c r="U47" s="306"/>
      <c r="V47" s="306"/>
      <c r="W47" t="s">
        <v>42</v>
      </c>
      <c r="X47" s="306" t="s">
        <v>4697</v>
      </c>
      <c r="Y47" s="306" t="s">
        <v>4698</v>
      </c>
      <c r="Z47" s="306" t="s">
        <v>4693</v>
      </c>
      <c r="AA47" s="309"/>
      <c r="AB47" s="306"/>
      <c r="AC47" t="s">
        <v>42</v>
      </c>
      <c r="AD47" s="306" t="s">
        <v>4699</v>
      </c>
      <c r="AE47" s="306" t="s">
        <v>4700</v>
      </c>
      <c r="AF47" s="306" t="s">
        <v>4701</v>
      </c>
      <c r="AG47" s="306"/>
      <c r="AH47" s="306"/>
      <c r="AI47" t="s">
        <v>42</v>
      </c>
    </row>
    <row r="48" spans="2:58" ht="41.25" customHeight="1" thickBot="1">
      <c r="B48" s="576" t="s">
        <v>4702</v>
      </c>
      <c r="C48" s="577"/>
      <c r="D48" s="578"/>
      <c r="E48" s="314" t="s">
        <v>4702</v>
      </c>
      <c r="F48" s="606"/>
      <c r="G48" s="607"/>
      <c r="H48" s="608"/>
      <c r="L48" s="306"/>
      <c r="M48" s="306"/>
      <c r="N48" s="306"/>
      <c r="O48" s="306"/>
      <c r="P48" s="306"/>
      <c r="Q48" t="s">
        <v>42</v>
      </c>
      <c r="R48" s="306"/>
      <c r="S48" s="306"/>
      <c r="T48" s="306"/>
      <c r="U48" s="306"/>
      <c r="V48" s="306"/>
      <c r="W48" t="s">
        <v>42</v>
      </c>
      <c r="X48" s="306"/>
      <c r="Y48" s="306"/>
      <c r="Z48" s="306"/>
      <c r="AA48" s="309"/>
      <c r="AB48" s="306"/>
      <c r="AC48" t="s">
        <v>42</v>
      </c>
      <c r="AD48" s="306"/>
      <c r="AE48" s="306"/>
      <c r="AF48" s="306"/>
      <c r="AG48" s="306"/>
      <c r="AH48" s="306"/>
      <c r="AI48" t="s">
        <v>42</v>
      </c>
    </row>
    <row r="49" spans="2:35" ht="15" thickBot="1">
      <c r="B49" s="313"/>
      <c r="C49" s="312"/>
      <c r="D49" s="312"/>
      <c r="E49" s="312"/>
      <c r="F49" s="312"/>
      <c r="G49" s="312"/>
      <c r="H49" s="311"/>
      <c r="L49" s="306"/>
      <c r="M49" s="306"/>
      <c r="N49" s="306"/>
      <c r="O49" s="306"/>
      <c r="P49" s="306"/>
      <c r="Q49" t="s">
        <v>42</v>
      </c>
      <c r="R49" s="306"/>
      <c r="S49" s="306"/>
      <c r="T49" s="306"/>
      <c r="U49" s="306"/>
      <c r="V49" s="306"/>
      <c r="W49" t="s">
        <v>42</v>
      </c>
      <c r="X49" s="306"/>
      <c r="Y49" s="306"/>
      <c r="Z49" s="306"/>
      <c r="AA49" s="309"/>
      <c r="AB49" s="306"/>
      <c r="AC49" t="s">
        <v>42</v>
      </c>
      <c r="AD49" s="306"/>
      <c r="AE49" s="306"/>
      <c r="AF49" s="306"/>
      <c r="AG49" s="306"/>
      <c r="AH49" s="306"/>
      <c r="AI49" t="s">
        <v>42</v>
      </c>
    </row>
    <row r="50" spans="2:35" ht="24" customHeight="1">
      <c r="B50" s="579" t="str">
        <f ca="1">OFFSET(L50,0,VLOOKUP($I$1,$AK$4:$AL$8,2,FALSE))</f>
        <v>NOMBRE DEL REPRESENTANTE DE WESTERN UNION:</v>
      </c>
      <c r="C50" s="580"/>
      <c r="D50" s="581"/>
      <c r="E50" s="310" t="str">
        <f ca="1">OFFSET(M50,0,VLOOKUP($I$1,$AK$4:$AL$8,2,FALSE))</f>
        <v>FIRMA DEL REPRESENTANTE DE WESTERN UNION:</v>
      </c>
      <c r="F50" s="603" t="str">
        <f ca="1">OFFSET(N50,0,VLOOKUP($I$1,$AK$4:$AL$8,2,FALSE))</f>
        <v>Fecha</v>
      </c>
      <c r="G50" s="604"/>
      <c r="H50" s="605"/>
      <c r="L50" s="306" t="s">
        <v>4703</v>
      </c>
      <c r="M50" s="306" t="s">
        <v>4704</v>
      </c>
      <c r="N50" s="306" t="s">
        <v>4693</v>
      </c>
      <c r="O50" s="306"/>
      <c r="P50" s="306"/>
      <c r="Q50" t="s">
        <v>42</v>
      </c>
      <c r="R50" s="306" t="s">
        <v>4705</v>
      </c>
      <c r="S50" s="306" t="s">
        <v>4706</v>
      </c>
      <c r="T50" s="306" t="s">
        <v>4696</v>
      </c>
      <c r="U50" s="306"/>
      <c r="V50" s="306"/>
      <c r="W50" t="s">
        <v>42</v>
      </c>
      <c r="X50" s="306" t="s">
        <v>4707</v>
      </c>
      <c r="Y50" s="306" t="s">
        <v>4708</v>
      </c>
      <c r="Z50" s="306" t="s">
        <v>4693</v>
      </c>
      <c r="AA50" s="309"/>
      <c r="AB50" s="306"/>
      <c r="AC50" t="s">
        <v>42</v>
      </c>
      <c r="AD50" s="306" t="s">
        <v>4709</v>
      </c>
      <c r="AE50" s="306" t="s">
        <v>4710</v>
      </c>
      <c r="AF50" s="306" t="s">
        <v>4701</v>
      </c>
      <c r="AG50" s="306"/>
      <c r="AH50" s="306"/>
      <c r="AI50" t="s">
        <v>42</v>
      </c>
    </row>
    <row r="51" spans="2:35" ht="41.25" customHeight="1" thickBot="1">
      <c r="B51" s="576" t="s">
        <v>4702</v>
      </c>
      <c r="C51" s="577"/>
      <c r="D51" s="578"/>
      <c r="E51" s="308" t="s">
        <v>4702</v>
      </c>
      <c r="F51" s="606"/>
      <c r="G51" s="607"/>
      <c r="H51" s="608"/>
      <c r="L51" s="306"/>
      <c r="M51" s="306"/>
      <c r="N51" s="306"/>
      <c r="O51" s="306"/>
      <c r="P51" s="306"/>
      <c r="Q51" t="s">
        <v>42</v>
      </c>
      <c r="R51" s="306"/>
      <c r="S51" s="306"/>
      <c r="T51" s="306"/>
      <c r="U51" s="306"/>
      <c r="V51" s="306"/>
      <c r="W51" t="s">
        <v>42</v>
      </c>
      <c r="X51" s="306"/>
      <c r="Y51" s="306"/>
      <c r="Z51" s="306"/>
      <c r="AA51" s="306"/>
      <c r="AB51" s="306"/>
      <c r="AC51" t="s">
        <v>42</v>
      </c>
      <c r="AD51" s="306"/>
      <c r="AE51" s="306"/>
      <c r="AF51" s="306"/>
      <c r="AG51" s="306"/>
      <c r="AH51" s="306"/>
      <c r="AI51" t="s">
        <v>42</v>
      </c>
    </row>
    <row r="52" spans="2:35" ht="24.75" customHeight="1" thickBot="1">
      <c r="B52" s="595" t="s">
        <v>4711</v>
      </c>
      <c r="C52" s="596"/>
      <c r="D52" s="596"/>
      <c r="E52" s="593" t="s">
        <v>4712</v>
      </c>
      <c r="F52" s="593"/>
      <c r="G52" s="593"/>
      <c r="H52" s="594"/>
      <c r="L52" s="307" t="s">
        <v>4711</v>
      </c>
      <c r="M52" s="306" t="s">
        <v>4712</v>
      </c>
      <c r="N52" s="306"/>
      <c r="O52" s="306"/>
      <c r="P52" s="306"/>
      <c r="Q52" t="s">
        <v>42</v>
      </c>
      <c r="R52" s="307" t="s">
        <v>4713</v>
      </c>
      <c r="S52" s="306" t="s">
        <v>4714</v>
      </c>
      <c r="T52" s="306"/>
      <c r="U52" s="306"/>
      <c r="V52" s="306"/>
      <c r="W52" t="s">
        <v>42</v>
      </c>
      <c r="X52" s="307" t="s">
        <v>4715</v>
      </c>
      <c r="Y52" s="306" t="s">
        <v>4716</v>
      </c>
      <c r="Z52" s="306"/>
      <c r="AA52" s="306"/>
      <c r="AB52" s="306"/>
      <c r="AC52" t="s">
        <v>42</v>
      </c>
      <c r="AD52" s="307" t="s">
        <v>4717</v>
      </c>
      <c r="AE52" s="306" t="s">
        <v>4718</v>
      </c>
      <c r="AF52" s="306"/>
      <c r="AG52" s="306"/>
      <c r="AH52" s="306"/>
      <c r="AI52" t="s">
        <v>42</v>
      </c>
    </row>
    <row r="53" spans="2:35" ht="27" customHeight="1" thickBot="1">
      <c r="B53" s="589" t="str">
        <f ca="1">OFFSET(L53,0,VLOOKUP($I$1,$AK$4:$AL$8,2,FALSE))</f>
        <v>©2018 Western Union Holdings Inc. Todos los derechos reservados. CONFIDENCIAL. V1.3_6-19-2018</v>
      </c>
      <c r="C53" s="590"/>
      <c r="D53" s="591"/>
      <c r="E53" s="592" t="s">
        <v>4719</v>
      </c>
      <c r="F53" s="593"/>
      <c r="G53" s="593"/>
      <c r="H53" s="594"/>
      <c r="L53" s="306" t="s">
        <v>4720</v>
      </c>
      <c r="M53" s="306" t="s">
        <v>4719</v>
      </c>
      <c r="N53" s="306"/>
      <c r="O53" s="306"/>
      <c r="P53" s="306"/>
      <c r="Q53" t="s">
        <v>42</v>
      </c>
      <c r="R53" s="306" t="s">
        <v>4721</v>
      </c>
      <c r="S53" s="306" t="s">
        <v>4722</v>
      </c>
      <c r="T53" s="306"/>
      <c r="U53" s="306"/>
      <c r="V53" s="306"/>
      <c r="W53" t="s">
        <v>42</v>
      </c>
      <c r="X53" s="306" t="s">
        <v>4723</v>
      </c>
      <c r="Y53" s="306" t="s">
        <v>4724</v>
      </c>
      <c r="Z53" s="306"/>
      <c r="AA53" s="306"/>
      <c r="AB53" s="306"/>
      <c r="AC53" t="s">
        <v>42</v>
      </c>
      <c r="AD53" s="306" t="s">
        <v>4725</v>
      </c>
      <c r="AE53" s="306" t="s">
        <v>4726</v>
      </c>
      <c r="AF53" s="306"/>
      <c r="AG53" s="306"/>
      <c r="AH53" s="306"/>
      <c r="AI53" t="s">
        <v>42</v>
      </c>
    </row>
  </sheetData>
  <sheetProtection autoFilter="0"/>
  <mergeCells count="83">
    <mergeCell ref="R1:V1"/>
    <mergeCell ref="L1:P1"/>
    <mergeCell ref="X1:AB1"/>
    <mergeCell ref="AD1:AH1"/>
    <mergeCell ref="D16:E16"/>
    <mergeCell ref="BE4:BF4"/>
    <mergeCell ref="BD3:BF3"/>
    <mergeCell ref="F3:H4"/>
    <mergeCell ref="B35:B38"/>
    <mergeCell ref="C35:C38"/>
    <mergeCell ref="B6:B9"/>
    <mergeCell ref="G5:H5"/>
    <mergeCell ref="C14:C16"/>
    <mergeCell ref="B17:B20"/>
    <mergeCell ref="C17:C20"/>
    <mergeCell ref="D38:E38"/>
    <mergeCell ref="B25:B26"/>
    <mergeCell ref="C25:C26"/>
    <mergeCell ref="D21:E21"/>
    <mergeCell ref="B4:E4"/>
    <mergeCell ref="C6:C9"/>
    <mergeCell ref="B50:D50"/>
    <mergeCell ref="F50:H50"/>
    <mergeCell ref="B51:D51"/>
    <mergeCell ref="F51:H51"/>
    <mergeCell ref="B27:B30"/>
    <mergeCell ref="C27:C30"/>
    <mergeCell ref="B31:B34"/>
    <mergeCell ref="C31:C34"/>
    <mergeCell ref="F47:H47"/>
    <mergeCell ref="F48:H48"/>
    <mergeCell ref="B14:B16"/>
    <mergeCell ref="D37:E37"/>
    <mergeCell ref="D20:E20"/>
    <mergeCell ref="B46:H46"/>
    <mergeCell ref="D23:E23"/>
    <mergeCell ref="D14:E14"/>
    <mergeCell ref="D15:E15"/>
    <mergeCell ref="D32:E32"/>
    <mergeCell ref="D31:E31"/>
    <mergeCell ref="D33:E33"/>
    <mergeCell ref="D34:E34"/>
    <mergeCell ref="D35:E35"/>
    <mergeCell ref="D36:E36"/>
    <mergeCell ref="D28:E28"/>
    <mergeCell ref="D17:E17"/>
    <mergeCell ref="D18:E18"/>
    <mergeCell ref="B53:D53"/>
    <mergeCell ref="E53:H53"/>
    <mergeCell ref="B52:D52"/>
    <mergeCell ref="E52:H52"/>
    <mergeCell ref="D5:E5"/>
    <mergeCell ref="D6:E6"/>
    <mergeCell ref="D7:E7"/>
    <mergeCell ref="D8:E8"/>
    <mergeCell ref="D9:E9"/>
    <mergeCell ref="B10:B13"/>
    <mergeCell ref="C10:C13"/>
    <mergeCell ref="B21:B24"/>
    <mergeCell ref="C21:C24"/>
    <mergeCell ref="D39:E39"/>
    <mergeCell ref="D29:E29"/>
    <mergeCell ref="D30:E30"/>
    <mergeCell ref="D22:E22"/>
    <mergeCell ref="D10:E10"/>
    <mergeCell ref="D11:E11"/>
    <mergeCell ref="D12:E12"/>
    <mergeCell ref="D13:E13"/>
    <mergeCell ref="D19:E19"/>
    <mergeCell ref="D24:E24"/>
    <mergeCell ref="D25:E25"/>
    <mergeCell ref="D26:E26"/>
    <mergeCell ref="D27:E27"/>
    <mergeCell ref="B48:D48"/>
    <mergeCell ref="D41:E41"/>
    <mergeCell ref="D42:E42"/>
    <mergeCell ref="D43:E43"/>
    <mergeCell ref="B47:D47"/>
    <mergeCell ref="B41:B43"/>
    <mergeCell ref="C41:C43"/>
    <mergeCell ref="B39:B40"/>
    <mergeCell ref="C39:C40"/>
    <mergeCell ref="D40:E40"/>
  </mergeCells>
  <pageMargins left="0.2" right="0.11" top="0.43" bottom="0.48" header="0.3" footer="0.3"/>
  <pageSetup scale="59" orientation="portrait" horizontalDpi="300" verticalDpi="300" r:id="rId1"/>
  <headerFooter>
    <oddFooter>&amp;L&amp;1#&amp;"Calibri"&amp;10&amp;K000000Classification: Western Union Unrestricted Internal</oddFooter>
  </headerFooter>
  <customProperties>
    <customPr name="workbookAdvencedSettings" r:id="rId2"/>
    <customPr name="workbookExecutionSettings" r:id="rId3"/>
    <customPr name="workbookGatewaySettings"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6145" r:id="rId7" name="Check Box 1">
              <controlPr locked="0" defaultSize="0" autoFill="0" autoLine="0" autoPict="0">
                <anchor>
                  <from>
                    <xdr:col>10</xdr:col>
                    <xdr:colOff>133350</xdr:colOff>
                    <xdr:row>4</xdr:row>
                    <xdr:rowOff>171450</xdr:rowOff>
                  </from>
                  <to>
                    <xdr:col>11</xdr:col>
                    <xdr:colOff>222250</xdr:colOff>
                    <xdr:row>6</xdr:row>
                    <xdr:rowOff>25400</xdr:rowOff>
                  </to>
                </anchor>
              </controlPr>
            </control>
          </mc:Choice>
        </mc:AlternateContent>
        <mc:AlternateContent xmlns:mc="http://schemas.openxmlformats.org/markup-compatibility/2006">
          <mc:Choice Requires="x14">
            <control shapeId="6146" r:id="rId8" name="Check Box 2">
              <controlPr defaultSize="0" autoFill="0" autoLine="0" autoPict="0">
                <anchor>
                  <from>
                    <xdr:col>6</xdr:col>
                    <xdr:colOff>304800</xdr:colOff>
                    <xdr:row>4</xdr:row>
                    <xdr:rowOff>139700</xdr:rowOff>
                  </from>
                  <to>
                    <xdr:col>6</xdr:col>
                    <xdr:colOff>558800</xdr:colOff>
                    <xdr:row>5</xdr:row>
                    <xdr:rowOff>177800</xdr:rowOff>
                  </to>
                </anchor>
              </controlPr>
            </control>
          </mc:Choice>
        </mc:AlternateContent>
        <mc:AlternateContent xmlns:mc="http://schemas.openxmlformats.org/markup-compatibility/2006">
          <mc:Choice Requires="x14">
            <control shapeId="6147" r:id="rId9" name="Check Box 3">
              <controlPr locked="0" defaultSize="0" autoFill="0" autoLine="0" autoPict="0">
                <anchor>
                  <from>
                    <xdr:col>6</xdr:col>
                    <xdr:colOff>88900</xdr:colOff>
                    <xdr:row>4</xdr:row>
                    <xdr:rowOff>171450</xdr:rowOff>
                  </from>
                  <to>
                    <xdr:col>6</xdr:col>
                    <xdr:colOff>355600</xdr:colOff>
                    <xdr:row>6</xdr:row>
                    <xdr:rowOff>12700</xdr:rowOff>
                  </to>
                </anchor>
              </controlPr>
            </control>
          </mc:Choice>
        </mc:AlternateContent>
        <mc:AlternateContent xmlns:mc="http://schemas.openxmlformats.org/markup-compatibility/2006">
          <mc:Choice Requires="x14">
            <control shapeId="6148" r:id="rId10" name="Check Box 4">
              <controlPr locked="0" defaultSize="0" autoFill="0" autoLine="0" autoPict="0">
                <anchor>
                  <from>
                    <xdr:col>10</xdr:col>
                    <xdr:colOff>133350</xdr:colOff>
                    <xdr:row>5</xdr:row>
                    <xdr:rowOff>165100</xdr:rowOff>
                  </from>
                  <to>
                    <xdr:col>11</xdr:col>
                    <xdr:colOff>222250</xdr:colOff>
                    <xdr:row>7</xdr:row>
                    <xdr:rowOff>19050</xdr:rowOff>
                  </to>
                </anchor>
              </controlPr>
            </control>
          </mc:Choice>
        </mc:AlternateContent>
        <mc:AlternateContent xmlns:mc="http://schemas.openxmlformats.org/markup-compatibility/2006">
          <mc:Choice Requires="x14">
            <control shapeId="6149" r:id="rId11" name="Check Box 5">
              <controlPr defaultSize="0" autoFill="0" autoLine="0" autoPict="0">
                <anchor>
                  <from>
                    <xdr:col>6</xdr:col>
                    <xdr:colOff>304800</xdr:colOff>
                    <xdr:row>5</xdr:row>
                    <xdr:rowOff>133350</xdr:rowOff>
                  </from>
                  <to>
                    <xdr:col>6</xdr:col>
                    <xdr:colOff>558800</xdr:colOff>
                    <xdr:row>6</xdr:row>
                    <xdr:rowOff>171450</xdr:rowOff>
                  </to>
                </anchor>
              </controlPr>
            </control>
          </mc:Choice>
        </mc:AlternateContent>
        <mc:AlternateContent xmlns:mc="http://schemas.openxmlformats.org/markup-compatibility/2006">
          <mc:Choice Requires="x14">
            <control shapeId="6150" r:id="rId12" name="Check Box 6">
              <controlPr locked="0" defaultSize="0" autoFill="0" autoLine="0" autoPict="0">
                <anchor>
                  <from>
                    <xdr:col>6</xdr:col>
                    <xdr:colOff>88900</xdr:colOff>
                    <xdr:row>5</xdr:row>
                    <xdr:rowOff>158750</xdr:rowOff>
                  </from>
                  <to>
                    <xdr:col>6</xdr:col>
                    <xdr:colOff>355600</xdr:colOff>
                    <xdr:row>7</xdr:row>
                    <xdr:rowOff>0</xdr:rowOff>
                  </to>
                </anchor>
              </controlPr>
            </control>
          </mc:Choice>
        </mc:AlternateContent>
        <mc:AlternateContent xmlns:mc="http://schemas.openxmlformats.org/markup-compatibility/2006">
          <mc:Choice Requires="x14">
            <control shapeId="6151" r:id="rId13" name="Check Box 7">
              <controlPr locked="0" defaultSize="0" autoFill="0" autoLine="0" autoPict="0">
                <anchor>
                  <from>
                    <xdr:col>10</xdr:col>
                    <xdr:colOff>133350</xdr:colOff>
                    <xdr:row>7</xdr:row>
                    <xdr:rowOff>57150</xdr:rowOff>
                  </from>
                  <to>
                    <xdr:col>11</xdr:col>
                    <xdr:colOff>222250</xdr:colOff>
                    <xdr:row>7</xdr:row>
                    <xdr:rowOff>279400</xdr:rowOff>
                  </to>
                </anchor>
              </controlPr>
            </control>
          </mc:Choice>
        </mc:AlternateContent>
        <mc:AlternateContent xmlns:mc="http://schemas.openxmlformats.org/markup-compatibility/2006">
          <mc:Choice Requires="x14">
            <control shapeId="6152" r:id="rId14" name="Check Box 8">
              <controlPr defaultSize="0" autoFill="0" autoLine="0" autoPict="0">
                <anchor>
                  <from>
                    <xdr:col>6</xdr:col>
                    <xdr:colOff>304800</xdr:colOff>
                    <xdr:row>7</xdr:row>
                    <xdr:rowOff>38100</xdr:rowOff>
                  </from>
                  <to>
                    <xdr:col>6</xdr:col>
                    <xdr:colOff>558800</xdr:colOff>
                    <xdr:row>7</xdr:row>
                    <xdr:rowOff>260350</xdr:rowOff>
                  </to>
                </anchor>
              </controlPr>
            </control>
          </mc:Choice>
        </mc:AlternateContent>
        <mc:AlternateContent xmlns:mc="http://schemas.openxmlformats.org/markup-compatibility/2006">
          <mc:Choice Requires="x14">
            <control shapeId="6153" r:id="rId15" name="Check Box 9">
              <controlPr locked="0" defaultSize="0" autoFill="0" autoLine="0" autoPict="0">
                <anchor>
                  <from>
                    <xdr:col>6</xdr:col>
                    <xdr:colOff>88900</xdr:colOff>
                    <xdr:row>7</xdr:row>
                    <xdr:rowOff>50800</xdr:rowOff>
                  </from>
                  <to>
                    <xdr:col>6</xdr:col>
                    <xdr:colOff>355600</xdr:colOff>
                    <xdr:row>7</xdr:row>
                    <xdr:rowOff>273050</xdr:rowOff>
                  </to>
                </anchor>
              </controlPr>
            </control>
          </mc:Choice>
        </mc:AlternateContent>
        <mc:AlternateContent xmlns:mc="http://schemas.openxmlformats.org/markup-compatibility/2006">
          <mc:Choice Requires="x14">
            <control shapeId="6154" r:id="rId16" name="Check Box 10">
              <controlPr locked="0" defaultSize="0" autoFill="0" autoLine="0" autoPict="0">
                <anchor>
                  <from>
                    <xdr:col>10</xdr:col>
                    <xdr:colOff>133350</xdr:colOff>
                    <xdr:row>7</xdr:row>
                    <xdr:rowOff>317500</xdr:rowOff>
                  </from>
                  <to>
                    <xdr:col>11</xdr:col>
                    <xdr:colOff>222250</xdr:colOff>
                    <xdr:row>9</xdr:row>
                    <xdr:rowOff>6350</xdr:rowOff>
                  </to>
                </anchor>
              </controlPr>
            </control>
          </mc:Choice>
        </mc:AlternateContent>
        <mc:AlternateContent xmlns:mc="http://schemas.openxmlformats.org/markup-compatibility/2006">
          <mc:Choice Requires="x14">
            <control shapeId="6155" r:id="rId17" name="Check Box 11">
              <controlPr defaultSize="0" autoFill="0" autoLine="0" autoPict="0">
                <anchor>
                  <from>
                    <xdr:col>6</xdr:col>
                    <xdr:colOff>304800</xdr:colOff>
                    <xdr:row>7</xdr:row>
                    <xdr:rowOff>298450</xdr:rowOff>
                  </from>
                  <to>
                    <xdr:col>6</xdr:col>
                    <xdr:colOff>558800</xdr:colOff>
                    <xdr:row>8</xdr:row>
                    <xdr:rowOff>177800</xdr:rowOff>
                  </to>
                </anchor>
              </controlPr>
            </control>
          </mc:Choice>
        </mc:AlternateContent>
        <mc:AlternateContent xmlns:mc="http://schemas.openxmlformats.org/markup-compatibility/2006">
          <mc:Choice Requires="x14">
            <control shapeId="6156" r:id="rId18" name="Check Box 12">
              <controlPr locked="0" defaultSize="0" autoFill="0" autoLine="0" autoPict="0">
                <anchor>
                  <from>
                    <xdr:col>6</xdr:col>
                    <xdr:colOff>88900</xdr:colOff>
                    <xdr:row>7</xdr:row>
                    <xdr:rowOff>311150</xdr:rowOff>
                  </from>
                  <to>
                    <xdr:col>6</xdr:col>
                    <xdr:colOff>355600</xdr:colOff>
                    <xdr:row>9</xdr:row>
                    <xdr:rowOff>0</xdr:rowOff>
                  </to>
                </anchor>
              </controlPr>
            </control>
          </mc:Choice>
        </mc:AlternateContent>
        <mc:AlternateContent xmlns:mc="http://schemas.openxmlformats.org/markup-compatibility/2006">
          <mc:Choice Requires="x14">
            <control shapeId="6157" r:id="rId19" name="Check Box 13">
              <controlPr locked="0" defaultSize="0" autoFill="0" autoLine="0" autoPict="0">
                <anchor>
                  <from>
                    <xdr:col>10</xdr:col>
                    <xdr:colOff>133350</xdr:colOff>
                    <xdr:row>8</xdr:row>
                    <xdr:rowOff>171450</xdr:rowOff>
                  </from>
                  <to>
                    <xdr:col>11</xdr:col>
                    <xdr:colOff>222250</xdr:colOff>
                    <xdr:row>10</xdr:row>
                    <xdr:rowOff>25400</xdr:rowOff>
                  </to>
                </anchor>
              </controlPr>
            </control>
          </mc:Choice>
        </mc:AlternateContent>
        <mc:AlternateContent xmlns:mc="http://schemas.openxmlformats.org/markup-compatibility/2006">
          <mc:Choice Requires="x14">
            <control shapeId="6158" r:id="rId20" name="Check Box 14">
              <controlPr defaultSize="0" autoFill="0" autoLine="0" autoPict="0">
                <anchor>
                  <from>
                    <xdr:col>6</xdr:col>
                    <xdr:colOff>304800</xdr:colOff>
                    <xdr:row>8</xdr:row>
                    <xdr:rowOff>158750</xdr:rowOff>
                  </from>
                  <to>
                    <xdr:col>6</xdr:col>
                    <xdr:colOff>558800</xdr:colOff>
                    <xdr:row>10</xdr:row>
                    <xdr:rowOff>12700</xdr:rowOff>
                  </to>
                </anchor>
              </controlPr>
            </control>
          </mc:Choice>
        </mc:AlternateContent>
        <mc:AlternateContent xmlns:mc="http://schemas.openxmlformats.org/markup-compatibility/2006">
          <mc:Choice Requires="x14">
            <control shapeId="6159" r:id="rId21" name="Check Box 15">
              <controlPr locked="0" defaultSize="0" autoFill="0" autoLine="0" autoPict="0">
                <anchor>
                  <from>
                    <xdr:col>6</xdr:col>
                    <xdr:colOff>88900</xdr:colOff>
                    <xdr:row>8</xdr:row>
                    <xdr:rowOff>165100</xdr:rowOff>
                  </from>
                  <to>
                    <xdr:col>6</xdr:col>
                    <xdr:colOff>355600</xdr:colOff>
                    <xdr:row>10</xdr:row>
                    <xdr:rowOff>6350</xdr:rowOff>
                  </to>
                </anchor>
              </controlPr>
            </control>
          </mc:Choice>
        </mc:AlternateContent>
        <mc:AlternateContent xmlns:mc="http://schemas.openxmlformats.org/markup-compatibility/2006">
          <mc:Choice Requires="x14">
            <control shapeId="6160" r:id="rId22" name="Check Box 16">
              <controlPr locked="0" defaultSize="0" autoFill="0" autoLine="0" autoPict="0">
                <anchor>
                  <from>
                    <xdr:col>10</xdr:col>
                    <xdr:colOff>133350</xdr:colOff>
                    <xdr:row>10</xdr:row>
                    <xdr:rowOff>152400</xdr:rowOff>
                  </from>
                  <to>
                    <xdr:col>11</xdr:col>
                    <xdr:colOff>222250</xdr:colOff>
                    <xdr:row>11</xdr:row>
                    <xdr:rowOff>171450</xdr:rowOff>
                  </to>
                </anchor>
              </controlPr>
            </control>
          </mc:Choice>
        </mc:AlternateContent>
        <mc:AlternateContent xmlns:mc="http://schemas.openxmlformats.org/markup-compatibility/2006">
          <mc:Choice Requires="x14">
            <control shapeId="6161" r:id="rId23" name="Check Box 17">
              <controlPr defaultSize="0" autoFill="0" autoLine="0" autoPict="0">
                <anchor>
                  <from>
                    <xdr:col>6</xdr:col>
                    <xdr:colOff>304800</xdr:colOff>
                    <xdr:row>10</xdr:row>
                    <xdr:rowOff>133350</xdr:rowOff>
                  </from>
                  <to>
                    <xdr:col>6</xdr:col>
                    <xdr:colOff>558800</xdr:colOff>
                    <xdr:row>11</xdr:row>
                    <xdr:rowOff>171450</xdr:rowOff>
                  </to>
                </anchor>
              </controlPr>
            </control>
          </mc:Choice>
        </mc:AlternateContent>
        <mc:AlternateContent xmlns:mc="http://schemas.openxmlformats.org/markup-compatibility/2006">
          <mc:Choice Requires="x14">
            <control shapeId="6162" r:id="rId24" name="Check Box 18">
              <controlPr locked="0" defaultSize="0" autoFill="0" autoLine="0" autoPict="0">
                <anchor>
                  <from>
                    <xdr:col>6</xdr:col>
                    <xdr:colOff>88900</xdr:colOff>
                    <xdr:row>10</xdr:row>
                    <xdr:rowOff>133350</xdr:rowOff>
                  </from>
                  <to>
                    <xdr:col>6</xdr:col>
                    <xdr:colOff>355600</xdr:colOff>
                    <xdr:row>11</xdr:row>
                    <xdr:rowOff>165100</xdr:rowOff>
                  </to>
                </anchor>
              </controlPr>
            </control>
          </mc:Choice>
        </mc:AlternateContent>
        <mc:AlternateContent xmlns:mc="http://schemas.openxmlformats.org/markup-compatibility/2006">
          <mc:Choice Requires="x14">
            <control shapeId="6163" r:id="rId25" name="Check Box 19">
              <controlPr locked="0" defaultSize="0" autoFill="0" autoLine="0" autoPict="0">
                <anchor>
                  <from>
                    <xdr:col>10</xdr:col>
                    <xdr:colOff>139700</xdr:colOff>
                    <xdr:row>11</xdr:row>
                    <xdr:rowOff>165100</xdr:rowOff>
                  </from>
                  <to>
                    <xdr:col>11</xdr:col>
                    <xdr:colOff>228600</xdr:colOff>
                    <xdr:row>13</xdr:row>
                    <xdr:rowOff>6350</xdr:rowOff>
                  </to>
                </anchor>
              </controlPr>
            </control>
          </mc:Choice>
        </mc:AlternateContent>
        <mc:AlternateContent xmlns:mc="http://schemas.openxmlformats.org/markup-compatibility/2006">
          <mc:Choice Requires="x14">
            <control shapeId="6164" r:id="rId26" name="Check Box 20">
              <controlPr defaultSize="0" autoFill="0" autoLine="0" autoPict="0">
                <anchor>
                  <from>
                    <xdr:col>6</xdr:col>
                    <xdr:colOff>304800</xdr:colOff>
                    <xdr:row>11</xdr:row>
                    <xdr:rowOff>127000</xdr:rowOff>
                  </from>
                  <to>
                    <xdr:col>6</xdr:col>
                    <xdr:colOff>558800</xdr:colOff>
                    <xdr:row>12</xdr:row>
                    <xdr:rowOff>165100</xdr:rowOff>
                  </to>
                </anchor>
              </controlPr>
            </control>
          </mc:Choice>
        </mc:AlternateContent>
        <mc:AlternateContent xmlns:mc="http://schemas.openxmlformats.org/markup-compatibility/2006">
          <mc:Choice Requires="x14">
            <control shapeId="6165" r:id="rId27" name="Check Box 21">
              <controlPr locked="0" defaultSize="0" autoFill="0" autoLine="0" autoPict="0">
                <anchor>
                  <from>
                    <xdr:col>6</xdr:col>
                    <xdr:colOff>88900</xdr:colOff>
                    <xdr:row>11</xdr:row>
                    <xdr:rowOff>120650</xdr:rowOff>
                  </from>
                  <to>
                    <xdr:col>6</xdr:col>
                    <xdr:colOff>355600</xdr:colOff>
                    <xdr:row>12</xdr:row>
                    <xdr:rowOff>152400</xdr:rowOff>
                  </to>
                </anchor>
              </controlPr>
            </control>
          </mc:Choice>
        </mc:AlternateContent>
        <mc:AlternateContent xmlns:mc="http://schemas.openxmlformats.org/markup-compatibility/2006">
          <mc:Choice Requires="x14">
            <control shapeId="6166" r:id="rId28" name="Check Box 22">
              <controlPr locked="0" defaultSize="0" autoFill="0" autoLine="0" autoPict="0">
                <anchor>
                  <from>
                    <xdr:col>10</xdr:col>
                    <xdr:colOff>146050</xdr:colOff>
                    <xdr:row>13</xdr:row>
                    <xdr:rowOff>139700</xdr:rowOff>
                  </from>
                  <to>
                    <xdr:col>11</xdr:col>
                    <xdr:colOff>234950</xdr:colOff>
                    <xdr:row>15</xdr:row>
                    <xdr:rowOff>0</xdr:rowOff>
                  </to>
                </anchor>
              </controlPr>
            </control>
          </mc:Choice>
        </mc:AlternateContent>
        <mc:AlternateContent xmlns:mc="http://schemas.openxmlformats.org/markup-compatibility/2006">
          <mc:Choice Requires="x14">
            <control shapeId="6167" r:id="rId29" name="Check Box 23">
              <controlPr defaultSize="0" autoFill="0" autoLine="0" autoPict="0">
                <anchor>
                  <from>
                    <xdr:col>6</xdr:col>
                    <xdr:colOff>304800</xdr:colOff>
                    <xdr:row>13</xdr:row>
                    <xdr:rowOff>133350</xdr:rowOff>
                  </from>
                  <to>
                    <xdr:col>6</xdr:col>
                    <xdr:colOff>558800</xdr:colOff>
                    <xdr:row>14</xdr:row>
                    <xdr:rowOff>184150</xdr:rowOff>
                  </to>
                </anchor>
              </controlPr>
            </control>
          </mc:Choice>
        </mc:AlternateContent>
        <mc:AlternateContent xmlns:mc="http://schemas.openxmlformats.org/markup-compatibility/2006">
          <mc:Choice Requires="x14">
            <control shapeId="6168" r:id="rId30" name="Check Box 24">
              <controlPr locked="0" defaultSize="0" autoFill="0" autoLine="0" autoPict="0">
                <anchor>
                  <from>
                    <xdr:col>6</xdr:col>
                    <xdr:colOff>88900</xdr:colOff>
                    <xdr:row>13</xdr:row>
                    <xdr:rowOff>120650</xdr:rowOff>
                  </from>
                  <to>
                    <xdr:col>6</xdr:col>
                    <xdr:colOff>355600</xdr:colOff>
                    <xdr:row>14</xdr:row>
                    <xdr:rowOff>158750</xdr:rowOff>
                  </to>
                </anchor>
              </controlPr>
            </control>
          </mc:Choice>
        </mc:AlternateContent>
        <mc:AlternateContent xmlns:mc="http://schemas.openxmlformats.org/markup-compatibility/2006">
          <mc:Choice Requires="x14">
            <control shapeId="6169" r:id="rId31" name="Check Box 25">
              <controlPr locked="0" defaultSize="0" autoFill="0" autoLine="0" autoPict="0">
                <anchor>
                  <from>
                    <xdr:col>10</xdr:col>
                    <xdr:colOff>146050</xdr:colOff>
                    <xdr:row>14</xdr:row>
                    <xdr:rowOff>152400</xdr:rowOff>
                  </from>
                  <to>
                    <xdr:col>11</xdr:col>
                    <xdr:colOff>234950</xdr:colOff>
                    <xdr:row>16</xdr:row>
                    <xdr:rowOff>6350</xdr:rowOff>
                  </to>
                </anchor>
              </controlPr>
            </control>
          </mc:Choice>
        </mc:AlternateContent>
        <mc:AlternateContent xmlns:mc="http://schemas.openxmlformats.org/markup-compatibility/2006">
          <mc:Choice Requires="x14">
            <control shapeId="6170" r:id="rId32" name="Check Box 26">
              <controlPr defaultSize="0" autoFill="0" autoLine="0" autoPict="0">
                <anchor>
                  <from>
                    <xdr:col>6</xdr:col>
                    <xdr:colOff>304800</xdr:colOff>
                    <xdr:row>14</xdr:row>
                    <xdr:rowOff>120650</xdr:rowOff>
                  </from>
                  <to>
                    <xdr:col>6</xdr:col>
                    <xdr:colOff>558800</xdr:colOff>
                    <xdr:row>15</xdr:row>
                    <xdr:rowOff>152400</xdr:rowOff>
                  </to>
                </anchor>
              </controlPr>
            </control>
          </mc:Choice>
        </mc:AlternateContent>
        <mc:AlternateContent xmlns:mc="http://schemas.openxmlformats.org/markup-compatibility/2006">
          <mc:Choice Requires="x14">
            <control shapeId="6171" r:id="rId33" name="Check Box 27">
              <controlPr locked="0" defaultSize="0" autoFill="0" autoLine="0" autoPict="0">
                <anchor>
                  <from>
                    <xdr:col>6</xdr:col>
                    <xdr:colOff>101600</xdr:colOff>
                    <xdr:row>14</xdr:row>
                    <xdr:rowOff>146050</xdr:rowOff>
                  </from>
                  <to>
                    <xdr:col>6</xdr:col>
                    <xdr:colOff>355600</xdr:colOff>
                    <xdr:row>15</xdr:row>
                    <xdr:rowOff>177800</xdr:rowOff>
                  </to>
                </anchor>
              </controlPr>
            </control>
          </mc:Choice>
        </mc:AlternateContent>
        <mc:AlternateContent xmlns:mc="http://schemas.openxmlformats.org/markup-compatibility/2006">
          <mc:Choice Requires="x14">
            <control shapeId="6172" r:id="rId34" name="Check Box 28">
              <controlPr locked="0" defaultSize="0" autoFill="0" autoLine="0" autoPict="0">
                <anchor>
                  <from>
                    <xdr:col>10</xdr:col>
                    <xdr:colOff>165100</xdr:colOff>
                    <xdr:row>16</xdr:row>
                    <xdr:rowOff>152400</xdr:rowOff>
                  </from>
                  <to>
                    <xdr:col>11</xdr:col>
                    <xdr:colOff>241300</xdr:colOff>
                    <xdr:row>17</xdr:row>
                    <xdr:rowOff>171450</xdr:rowOff>
                  </to>
                </anchor>
              </controlPr>
            </control>
          </mc:Choice>
        </mc:AlternateContent>
        <mc:AlternateContent xmlns:mc="http://schemas.openxmlformats.org/markup-compatibility/2006">
          <mc:Choice Requires="x14">
            <control shapeId="6173" r:id="rId35" name="Check Box 29">
              <controlPr defaultSize="0" autoFill="0" autoLine="0" autoPict="0">
                <anchor>
                  <from>
                    <xdr:col>6</xdr:col>
                    <xdr:colOff>304800</xdr:colOff>
                    <xdr:row>16</xdr:row>
                    <xdr:rowOff>146050</xdr:rowOff>
                  </from>
                  <to>
                    <xdr:col>6</xdr:col>
                    <xdr:colOff>596900</xdr:colOff>
                    <xdr:row>17</xdr:row>
                    <xdr:rowOff>158750</xdr:rowOff>
                  </to>
                </anchor>
              </controlPr>
            </control>
          </mc:Choice>
        </mc:AlternateContent>
        <mc:AlternateContent xmlns:mc="http://schemas.openxmlformats.org/markup-compatibility/2006">
          <mc:Choice Requires="x14">
            <control shapeId="6174" r:id="rId36" name="Check Box 30">
              <controlPr locked="0" defaultSize="0" autoFill="0" autoLine="0" autoPict="0">
                <anchor>
                  <from>
                    <xdr:col>6</xdr:col>
                    <xdr:colOff>107950</xdr:colOff>
                    <xdr:row>16</xdr:row>
                    <xdr:rowOff>127000</xdr:rowOff>
                  </from>
                  <to>
                    <xdr:col>6</xdr:col>
                    <xdr:colOff>381000</xdr:colOff>
                    <xdr:row>17</xdr:row>
                    <xdr:rowOff>158750</xdr:rowOff>
                  </to>
                </anchor>
              </controlPr>
            </control>
          </mc:Choice>
        </mc:AlternateContent>
        <mc:AlternateContent xmlns:mc="http://schemas.openxmlformats.org/markup-compatibility/2006">
          <mc:Choice Requires="x14">
            <control shapeId="6175" r:id="rId37" name="Check Box 31">
              <controlPr locked="0" defaultSize="0" autoFill="0" autoLine="0" autoPict="0">
                <anchor>
                  <from>
                    <xdr:col>10</xdr:col>
                    <xdr:colOff>165100</xdr:colOff>
                    <xdr:row>17</xdr:row>
                    <xdr:rowOff>120650</xdr:rowOff>
                  </from>
                  <to>
                    <xdr:col>11</xdr:col>
                    <xdr:colOff>241300</xdr:colOff>
                    <xdr:row>18</xdr:row>
                    <xdr:rowOff>158750</xdr:rowOff>
                  </to>
                </anchor>
              </controlPr>
            </control>
          </mc:Choice>
        </mc:AlternateContent>
        <mc:AlternateContent xmlns:mc="http://schemas.openxmlformats.org/markup-compatibility/2006">
          <mc:Choice Requires="x14">
            <control shapeId="6176" r:id="rId38" name="Check Box 32">
              <controlPr defaultSize="0" autoFill="0" autoLine="0" autoPict="0">
                <anchor>
                  <from>
                    <xdr:col>6</xdr:col>
                    <xdr:colOff>304800</xdr:colOff>
                    <xdr:row>17</xdr:row>
                    <xdr:rowOff>120650</xdr:rowOff>
                  </from>
                  <to>
                    <xdr:col>6</xdr:col>
                    <xdr:colOff>596900</xdr:colOff>
                    <xdr:row>18</xdr:row>
                    <xdr:rowOff>158750</xdr:rowOff>
                  </to>
                </anchor>
              </controlPr>
            </control>
          </mc:Choice>
        </mc:AlternateContent>
        <mc:AlternateContent xmlns:mc="http://schemas.openxmlformats.org/markup-compatibility/2006">
          <mc:Choice Requires="x14">
            <control shapeId="6177" r:id="rId39" name="Check Box 33">
              <controlPr locked="0" defaultSize="0" autoFill="0" autoLine="0" autoPict="0">
                <anchor>
                  <from>
                    <xdr:col>6</xdr:col>
                    <xdr:colOff>107950</xdr:colOff>
                    <xdr:row>17</xdr:row>
                    <xdr:rowOff>127000</xdr:rowOff>
                  </from>
                  <to>
                    <xdr:col>6</xdr:col>
                    <xdr:colOff>381000</xdr:colOff>
                    <xdr:row>18</xdr:row>
                    <xdr:rowOff>152400</xdr:rowOff>
                  </to>
                </anchor>
              </controlPr>
            </control>
          </mc:Choice>
        </mc:AlternateContent>
        <mc:AlternateContent xmlns:mc="http://schemas.openxmlformats.org/markup-compatibility/2006">
          <mc:Choice Requires="x14">
            <control shapeId="6178" r:id="rId40" name="Check Box 34">
              <controlPr locked="0" defaultSize="0" autoFill="0" autoLine="0" autoPict="0">
                <anchor>
                  <from>
                    <xdr:col>10</xdr:col>
                    <xdr:colOff>165100</xdr:colOff>
                    <xdr:row>18</xdr:row>
                    <xdr:rowOff>133350</xdr:rowOff>
                  </from>
                  <to>
                    <xdr:col>11</xdr:col>
                    <xdr:colOff>241300</xdr:colOff>
                    <xdr:row>19</xdr:row>
                    <xdr:rowOff>158750</xdr:rowOff>
                  </to>
                </anchor>
              </controlPr>
            </control>
          </mc:Choice>
        </mc:AlternateContent>
        <mc:AlternateContent xmlns:mc="http://schemas.openxmlformats.org/markup-compatibility/2006">
          <mc:Choice Requires="x14">
            <control shapeId="6179" r:id="rId41" name="Check Box 35">
              <controlPr defaultSize="0" autoFill="0" autoLine="0" autoPict="0">
                <anchor>
                  <from>
                    <xdr:col>6</xdr:col>
                    <xdr:colOff>304800</xdr:colOff>
                    <xdr:row>18</xdr:row>
                    <xdr:rowOff>139700</xdr:rowOff>
                  </from>
                  <to>
                    <xdr:col>6</xdr:col>
                    <xdr:colOff>596900</xdr:colOff>
                    <xdr:row>19</xdr:row>
                    <xdr:rowOff>165100</xdr:rowOff>
                  </to>
                </anchor>
              </controlPr>
            </control>
          </mc:Choice>
        </mc:AlternateContent>
        <mc:AlternateContent xmlns:mc="http://schemas.openxmlformats.org/markup-compatibility/2006">
          <mc:Choice Requires="x14">
            <control shapeId="6180" r:id="rId42" name="Check Box 36">
              <controlPr locked="0" defaultSize="0" autoFill="0" autoLine="0" autoPict="0">
                <anchor>
                  <from>
                    <xdr:col>6</xdr:col>
                    <xdr:colOff>107950</xdr:colOff>
                    <xdr:row>18</xdr:row>
                    <xdr:rowOff>120650</xdr:rowOff>
                  </from>
                  <to>
                    <xdr:col>6</xdr:col>
                    <xdr:colOff>381000</xdr:colOff>
                    <xdr:row>19</xdr:row>
                    <xdr:rowOff>152400</xdr:rowOff>
                  </to>
                </anchor>
              </controlPr>
            </control>
          </mc:Choice>
        </mc:AlternateContent>
        <mc:AlternateContent xmlns:mc="http://schemas.openxmlformats.org/markup-compatibility/2006">
          <mc:Choice Requires="x14">
            <control shapeId="6181" r:id="rId43" name="Check Box 37">
              <controlPr locked="0" defaultSize="0" autoFill="0" autoLine="0" autoPict="0">
                <anchor>
                  <from>
                    <xdr:col>10</xdr:col>
                    <xdr:colOff>165100</xdr:colOff>
                    <xdr:row>19</xdr:row>
                    <xdr:rowOff>127000</xdr:rowOff>
                  </from>
                  <to>
                    <xdr:col>11</xdr:col>
                    <xdr:colOff>241300</xdr:colOff>
                    <xdr:row>20</xdr:row>
                    <xdr:rowOff>171450</xdr:rowOff>
                  </to>
                </anchor>
              </controlPr>
            </control>
          </mc:Choice>
        </mc:AlternateContent>
        <mc:AlternateContent xmlns:mc="http://schemas.openxmlformats.org/markup-compatibility/2006">
          <mc:Choice Requires="x14">
            <control shapeId="6182" r:id="rId44" name="Check Box 38">
              <controlPr defaultSize="0" autoFill="0" autoLine="0" autoPict="0">
                <anchor>
                  <from>
                    <xdr:col>6</xdr:col>
                    <xdr:colOff>304800</xdr:colOff>
                    <xdr:row>19</xdr:row>
                    <xdr:rowOff>133350</xdr:rowOff>
                  </from>
                  <to>
                    <xdr:col>6</xdr:col>
                    <xdr:colOff>596900</xdr:colOff>
                    <xdr:row>20</xdr:row>
                    <xdr:rowOff>177800</xdr:rowOff>
                  </to>
                </anchor>
              </controlPr>
            </control>
          </mc:Choice>
        </mc:AlternateContent>
        <mc:AlternateContent xmlns:mc="http://schemas.openxmlformats.org/markup-compatibility/2006">
          <mc:Choice Requires="x14">
            <control shapeId="6183" r:id="rId45" name="Check Box 39">
              <controlPr locked="0" defaultSize="0" autoFill="0" autoLine="0" autoPict="0">
                <anchor>
                  <from>
                    <xdr:col>6</xdr:col>
                    <xdr:colOff>107950</xdr:colOff>
                    <xdr:row>19</xdr:row>
                    <xdr:rowOff>114300</xdr:rowOff>
                  </from>
                  <to>
                    <xdr:col>6</xdr:col>
                    <xdr:colOff>381000</xdr:colOff>
                    <xdr:row>20</xdr:row>
                    <xdr:rowOff>158750</xdr:rowOff>
                  </to>
                </anchor>
              </controlPr>
            </control>
          </mc:Choice>
        </mc:AlternateContent>
        <mc:AlternateContent xmlns:mc="http://schemas.openxmlformats.org/markup-compatibility/2006">
          <mc:Choice Requires="x14">
            <control shapeId="6184" r:id="rId46" name="Check Box 40">
              <controlPr locked="0" defaultSize="0" autoFill="0" autoLine="0" autoPict="0">
                <anchor>
                  <from>
                    <xdr:col>10</xdr:col>
                    <xdr:colOff>165100</xdr:colOff>
                    <xdr:row>20</xdr:row>
                    <xdr:rowOff>133350</xdr:rowOff>
                  </from>
                  <to>
                    <xdr:col>11</xdr:col>
                    <xdr:colOff>241300</xdr:colOff>
                    <xdr:row>21</xdr:row>
                    <xdr:rowOff>177800</xdr:rowOff>
                  </to>
                </anchor>
              </controlPr>
            </control>
          </mc:Choice>
        </mc:AlternateContent>
        <mc:AlternateContent xmlns:mc="http://schemas.openxmlformats.org/markup-compatibility/2006">
          <mc:Choice Requires="x14">
            <control shapeId="6185" r:id="rId47" name="Check Box 41">
              <controlPr defaultSize="0" autoFill="0" autoLine="0" autoPict="0">
                <anchor>
                  <from>
                    <xdr:col>6</xdr:col>
                    <xdr:colOff>304800</xdr:colOff>
                    <xdr:row>20</xdr:row>
                    <xdr:rowOff>158750</xdr:rowOff>
                  </from>
                  <to>
                    <xdr:col>6</xdr:col>
                    <xdr:colOff>596900</xdr:colOff>
                    <xdr:row>21</xdr:row>
                    <xdr:rowOff>190500</xdr:rowOff>
                  </to>
                </anchor>
              </controlPr>
            </control>
          </mc:Choice>
        </mc:AlternateContent>
        <mc:AlternateContent xmlns:mc="http://schemas.openxmlformats.org/markup-compatibility/2006">
          <mc:Choice Requires="x14">
            <control shapeId="6186" r:id="rId48" name="Check Box 42">
              <controlPr locked="0" defaultSize="0" autoFill="0" autoLine="0" autoPict="0">
                <anchor>
                  <from>
                    <xdr:col>6</xdr:col>
                    <xdr:colOff>107950</xdr:colOff>
                    <xdr:row>20</xdr:row>
                    <xdr:rowOff>146050</xdr:rowOff>
                  </from>
                  <to>
                    <xdr:col>6</xdr:col>
                    <xdr:colOff>381000</xdr:colOff>
                    <xdr:row>21</xdr:row>
                    <xdr:rowOff>184150</xdr:rowOff>
                  </to>
                </anchor>
              </controlPr>
            </control>
          </mc:Choice>
        </mc:AlternateContent>
        <mc:AlternateContent xmlns:mc="http://schemas.openxmlformats.org/markup-compatibility/2006">
          <mc:Choice Requires="x14">
            <control shapeId="6187" r:id="rId49" name="Check Box 43">
              <controlPr locked="0" defaultSize="0" autoFill="0" autoLine="0" autoPict="0">
                <anchor>
                  <from>
                    <xdr:col>10</xdr:col>
                    <xdr:colOff>165100</xdr:colOff>
                    <xdr:row>21</xdr:row>
                    <xdr:rowOff>158750</xdr:rowOff>
                  </from>
                  <to>
                    <xdr:col>11</xdr:col>
                    <xdr:colOff>241300</xdr:colOff>
                    <xdr:row>22</xdr:row>
                    <xdr:rowOff>190500</xdr:rowOff>
                  </to>
                </anchor>
              </controlPr>
            </control>
          </mc:Choice>
        </mc:AlternateContent>
        <mc:AlternateContent xmlns:mc="http://schemas.openxmlformats.org/markup-compatibility/2006">
          <mc:Choice Requires="x14">
            <control shapeId="6188" r:id="rId50" name="Check Box 44">
              <controlPr defaultSize="0" autoFill="0" autoLine="0" autoPict="0">
                <anchor>
                  <from>
                    <xdr:col>6</xdr:col>
                    <xdr:colOff>304800</xdr:colOff>
                    <xdr:row>21</xdr:row>
                    <xdr:rowOff>152400</xdr:rowOff>
                  </from>
                  <to>
                    <xdr:col>6</xdr:col>
                    <xdr:colOff>596900</xdr:colOff>
                    <xdr:row>23</xdr:row>
                    <xdr:rowOff>0</xdr:rowOff>
                  </to>
                </anchor>
              </controlPr>
            </control>
          </mc:Choice>
        </mc:AlternateContent>
        <mc:AlternateContent xmlns:mc="http://schemas.openxmlformats.org/markup-compatibility/2006">
          <mc:Choice Requires="x14">
            <control shapeId="6189" r:id="rId51" name="Check Box 45">
              <controlPr locked="0" defaultSize="0" autoFill="0" autoLine="0" autoPict="0">
                <anchor>
                  <from>
                    <xdr:col>6</xdr:col>
                    <xdr:colOff>107950</xdr:colOff>
                    <xdr:row>21</xdr:row>
                    <xdr:rowOff>165100</xdr:rowOff>
                  </from>
                  <to>
                    <xdr:col>6</xdr:col>
                    <xdr:colOff>381000</xdr:colOff>
                    <xdr:row>22</xdr:row>
                    <xdr:rowOff>190500</xdr:rowOff>
                  </to>
                </anchor>
              </controlPr>
            </control>
          </mc:Choice>
        </mc:AlternateContent>
        <mc:AlternateContent xmlns:mc="http://schemas.openxmlformats.org/markup-compatibility/2006">
          <mc:Choice Requires="x14">
            <control shapeId="6190" r:id="rId52" name="Check Box 46">
              <controlPr locked="0" defaultSize="0" autoFill="0" autoLine="0" autoPict="0">
                <anchor>
                  <from>
                    <xdr:col>10</xdr:col>
                    <xdr:colOff>165100</xdr:colOff>
                    <xdr:row>22</xdr:row>
                    <xdr:rowOff>146050</xdr:rowOff>
                  </from>
                  <to>
                    <xdr:col>11</xdr:col>
                    <xdr:colOff>241300</xdr:colOff>
                    <xdr:row>23</xdr:row>
                    <xdr:rowOff>190500</xdr:rowOff>
                  </to>
                </anchor>
              </controlPr>
            </control>
          </mc:Choice>
        </mc:AlternateContent>
        <mc:AlternateContent xmlns:mc="http://schemas.openxmlformats.org/markup-compatibility/2006">
          <mc:Choice Requires="x14">
            <control shapeId="6191" r:id="rId53" name="Check Box 47">
              <controlPr defaultSize="0" autoFill="0" autoLine="0" autoPict="0">
                <anchor>
                  <from>
                    <xdr:col>6</xdr:col>
                    <xdr:colOff>304800</xdr:colOff>
                    <xdr:row>22</xdr:row>
                    <xdr:rowOff>184150</xdr:rowOff>
                  </from>
                  <to>
                    <xdr:col>6</xdr:col>
                    <xdr:colOff>596900</xdr:colOff>
                    <xdr:row>24</xdr:row>
                    <xdr:rowOff>12700</xdr:rowOff>
                  </to>
                </anchor>
              </controlPr>
            </control>
          </mc:Choice>
        </mc:AlternateContent>
        <mc:AlternateContent xmlns:mc="http://schemas.openxmlformats.org/markup-compatibility/2006">
          <mc:Choice Requires="x14">
            <control shapeId="6192" r:id="rId54" name="Check Box 48">
              <controlPr locked="0" defaultSize="0" autoFill="0" autoLine="0" autoPict="0">
                <anchor>
                  <from>
                    <xdr:col>6</xdr:col>
                    <xdr:colOff>107950</xdr:colOff>
                    <xdr:row>22</xdr:row>
                    <xdr:rowOff>127000</xdr:rowOff>
                  </from>
                  <to>
                    <xdr:col>6</xdr:col>
                    <xdr:colOff>381000</xdr:colOff>
                    <xdr:row>23</xdr:row>
                    <xdr:rowOff>177800</xdr:rowOff>
                  </to>
                </anchor>
              </controlPr>
            </control>
          </mc:Choice>
        </mc:AlternateContent>
        <mc:AlternateContent xmlns:mc="http://schemas.openxmlformats.org/markup-compatibility/2006">
          <mc:Choice Requires="x14">
            <control shapeId="6193" r:id="rId55" name="Check Box 49">
              <controlPr locked="0" defaultSize="0" autoFill="0" autoLine="0" autoPict="0">
                <anchor>
                  <from>
                    <xdr:col>10</xdr:col>
                    <xdr:colOff>165100</xdr:colOff>
                    <xdr:row>24</xdr:row>
                    <xdr:rowOff>12700</xdr:rowOff>
                  </from>
                  <to>
                    <xdr:col>11</xdr:col>
                    <xdr:colOff>241300</xdr:colOff>
                    <xdr:row>24</xdr:row>
                    <xdr:rowOff>241300</xdr:rowOff>
                  </to>
                </anchor>
              </controlPr>
            </control>
          </mc:Choice>
        </mc:AlternateContent>
        <mc:AlternateContent xmlns:mc="http://schemas.openxmlformats.org/markup-compatibility/2006">
          <mc:Choice Requires="x14">
            <control shapeId="6194" r:id="rId56" name="Check Box 50">
              <controlPr defaultSize="0" autoFill="0" autoLine="0" autoPict="0">
                <anchor>
                  <from>
                    <xdr:col>6</xdr:col>
                    <xdr:colOff>304800</xdr:colOff>
                    <xdr:row>24</xdr:row>
                    <xdr:rowOff>50800</xdr:rowOff>
                  </from>
                  <to>
                    <xdr:col>6</xdr:col>
                    <xdr:colOff>596900</xdr:colOff>
                    <xdr:row>24</xdr:row>
                    <xdr:rowOff>285750</xdr:rowOff>
                  </to>
                </anchor>
              </controlPr>
            </control>
          </mc:Choice>
        </mc:AlternateContent>
        <mc:AlternateContent xmlns:mc="http://schemas.openxmlformats.org/markup-compatibility/2006">
          <mc:Choice Requires="x14">
            <control shapeId="6195" r:id="rId57" name="Check Box 51">
              <controlPr locked="0" defaultSize="0" autoFill="0" autoLine="0" autoPict="0">
                <anchor>
                  <from>
                    <xdr:col>6</xdr:col>
                    <xdr:colOff>107950</xdr:colOff>
                    <xdr:row>24</xdr:row>
                    <xdr:rowOff>38100</xdr:rowOff>
                  </from>
                  <to>
                    <xdr:col>6</xdr:col>
                    <xdr:colOff>381000</xdr:colOff>
                    <xdr:row>24</xdr:row>
                    <xdr:rowOff>266700</xdr:rowOff>
                  </to>
                </anchor>
              </controlPr>
            </control>
          </mc:Choice>
        </mc:AlternateContent>
        <mc:AlternateContent xmlns:mc="http://schemas.openxmlformats.org/markup-compatibility/2006">
          <mc:Choice Requires="x14">
            <control shapeId="6196" r:id="rId58" name="Check Box 52">
              <controlPr locked="0" defaultSize="0" autoFill="0" autoLine="0" autoPict="0">
                <anchor>
                  <from>
                    <xdr:col>10</xdr:col>
                    <xdr:colOff>165100</xdr:colOff>
                    <xdr:row>24</xdr:row>
                    <xdr:rowOff>349250</xdr:rowOff>
                  </from>
                  <to>
                    <xdr:col>11</xdr:col>
                    <xdr:colOff>241300</xdr:colOff>
                    <xdr:row>25</xdr:row>
                    <xdr:rowOff>215900</xdr:rowOff>
                  </to>
                </anchor>
              </controlPr>
            </control>
          </mc:Choice>
        </mc:AlternateContent>
        <mc:AlternateContent xmlns:mc="http://schemas.openxmlformats.org/markup-compatibility/2006">
          <mc:Choice Requires="x14">
            <control shapeId="6197" r:id="rId59" name="Check Box 53">
              <controlPr defaultSize="0" autoFill="0" autoLine="0" autoPict="0">
                <anchor>
                  <from>
                    <xdr:col>6</xdr:col>
                    <xdr:colOff>304800</xdr:colOff>
                    <xdr:row>25</xdr:row>
                    <xdr:rowOff>38100</xdr:rowOff>
                  </from>
                  <to>
                    <xdr:col>6</xdr:col>
                    <xdr:colOff>596900</xdr:colOff>
                    <xdr:row>25</xdr:row>
                    <xdr:rowOff>273050</xdr:rowOff>
                  </to>
                </anchor>
              </controlPr>
            </control>
          </mc:Choice>
        </mc:AlternateContent>
        <mc:AlternateContent xmlns:mc="http://schemas.openxmlformats.org/markup-compatibility/2006">
          <mc:Choice Requires="x14">
            <control shapeId="6198" r:id="rId60" name="Check Box 54">
              <controlPr locked="0" defaultSize="0" autoFill="0" autoLine="0" autoPict="0">
                <anchor>
                  <from>
                    <xdr:col>6</xdr:col>
                    <xdr:colOff>107950</xdr:colOff>
                    <xdr:row>25</xdr:row>
                    <xdr:rowOff>6350</xdr:rowOff>
                  </from>
                  <to>
                    <xdr:col>6</xdr:col>
                    <xdr:colOff>381000</xdr:colOff>
                    <xdr:row>25</xdr:row>
                    <xdr:rowOff>234950</xdr:rowOff>
                  </to>
                </anchor>
              </controlPr>
            </control>
          </mc:Choice>
        </mc:AlternateContent>
        <mc:AlternateContent xmlns:mc="http://schemas.openxmlformats.org/markup-compatibility/2006">
          <mc:Choice Requires="x14">
            <control shapeId="6199" r:id="rId61" name="Check Box 55">
              <controlPr locked="0" defaultSize="0" autoFill="0" autoLine="0" autoPict="0">
                <anchor>
                  <from>
                    <xdr:col>10</xdr:col>
                    <xdr:colOff>127000</xdr:colOff>
                    <xdr:row>27</xdr:row>
                    <xdr:rowOff>38100</xdr:rowOff>
                  </from>
                  <to>
                    <xdr:col>11</xdr:col>
                    <xdr:colOff>196850</xdr:colOff>
                    <xdr:row>27</xdr:row>
                    <xdr:rowOff>266700</xdr:rowOff>
                  </to>
                </anchor>
              </controlPr>
            </control>
          </mc:Choice>
        </mc:AlternateContent>
        <mc:AlternateContent xmlns:mc="http://schemas.openxmlformats.org/markup-compatibility/2006">
          <mc:Choice Requires="x14">
            <control shapeId="6200" r:id="rId62" name="Check Box 56">
              <controlPr defaultSize="0" autoFill="0" autoLine="0" autoPict="0">
                <anchor>
                  <from>
                    <xdr:col>6</xdr:col>
                    <xdr:colOff>304800</xdr:colOff>
                    <xdr:row>27</xdr:row>
                    <xdr:rowOff>82550</xdr:rowOff>
                  </from>
                  <to>
                    <xdr:col>6</xdr:col>
                    <xdr:colOff>596900</xdr:colOff>
                    <xdr:row>28</xdr:row>
                    <xdr:rowOff>12700</xdr:rowOff>
                  </to>
                </anchor>
              </controlPr>
            </control>
          </mc:Choice>
        </mc:AlternateContent>
        <mc:AlternateContent xmlns:mc="http://schemas.openxmlformats.org/markup-compatibility/2006">
          <mc:Choice Requires="x14">
            <control shapeId="6201" r:id="rId63" name="Check Box 57">
              <controlPr locked="0" defaultSize="0" autoFill="0" autoLine="0" autoPict="0">
                <anchor>
                  <from>
                    <xdr:col>6</xdr:col>
                    <xdr:colOff>76200</xdr:colOff>
                    <xdr:row>27</xdr:row>
                    <xdr:rowOff>6350</xdr:rowOff>
                  </from>
                  <to>
                    <xdr:col>6</xdr:col>
                    <xdr:colOff>342900</xdr:colOff>
                    <xdr:row>27</xdr:row>
                    <xdr:rowOff>228600</xdr:rowOff>
                  </to>
                </anchor>
              </controlPr>
            </control>
          </mc:Choice>
        </mc:AlternateContent>
        <mc:AlternateContent xmlns:mc="http://schemas.openxmlformats.org/markup-compatibility/2006">
          <mc:Choice Requires="x14">
            <control shapeId="6202" r:id="rId64" name="Check Box 58">
              <controlPr locked="0" defaultSize="0" autoFill="0" autoLine="0" autoPict="0">
                <anchor>
                  <from>
                    <xdr:col>10</xdr:col>
                    <xdr:colOff>127000</xdr:colOff>
                    <xdr:row>27</xdr:row>
                    <xdr:rowOff>228600</xdr:rowOff>
                  </from>
                  <to>
                    <xdr:col>11</xdr:col>
                    <xdr:colOff>196850</xdr:colOff>
                    <xdr:row>28</xdr:row>
                    <xdr:rowOff>146050</xdr:rowOff>
                  </to>
                </anchor>
              </controlPr>
            </control>
          </mc:Choice>
        </mc:AlternateContent>
        <mc:AlternateContent xmlns:mc="http://schemas.openxmlformats.org/markup-compatibility/2006">
          <mc:Choice Requires="x14">
            <control shapeId="6203" r:id="rId65" name="Check Box 59">
              <controlPr defaultSize="0" autoFill="0" autoLine="0" autoPict="0">
                <anchor>
                  <from>
                    <xdr:col>6</xdr:col>
                    <xdr:colOff>304800</xdr:colOff>
                    <xdr:row>27</xdr:row>
                    <xdr:rowOff>228600</xdr:rowOff>
                  </from>
                  <to>
                    <xdr:col>6</xdr:col>
                    <xdr:colOff>596900</xdr:colOff>
                    <xdr:row>28</xdr:row>
                    <xdr:rowOff>165100</xdr:rowOff>
                  </to>
                </anchor>
              </controlPr>
            </control>
          </mc:Choice>
        </mc:AlternateContent>
        <mc:AlternateContent xmlns:mc="http://schemas.openxmlformats.org/markup-compatibility/2006">
          <mc:Choice Requires="x14">
            <control shapeId="6204" r:id="rId66" name="Check Box 60">
              <controlPr locked="0" defaultSize="0" autoFill="0" autoLine="0" autoPict="0">
                <anchor>
                  <from>
                    <xdr:col>6</xdr:col>
                    <xdr:colOff>76200</xdr:colOff>
                    <xdr:row>27</xdr:row>
                    <xdr:rowOff>215900</xdr:rowOff>
                  </from>
                  <to>
                    <xdr:col>6</xdr:col>
                    <xdr:colOff>342900</xdr:colOff>
                    <xdr:row>28</xdr:row>
                    <xdr:rowOff>127000</xdr:rowOff>
                  </to>
                </anchor>
              </controlPr>
            </control>
          </mc:Choice>
        </mc:AlternateContent>
        <mc:AlternateContent xmlns:mc="http://schemas.openxmlformats.org/markup-compatibility/2006">
          <mc:Choice Requires="x14">
            <control shapeId="6205" r:id="rId67" name="Check Box 61">
              <controlPr locked="0" defaultSize="0" autoFill="0" autoLine="0" autoPict="0">
                <anchor>
                  <from>
                    <xdr:col>10</xdr:col>
                    <xdr:colOff>127000</xdr:colOff>
                    <xdr:row>28</xdr:row>
                    <xdr:rowOff>101600</xdr:rowOff>
                  </from>
                  <to>
                    <xdr:col>11</xdr:col>
                    <xdr:colOff>196850</xdr:colOff>
                    <xdr:row>29</xdr:row>
                    <xdr:rowOff>133350</xdr:rowOff>
                  </to>
                </anchor>
              </controlPr>
            </control>
          </mc:Choice>
        </mc:AlternateContent>
        <mc:AlternateContent xmlns:mc="http://schemas.openxmlformats.org/markup-compatibility/2006">
          <mc:Choice Requires="x14">
            <control shapeId="6206" r:id="rId68" name="Check Box 62">
              <controlPr defaultSize="0" autoFill="0" autoLine="0" autoPict="0">
                <anchor>
                  <from>
                    <xdr:col>6</xdr:col>
                    <xdr:colOff>304800</xdr:colOff>
                    <xdr:row>28</xdr:row>
                    <xdr:rowOff>158750</xdr:rowOff>
                  </from>
                  <to>
                    <xdr:col>6</xdr:col>
                    <xdr:colOff>596900</xdr:colOff>
                    <xdr:row>30</xdr:row>
                    <xdr:rowOff>0</xdr:rowOff>
                  </to>
                </anchor>
              </controlPr>
            </control>
          </mc:Choice>
        </mc:AlternateContent>
        <mc:AlternateContent xmlns:mc="http://schemas.openxmlformats.org/markup-compatibility/2006">
          <mc:Choice Requires="x14">
            <control shapeId="6207" r:id="rId69" name="Check Box 63">
              <controlPr locked="0" defaultSize="0" autoFill="0" autoLine="0" autoPict="0">
                <anchor>
                  <from>
                    <xdr:col>6</xdr:col>
                    <xdr:colOff>76200</xdr:colOff>
                    <xdr:row>28</xdr:row>
                    <xdr:rowOff>95250</xdr:rowOff>
                  </from>
                  <to>
                    <xdr:col>6</xdr:col>
                    <xdr:colOff>342900</xdr:colOff>
                    <xdr:row>29</xdr:row>
                    <xdr:rowOff>127000</xdr:rowOff>
                  </to>
                </anchor>
              </controlPr>
            </control>
          </mc:Choice>
        </mc:AlternateContent>
        <mc:AlternateContent xmlns:mc="http://schemas.openxmlformats.org/markup-compatibility/2006">
          <mc:Choice Requires="x14">
            <control shapeId="6208" r:id="rId70" name="Check Box 64">
              <controlPr locked="0" defaultSize="0" autoFill="0" autoLine="0" autoPict="0">
                <anchor>
                  <from>
                    <xdr:col>10</xdr:col>
                    <xdr:colOff>139700</xdr:colOff>
                    <xdr:row>30</xdr:row>
                    <xdr:rowOff>82550</xdr:rowOff>
                  </from>
                  <to>
                    <xdr:col>11</xdr:col>
                    <xdr:colOff>209550</xdr:colOff>
                    <xdr:row>31</xdr:row>
                    <xdr:rowOff>127000</xdr:rowOff>
                  </to>
                </anchor>
              </controlPr>
            </control>
          </mc:Choice>
        </mc:AlternateContent>
        <mc:AlternateContent xmlns:mc="http://schemas.openxmlformats.org/markup-compatibility/2006">
          <mc:Choice Requires="x14">
            <control shapeId="6209" r:id="rId71" name="Check Box 65">
              <controlPr defaultSize="0" autoFill="0" autoLine="0" autoPict="0">
                <anchor>
                  <from>
                    <xdr:col>6</xdr:col>
                    <xdr:colOff>304800</xdr:colOff>
                    <xdr:row>30</xdr:row>
                    <xdr:rowOff>114300</xdr:rowOff>
                  </from>
                  <to>
                    <xdr:col>6</xdr:col>
                    <xdr:colOff>571500</xdr:colOff>
                    <xdr:row>31</xdr:row>
                    <xdr:rowOff>171450</xdr:rowOff>
                  </to>
                </anchor>
              </controlPr>
            </control>
          </mc:Choice>
        </mc:AlternateContent>
        <mc:AlternateContent xmlns:mc="http://schemas.openxmlformats.org/markup-compatibility/2006">
          <mc:Choice Requires="x14">
            <control shapeId="6210" r:id="rId72" name="Check Box 66">
              <controlPr locked="0" defaultSize="0" autoFill="0" autoLine="0" autoPict="0">
                <anchor>
                  <from>
                    <xdr:col>6</xdr:col>
                    <xdr:colOff>95250</xdr:colOff>
                    <xdr:row>30</xdr:row>
                    <xdr:rowOff>76200</xdr:rowOff>
                  </from>
                  <to>
                    <xdr:col>6</xdr:col>
                    <xdr:colOff>368300</xdr:colOff>
                    <xdr:row>31</xdr:row>
                    <xdr:rowOff>114300</xdr:rowOff>
                  </to>
                </anchor>
              </controlPr>
            </control>
          </mc:Choice>
        </mc:AlternateContent>
        <mc:AlternateContent xmlns:mc="http://schemas.openxmlformats.org/markup-compatibility/2006">
          <mc:Choice Requires="x14">
            <control shapeId="6211" r:id="rId73" name="Check Box 67">
              <controlPr locked="0" defaultSize="0" autoFill="0" autoLine="0" autoPict="0">
                <anchor>
                  <from>
                    <xdr:col>10</xdr:col>
                    <xdr:colOff>139700</xdr:colOff>
                    <xdr:row>31</xdr:row>
                    <xdr:rowOff>88900</xdr:rowOff>
                  </from>
                  <to>
                    <xdr:col>11</xdr:col>
                    <xdr:colOff>209550</xdr:colOff>
                    <xdr:row>32</xdr:row>
                    <xdr:rowOff>133350</xdr:rowOff>
                  </to>
                </anchor>
              </controlPr>
            </control>
          </mc:Choice>
        </mc:AlternateContent>
        <mc:AlternateContent xmlns:mc="http://schemas.openxmlformats.org/markup-compatibility/2006">
          <mc:Choice Requires="x14">
            <control shapeId="6212" r:id="rId74" name="Check Box 68">
              <controlPr defaultSize="0" autoFill="0" autoLine="0" autoPict="0">
                <anchor>
                  <from>
                    <xdr:col>6</xdr:col>
                    <xdr:colOff>304800</xdr:colOff>
                    <xdr:row>31</xdr:row>
                    <xdr:rowOff>101600</xdr:rowOff>
                  </from>
                  <to>
                    <xdr:col>6</xdr:col>
                    <xdr:colOff>571500</xdr:colOff>
                    <xdr:row>32</xdr:row>
                    <xdr:rowOff>165100</xdr:rowOff>
                  </to>
                </anchor>
              </controlPr>
            </control>
          </mc:Choice>
        </mc:AlternateContent>
        <mc:AlternateContent xmlns:mc="http://schemas.openxmlformats.org/markup-compatibility/2006">
          <mc:Choice Requires="x14">
            <control shapeId="6213" r:id="rId75" name="Check Box 69">
              <controlPr locked="0" defaultSize="0" autoFill="0" autoLine="0" autoPict="0">
                <anchor>
                  <from>
                    <xdr:col>6</xdr:col>
                    <xdr:colOff>95250</xdr:colOff>
                    <xdr:row>31</xdr:row>
                    <xdr:rowOff>63500</xdr:rowOff>
                  </from>
                  <to>
                    <xdr:col>6</xdr:col>
                    <xdr:colOff>368300</xdr:colOff>
                    <xdr:row>32</xdr:row>
                    <xdr:rowOff>107950</xdr:rowOff>
                  </to>
                </anchor>
              </controlPr>
            </control>
          </mc:Choice>
        </mc:AlternateContent>
        <mc:AlternateContent xmlns:mc="http://schemas.openxmlformats.org/markup-compatibility/2006">
          <mc:Choice Requires="x14">
            <control shapeId="6214" r:id="rId76" name="Check Box 70">
              <controlPr locked="0" defaultSize="0" autoFill="0" autoLine="0" autoPict="0">
                <anchor>
                  <from>
                    <xdr:col>10</xdr:col>
                    <xdr:colOff>139700</xdr:colOff>
                    <xdr:row>32</xdr:row>
                    <xdr:rowOff>76200</xdr:rowOff>
                  </from>
                  <to>
                    <xdr:col>11</xdr:col>
                    <xdr:colOff>209550</xdr:colOff>
                    <xdr:row>33</xdr:row>
                    <xdr:rowOff>120650</xdr:rowOff>
                  </to>
                </anchor>
              </controlPr>
            </control>
          </mc:Choice>
        </mc:AlternateContent>
        <mc:AlternateContent xmlns:mc="http://schemas.openxmlformats.org/markup-compatibility/2006">
          <mc:Choice Requires="x14">
            <control shapeId="6215" r:id="rId77" name="Check Box 71">
              <controlPr defaultSize="0" autoFill="0" autoLine="0" autoPict="0">
                <anchor>
                  <from>
                    <xdr:col>6</xdr:col>
                    <xdr:colOff>304800</xdr:colOff>
                    <xdr:row>32</xdr:row>
                    <xdr:rowOff>114300</xdr:rowOff>
                  </from>
                  <to>
                    <xdr:col>6</xdr:col>
                    <xdr:colOff>571500</xdr:colOff>
                    <xdr:row>33</xdr:row>
                    <xdr:rowOff>171450</xdr:rowOff>
                  </to>
                </anchor>
              </controlPr>
            </control>
          </mc:Choice>
        </mc:AlternateContent>
        <mc:AlternateContent xmlns:mc="http://schemas.openxmlformats.org/markup-compatibility/2006">
          <mc:Choice Requires="x14">
            <control shapeId="6216" r:id="rId78" name="Check Box 72">
              <controlPr locked="0" defaultSize="0" autoFill="0" autoLine="0" autoPict="0">
                <anchor>
                  <from>
                    <xdr:col>6</xdr:col>
                    <xdr:colOff>95250</xdr:colOff>
                    <xdr:row>32</xdr:row>
                    <xdr:rowOff>38100</xdr:rowOff>
                  </from>
                  <to>
                    <xdr:col>6</xdr:col>
                    <xdr:colOff>368300</xdr:colOff>
                    <xdr:row>33</xdr:row>
                    <xdr:rowOff>82550</xdr:rowOff>
                  </to>
                </anchor>
              </controlPr>
            </control>
          </mc:Choice>
        </mc:AlternateContent>
        <mc:AlternateContent xmlns:mc="http://schemas.openxmlformats.org/markup-compatibility/2006">
          <mc:Choice Requires="x14">
            <control shapeId="6217" r:id="rId79" name="Check Box 73">
              <controlPr locked="0" defaultSize="0" autoFill="0" autoLine="0" autoPict="0">
                <anchor>
                  <from>
                    <xdr:col>10</xdr:col>
                    <xdr:colOff>139700</xdr:colOff>
                    <xdr:row>34</xdr:row>
                    <xdr:rowOff>63500</xdr:rowOff>
                  </from>
                  <to>
                    <xdr:col>11</xdr:col>
                    <xdr:colOff>222250</xdr:colOff>
                    <xdr:row>35</xdr:row>
                    <xdr:rowOff>114300</xdr:rowOff>
                  </to>
                </anchor>
              </controlPr>
            </control>
          </mc:Choice>
        </mc:AlternateContent>
        <mc:AlternateContent xmlns:mc="http://schemas.openxmlformats.org/markup-compatibility/2006">
          <mc:Choice Requires="x14">
            <control shapeId="6218" r:id="rId80" name="Check Box 74">
              <controlPr defaultSize="0" autoFill="0" autoLine="0" autoPict="0">
                <anchor>
                  <from>
                    <xdr:col>6</xdr:col>
                    <xdr:colOff>292100</xdr:colOff>
                    <xdr:row>34</xdr:row>
                    <xdr:rowOff>133350</xdr:rowOff>
                  </from>
                  <to>
                    <xdr:col>6</xdr:col>
                    <xdr:colOff>546100</xdr:colOff>
                    <xdr:row>36</xdr:row>
                    <xdr:rowOff>12700</xdr:rowOff>
                  </to>
                </anchor>
              </controlPr>
            </control>
          </mc:Choice>
        </mc:AlternateContent>
        <mc:AlternateContent xmlns:mc="http://schemas.openxmlformats.org/markup-compatibility/2006">
          <mc:Choice Requires="x14">
            <control shapeId="6219" r:id="rId81" name="Check Box 75">
              <controlPr locked="0" defaultSize="0" autoFill="0" autoLine="0" autoPict="0">
                <anchor>
                  <from>
                    <xdr:col>6</xdr:col>
                    <xdr:colOff>107950</xdr:colOff>
                    <xdr:row>34</xdr:row>
                    <xdr:rowOff>63500</xdr:rowOff>
                  </from>
                  <to>
                    <xdr:col>6</xdr:col>
                    <xdr:colOff>368300</xdr:colOff>
                    <xdr:row>35</xdr:row>
                    <xdr:rowOff>114300</xdr:rowOff>
                  </to>
                </anchor>
              </controlPr>
            </control>
          </mc:Choice>
        </mc:AlternateContent>
        <mc:AlternateContent xmlns:mc="http://schemas.openxmlformats.org/markup-compatibility/2006">
          <mc:Choice Requires="x14">
            <control shapeId="6220" r:id="rId82" name="Check Box 76">
              <controlPr locked="0" defaultSize="0" autoFill="0" autoLine="0" autoPict="0">
                <anchor>
                  <from>
                    <xdr:col>10</xdr:col>
                    <xdr:colOff>139700</xdr:colOff>
                    <xdr:row>35</xdr:row>
                    <xdr:rowOff>63500</xdr:rowOff>
                  </from>
                  <to>
                    <xdr:col>11</xdr:col>
                    <xdr:colOff>222250</xdr:colOff>
                    <xdr:row>36</xdr:row>
                    <xdr:rowOff>107950</xdr:rowOff>
                  </to>
                </anchor>
              </controlPr>
            </control>
          </mc:Choice>
        </mc:AlternateContent>
        <mc:AlternateContent xmlns:mc="http://schemas.openxmlformats.org/markup-compatibility/2006">
          <mc:Choice Requires="x14">
            <control shapeId="6221" r:id="rId83" name="Check Box 77">
              <controlPr defaultSize="0" autoFill="0" autoLine="0" autoPict="0">
                <anchor>
                  <from>
                    <xdr:col>6</xdr:col>
                    <xdr:colOff>298450</xdr:colOff>
                    <xdr:row>35</xdr:row>
                    <xdr:rowOff>114300</xdr:rowOff>
                  </from>
                  <to>
                    <xdr:col>6</xdr:col>
                    <xdr:colOff>552450</xdr:colOff>
                    <xdr:row>36</xdr:row>
                    <xdr:rowOff>165100</xdr:rowOff>
                  </to>
                </anchor>
              </controlPr>
            </control>
          </mc:Choice>
        </mc:AlternateContent>
        <mc:AlternateContent xmlns:mc="http://schemas.openxmlformats.org/markup-compatibility/2006">
          <mc:Choice Requires="x14">
            <control shapeId="6222" r:id="rId84" name="Check Box 78">
              <controlPr locked="0" defaultSize="0" autoFill="0" autoLine="0" autoPict="0">
                <anchor>
                  <from>
                    <xdr:col>6</xdr:col>
                    <xdr:colOff>107950</xdr:colOff>
                    <xdr:row>35</xdr:row>
                    <xdr:rowOff>69850</xdr:rowOff>
                  </from>
                  <to>
                    <xdr:col>6</xdr:col>
                    <xdr:colOff>368300</xdr:colOff>
                    <xdr:row>36</xdr:row>
                    <xdr:rowOff>107950</xdr:rowOff>
                  </to>
                </anchor>
              </controlPr>
            </control>
          </mc:Choice>
        </mc:AlternateContent>
        <mc:AlternateContent xmlns:mc="http://schemas.openxmlformats.org/markup-compatibility/2006">
          <mc:Choice Requires="x14">
            <control shapeId="6223" r:id="rId85" name="Check Box 79">
              <controlPr locked="0" defaultSize="0" autoFill="0" autoLine="0" autoPict="0">
                <anchor>
                  <from>
                    <xdr:col>10</xdr:col>
                    <xdr:colOff>139700</xdr:colOff>
                    <xdr:row>36</xdr:row>
                    <xdr:rowOff>139700</xdr:rowOff>
                  </from>
                  <to>
                    <xdr:col>11</xdr:col>
                    <xdr:colOff>222250</xdr:colOff>
                    <xdr:row>37</xdr:row>
                    <xdr:rowOff>184150</xdr:rowOff>
                  </to>
                </anchor>
              </controlPr>
            </control>
          </mc:Choice>
        </mc:AlternateContent>
        <mc:AlternateContent xmlns:mc="http://schemas.openxmlformats.org/markup-compatibility/2006">
          <mc:Choice Requires="x14">
            <control shapeId="6224" r:id="rId86" name="Check Box 80">
              <controlPr defaultSize="0" autoFill="0" autoLine="0" autoPict="0">
                <anchor>
                  <from>
                    <xdr:col>6</xdr:col>
                    <xdr:colOff>304800</xdr:colOff>
                    <xdr:row>37</xdr:row>
                    <xdr:rowOff>88900</xdr:rowOff>
                  </from>
                  <to>
                    <xdr:col>6</xdr:col>
                    <xdr:colOff>558800</xdr:colOff>
                    <xdr:row>37</xdr:row>
                    <xdr:rowOff>317500</xdr:rowOff>
                  </to>
                </anchor>
              </controlPr>
            </control>
          </mc:Choice>
        </mc:AlternateContent>
        <mc:AlternateContent xmlns:mc="http://schemas.openxmlformats.org/markup-compatibility/2006">
          <mc:Choice Requires="x14">
            <control shapeId="6225" r:id="rId87" name="Check Box 81">
              <controlPr locked="0" defaultSize="0" autoFill="0" autoLine="0" autoPict="0">
                <anchor>
                  <from>
                    <xdr:col>6</xdr:col>
                    <xdr:colOff>107950</xdr:colOff>
                    <xdr:row>36</xdr:row>
                    <xdr:rowOff>101600</xdr:rowOff>
                  </from>
                  <to>
                    <xdr:col>6</xdr:col>
                    <xdr:colOff>368300</xdr:colOff>
                    <xdr:row>37</xdr:row>
                    <xdr:rowOff>146050</xdr:rowOff>
                  </to>
                </anchor>
              </controlPr>
            </control>
          </mc:Choice>
        </mc:AlternateContent>
        <mc:AlternateContent xmlns:mc="http://schemas.openxmlformats.org/markup-compatibility/2006">
          <mc:Choice Requires="x14">
            <control shapeId="6226" r:id="rId88" name="Check Box 82">
              <controlPr locked="0" defaultSize="0" autoFill="0" autoLine="0" autoPict="0">
                <anchor>
                  <from>
                    <xdr:col>10</xdr:col>
                    <xdr:colOff>107950</xdr:colOff>
                    <xdr:row>38</xdr:row>
                    <xdr:rowOff>139700</xdr:rowOff>
                  </from>
                  <to>
                    <xdr:col>11</xdr:col>
                    <xdr:colOff>190500</xdr:colOff>
                    <xdr:row>39</xdr:row>
                    <xdr:rowOff>190500</xdr:rowOff>
                  </to>
                </anchor>
              </controlPr>
            </control>
          </mc:Choice>
        </mc:AlternateContent>
        <mc:AlternateContent xmlns:mc="http://schemas.openxmlformats.org/markup-compatibility/2006">
          <mc:Choice Requires="x14">
            <control shapeId="6227" r:id="rId89" name="Check Box 83">
              <controlPr defaultSize="0" autoFill="0" autoLine="0" autoPict="0">
                <anchor>
                  <from>
                    <xdr:col>6</xdr:col>
                    <xdr:colOff>304800</xdr:colOff>
                    <xdr:row>39</xdr:row>
                    <xdr:rowOff>107950</xdr:rowOff>
                  </from>
                  <to>
                    <xdr:col>6</xdr:col>
                    <xdr:colOff>571500</xdr:colOff>
                    <xdr:row>39</xdr:row>
                    <xdr:rowOff>342900</xdr:rowOff>
                  </to>
                </anchor>
              </controlPr>
            </control>
          </mc:Choice>
        </mc:AlternateContent>
        <mc:AlternateContent xmlns:mc="http://schemas.openxmlformats.org/markup-compatibility/2006">
          <mc:Choice Requires="x14">
            <control shapeId="6228" r:id="rId90" name="Check Box 84">
              <controlPr locked="0" defaultSize="0" autoFill="0" autoLine="0" autoPict="0">
                <anchor>
                  <from>
                    <xdr:col>6</xdr:col>
                    <xdr:colOff>76200</xdr:colOff>
                    <xdr:row>38</xdr:row>
                    <xdr:rowOff>101600</xdr:rowOff>
                  </from>
                  <to>
                    <xdr:col>6</xdr:col>
                    <xdr:colOff>336550</xdr:colOff>
                    <xdr:row>39</xdr:row>
                    <xdr:rowOff>152400</xdr:rowOff>
                  </to>
                </anchor>
              </controlPr>
            </control>
          </mc:Choice>
        </mc:AlternateContent>
        <mc:AlternateContent xmlns:mc="http://schemas.openxmlformats.org/markup-compatibility/2006">
          <mc:Choice Requires="x14">
            <control shapeId="6229" r:id="rId91" name="Check Box 85">
              <controlPr locked="0" defaultSize="0" autoFill="0" autoLine="0" autoPict="0">
                <anchor>
                  <from>
                    <xdr:col>10</xdr:col>
                    <xdr:colOff>107950</xdr:colOff>
                    <xdr:row>39</xdr:row>
                    <xdr:rowOff>209550</xdr:rowOff>
                  </from>
                  <to>
                    <xdr:col>11</xdr:col>
                    <xdr:colOff>190500</xdr:colOff>
                    <xdr:row>40</xdr:row>
                    <xdr:rowOff>76200</xdr:rowOff>
                  </to>
                </anchor>
              </controlPr>
            </control>
          </mc:Choice>
        </mc:AlternateContent>
        <mc:AlternateContent xmlns:mc="http://schemas.openxmlformats.org/markup-compatibility/2006">
          <mc:Choice Requires="x14">
            <control shapeId="6230" r:id="rId92" name="Check Box 86">
              <controlPr defaultSize="0" autoFill="0" autoLine="0" autoPict="0">
                <anchor>
                  <from>
                    <xdr:col>6</xdr:col>
                    <xdr:colOff>298450</xdr:colOff>
                    <xdr:row>39</xdr:row>
                    <xdr:rowOff>292100</xdr:rowOff>
                  </from>
                  <to>
                    <xdr:col>6</xdr:col>
                    <xdr:colOff>558800</xdr:colOff>
                    <xdr:row>40</xdr:row>
                    <xdr:rowOff>165100</xdr:rowOff>
                  </to>
                </anchor>
              </controlPr>
            </control>
          </mc:Choice>
        </mc:AlternateContent>
        <mc:AlternateContent xmlns:mc="http://schemas.openxmlformats.org/markup-compatibility/2006">
          <mc:Choice Requires="x14">
            <control shapeId="6231" r:id="rId93" name="Check Box 87">
              <controlPr locked="0" defaultSize="0" autoFill="0" autoLine="0" autoPict="0">
                <anchor>
                  <from>
                    <xdr:col>6</xdr:col>
                    <xdr:colOff>76200</xdr:colOff>
                    <xdr:row>39</xdr:row>
                    <xdr:rowOff>215900</xdr:rowOff>
                  </from>
                  <to>
                    <xdr:col>6</xdr:col>
                    <xdr:colOff>336550</xdr:colOff>
                    <xdr:row>40</xdr:row>
                    <xdr:rowOff>76200</xdr:rowOff>
                  </to>
                </anchor>
              </controlPr>
            </control>
          </mc:Choice>
        </mc:AlternateContent>
        <mc:AlternateContent xmlns:mc="http://schemas.openxmlformats.org/markup-compatibility/2006">
          <mc:Choice Requires="x14">
            <control shapeId="6232" r:id="rId94" name="Check Box 88">
              <controlPr locked="0" defaultSize="0" autoFill="0" autoLine="0" autoPict="0">
                <anchor>
                  <from>
                    <xdr:col>10</xdr:col>
                    <xdr:colOff>107950</xdr:colOff>
                    <xdr:row>40</xdr:row>
                    <xdr:rowOff>31750</xdr:rowOff>
                  </from>
                  <to>
                    <xdr:col>11</xdr:col>
                    <xdr:colOff>190500</xdr:colOff>
                    <xdr:row>41</xdr:row>
                    <xdr:rowOff>76200</xdr:rowOff>
                  </to>
                </anchor>
              </controlPr>
            </control>
          </mc:Choice>
        </mc:AlternateContent>
        <mc:AlternateContent xmlns:mc="http://schemas.openxmlformats.org/markup-compatibility/2006">
          <mc:Choice Requires="x14">
            <control shapeId="6233" r:id="rId95" name="Check Box 89">
              <controlPr defaultSize="0" autoFill="0" autoLine="0" autoPict="0">
                <anchor>
                  <from>
                    <xdr:col>6</xdr:col>
                    <xdr:colOff>298450</xdr:colOff>
                    <xdr:row>40</xdr:row>
                    <xdr:rowOff>101600</xdr:rowOff>
                  </from>
                  <to>
                    <xdr:col>6</xdr:col>
                    <xdr:colOff>565150</xdr:colOff>
                    <xdr:row>41</xdr:row>
                    <xdr:rowOff>158750</xdr:rowOff>
                  </to>
                </anchor>
              </controlPr>
            </control>
          </mc:Choice>
        </mc:AlternateContent>
        <mc:AlternateContent xmlns:mc="http://schemas.openxmlformats.org/markup-compatibility/2006">
          <mc:Choice Requires="x14">
            <control shapeId="6234" r:id="rId96" name="Check Box 90">
              <controlPr locked="0" defaultSize="0" autoFill="0" autoLine="0" autoPict="0">
                <anchor>
                  <from>
                    <xdr:col>6</xdr:col>
                    <xdr:colOff>76200</xdr:colOff>
                    <xdr:row>40</xdr:row>
                    <xdr:rowOff>25400</xdr:rowOff>
                  </from>
                  <to>
                    <xdr:col>6</xdr:col>
                    <xdr:colOff>336550</xdr:colOff>
                    <xdr:row>41</xdr:row>
                    <xdr:rowOff>63500</xdr:rowOff>
                  </to>
                </anchor>
              </controlPr>
            </control>
          </mc:Choice>
        </mc:AlternateContent>
        <mc:AlternateContent xmlns:mc="http://schemas.openxmlformats.org/markup-compatibility/2006">
          <mc:Choice Requires="x14">
            <control shapeId="6235" r:id="rId97" name="Check Box 91">
              <controlPr locked="0" defaultSize="0" autoFill="0" autoLine="0" autoPict="0">
                <anchor>
                  <from>
                    <xdr:col>10</xdr:col>
                    <xdr:colOff>107950</xdr:colOff>
                    <xdr:row>41</xdr:row>
                    <xdr:rowOff>19050</xdr:rowOff>
                  </from>
                  <to>
                    <xdr:col>11</xdr:col>
                    <xdr:colOff>190500</xdr:colOff>
                    <xdr:row>42</xdr:row>
                    <xdr:rowOff>63500</xdr:rowOff>
                  </to>
                </anchor>
              </controlPr>
            </control>
          </mc:Choice>
        </mc:AlternateContent>
        <mc:AlternateContent xmlns:mc="http://schemas.openxmlformats.org/markup-compatibility/2006">
          <mc:Choice Requires="x14">
            <control shapeId="6236" r:id="rId98" name="Check Box 92">
              <controlPr defaultSize="0" autoFill="0" autoLine="0" autoPict="0">
                <anchor>
                  <from>
                    <xdr:col>6</xdr:col>
                    <xdr:colOff>298450</xdr:colOff>
                    <xdr:row>41</xdr:row>
                    <xdr:rowOff>133350</xdr:rowOff>
                  </from>
                  <to>
                    <xdr:col>6</xdr:col>
                    <xdr:colOff>565150</xdr:colOff>
                    <xdr:row>43</xdr:row>
                    <xdr:rowOff>12700</xdr:rowOff>
                  </to>
                </anchor>
              </controlPr>
            </control>
          </mc:Choice>
        </mc:AlternateContent>
        <mc:AlternateContent xmlns:mc="http://schemas.openxmlformats.org/markup-compatibility/2006">
          <mc:Choice Requires="x14">
            <control shapeId="6237" r:id="rId99" name="Check Box 93">
              <controlPr locked="0" defaultSize="0" autoFill="0" autoLine="0" autoPict="0">
                <anchor>
                  <from>
                    <xdr:col>6</xdr:col>
                    <xdr:colOff>76200</xdr:colOff>
                    <xdr:row>41</xdr:row>
                    <xdr:rowOff>19050</xdr:rowOff>
                  </from>
                  <to>
                    <xdr:col>6</xdr:col>
                    <xdr:colOff>336550</xdr:colOff>
                    <xdr:row>42</xdr:row>
                    <xdr:rowOff>57150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7159E-60F1-4FC4-BA0F-43FCA3EE357E}">
  <sheetPr codeName="Sheet14"/>
  <dimension ref="A1"/>
  <sheetViews>
    <sheetView showGridLines="0" workbookViewId="0">
      <selection activeCell="E19" sqref="E19"/>
    </sheetView>
  </sheetViews>
  <sheetFormatPr defaultRowHeight="14.5"/>
  <sheetData/>
  <pageMargins left="0.7" right="0.7" top="0.75" bottom="0.75" header="0.3" footer="0.3"/>
  <customProperties>
    <customPr name="workbookAdvencedSettings" r:id="rId1"/>
    <customPr name="workbookExecutionSettings" r:id="rId2"/>
    <customPr name="workbookGatewaySettings" r:id="rId3"/>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9E4DC-8B83-43CA-9FAF-0AB6D0413B62}">
  <sheetPr codeName="Sheet15"/>
  <dimension ref="B2:CQ100"/>
  <sheetViews>
    <sheetView showGridLines="0" workbookViewId="0"/>
  </sheetViews>
  <sheetFormatPr defaultRowHeight="14.5"/>
  <cols>
    <col min="4" max="4" width="9.453125" customWidth="1"/>
    <col min="5" max="5" width="15.453125" customWidth="1"/>
    <col min="7" max="7" width="16.453125" customWidth="1"/>
    <col min="8" max="8" width="17.453125" customWidth="1"/>
    <col min="9" max="9" width="11.54296875" customWidth="1"/>
    <col min="10" max="10" width="11.453125" customWidth="1"/>
    <col min="11" max="11" width="15.54296875" customWidth="1"/>
    <col min="12" max="12" width="13.54296875" customWidth="1"/>
    <col min="13" max="13" width="10.453125" customWidth="1"/>
    <col min="14" max="14" width="26" customWidth="1"/>
    <col min="15" max="15" width="25.54296875" customWidth="1"/>
    <col min="16" max="16" width="18.54296875" customWidth="1"/>
    <col min="17" max="17" width="16.54296875" customWidth="1"/>
    <col min="18" max="18" width="20.453125" customWidth="1"/>
    <col min="19" max="19" width="19.453125" customWidth="1"/>
    <col min="20" max="20" width="18.54296875" customWidth="1"/>
    <col min="21" max="21" width="19" customWidth="1"/>
    <col min="22" max="22" width="16.54296875" customWidth="1"/>
    <col min="23" max="23" width="17.54296875" customWidth="1"/>
    <col min="24" max="24" width="14.453125" customWidth="1"/>
    <col min="25" max="25" width="17.54296875" customWidth="1"/>
    <col min="49" max="49" width="19" style="7" customWidth="1"/>
    <col min="53" max="53" width="9.453125" customWidth="1"/>
    <col min="54" max="54" width="15.453125" customWidth="1"/>
    <col min="55" max="55" width="11.54296875" customWidth="1"/>
    <col min="56" max="56" width="18" customWidth="1"/>
    <col min="57" max="57" width="18.453125" customWidth="1"/>
    <col min="58" max="58" width="10.54296875" customWidth="1"/>
    <col min="59" max="59" width="9.453125" customWidth="1"/>
    <col min="60" max="60" width="16.453125" customWidth="1"/>
    <col min="61" max="61" width="13.54296875" customWidth="1"/>
    <col min="62" max="62" width="15.453125" customWidth="1"/>
    <col min="64" max="64" width="11.453125" customWidth="1"/>
    <col min="65" max="65" width="19.54296875" customWidth="1"/>
    <col min="66" max="66" width="13.453125" customWidth="1"/>
    <col min="68" max="68" width="10.453125" customWidth="1"/>
    <col min="69" max="69" width="9.453125" customWidth="1"/>
    <col min="70" max="70" width="14.453125" customWidth="1"/>
    <col min="71" max="71" width="16.54296875" customWidth="1"/>
    <col min="79" max="79" width="9.54296875" customWidth="1"/>
    <col min="80" max="80" width="16.453125" customWidth="1"/>
    <col min="81" max="81" width="23.453125" customWidth="1"/>
    <col min="82" max="82" width="13.54296875" customWidth="1"/>
    <col min="83" max="83" width="21.54296875" customWidth="1"/>
    <col min="84" max="84" width="9.54296875" customWidth="1"/>
    <col min="85" max="85" width="24.54296875" customWidth="1"/>
    <col min="86" max="86" width="31.453125" customWidth="1"/>
    <col min="87" max="87" width="18.453125" customWidth="1"/>
    <col min="88" max="88" width="15" customWidth="1"/>
    <col min="90" max="90" width="24.453125" customWidth="1"/>
    <col min="91" max="91" width="18" customWidth="1"/>
    <col min="92" max="92" width="14.54296875" customWidth="1"/>
    <col min="93" max="93" width="14" customWidth="1"/>
    <col min="94" max="94" width="20.54296875" customWidth="1"/>
    <col min="95" max="95" width="14.54296875" customWidth="1"/>
  </cols>
  <sheetData>
    <row r="2" spans="2:95">
      <c r="BA2" s="159" t="s">
        <v>4727</v>
      </c>
      <c r="BB2" t="s">
        <v>4728</v>
      </c>
    </row>
    <row r="4" spans="2:95">
      <c r="AW4" s="7">
        <f>COUNTA($AW$6:$AW$100)</f>
        <v>1</v>
      </c>
    </row>
    <row r="5" spans="2:95" ht="29">
      <c r="B5" s="262" t="s">
        <v>4036</v>
      </c>
      <c r="D5" s="263" t="s">
        <v>4027</v>
      </c>
      <c r="E5" s="264" t="s">
        <v>4029</v>
      </c>
      <c r="F5" s="264" t="s">
        <v>4038</v>
      </c>
      <c r="G5" s="264" t="s">
        <v>4035</v>
      </c>
      <c r="H5" s="264" t="s">
        <v>4729</v>
      </c>
      <c r="I5" s="264" t="s">
        <v>4032</v>
      </c>
      <c r="J5" s="264" t="s">
        <v>4039</v>
      </c>
      <c r="K5" s="264" t="s">
        <v>4730</v>
      </c>
      <c r="L5" s="265" t="s">
        <v>4036</v>
      </c>
      <c r="M5" s="264" t="s">
        <v>4050</v>
      </c>
      <c r="N5" s="264" t="s">
        <v>4731</v>
      </c>
      <c r="O5" s="264" t="s">
        <v>4732</v>
      </c>
      <c r="P5" s="264" t="s">
        <v>4733</v>
      </c>
      <c r="Q5" s="264" t="s">
        <v>4734</v>
      </c>
      <c r="R5" s="264" t="s">
        <v>4735</v>
      </c>
      <c r="S5" s="264" t="s">
        <v>4736</v>
      </c>
      <c r="T5" s="264" t="s">
        <v>4737</v>
      </c>
      <c r="U5" s="264" t="s">
        <v>4738</v>
      </c>
      <c r="V5" s="264" t="s">
        <v>4739</v>
      </c>
      <c r="W5" s="264" t="s">
        <v>4740</v>
      </c>
      <c r="X5" s="264" t="s">
        <v>4741</v>
      </c>
      <c r="Y5" s="266" t="s">
        <v>4742</v>
      </c>
      <c r="AW5" s="267" t="s">
        <v>4743</v>
      </c>
      <c r="BA5" s="154" t="s">
        <v>4027</v>
      </c>
      <c r="BB5" s="155" t="s">
        <v>4029</v>
      </c>
      <c r="BC5" s="155" t="s">
        <v>4032</v>
      </c>
      <c r="BD5" s="155" t="s">
        <v>4033</v>
      </c>
      <c r="BE5" s="155" t="s">
        <v>4744</v>
      </c>
      <c r="BF5" s="155" t="s">
        <v>120</v>
      </c>
      <c r="BG5" s="155" t="s">
        <v>76</v>
      </c>
      <c r="BH5" s="155" t="s">
        <v>4035</v>
      </c>
      <c r="BI5" s="155" t="s">
        <v>4036</v>
      </c>
      <c r="BJ5" s="155" t="s">
        <v>3489</v>
      </c>
      <c r="BK5" s="155" t="s">
        <v>4038</v>
      </c>
      <c r="BL5" s="155" t="s">
        <v>4039</v>
      </c>
      <c r="BM5" s="155" t="s">
        <v>4040</v>
      </c>
      <c r="BN5" s="155" t="s">
        <v>4041</v>
      </c>
      <c r="BO5" s="155" t="s">
        <v>4049</v>
      </c>
      <c r="BP5" s="155" t="s">
        <v>4050</v>
      </c>
      <c r="BQ5" s="155" t="s">
        <v>71</v>
      </c>
      <c r="BR5" s="155" t="s">
        <v>4046</v>
      </c>
      <c r="BS5" s="156" t="s">
        <v>4739</v>
      </c>
      <c r="CA5" s="263" t="s">
        <v>4745</v>
      </c>
      <c r="CB5" s="264" t="s">
        <v>4746</v>
      </c>
      <c r="CC5" s="264" t="s">
        <v>4747</v>
      </c>
      <c r="CD5" s="264" t="s">
        <v>4748</v>
      </c>
      <c r="CE5" s="264" t="s">
        <v>4749</v>
      </c>
      <c r="CF5" s="264" t="s">
        <v>4750</v>
      </c>
      <c r="CG5" s="264" t="s">
        <v>4751</v>
      </c>
      <c r="CH5" s="264" t="s">
        <v>4752</v>
      </c>
      <c r="CI5" s="264" t="s">
        <v>4753</v>
      </c>
      <c r="CJ5" s="264" t="s">
        <v>4754</v>
      </c>
      <c r="CK5" s="264" t="s">
        <v>4049</v>
      </c>
      <c r="CL5" s="264" t="s">
        <v>4755</v>
      </c>
      <c r="CM5" s="264" t="s">
        <v>4756</v>
      </c>
      <c r="CN5" s="264" t="s">
        <v>4757</v>
      </c>
      <c r="CO5" s="264" t="s">
        <v>4758</v>
      </c>
      <c r="CP5" s="264" t="s">
        <v>4759</v>
      </c>
      <c r="CQ5" s="266" t="s">
        <v>4760</v>
      </c>
    </row>
    <row r="6" spans="2:95">
      <c r="AW6" s="268" t="str" cm="1">
        <f t="array" ref="AW6">_xlfn.UNIQUE(Findings[Case ID])</f>
        <v>M</v>
      </c>
      <c r="BA6" t="s">
        <v>4761</v>
      </c>
      <c r="BB6" t="s">
        <v>4762</v>
      </c>
    </row>
    <row r="7" spans="2:95">
      <c r="AW7" s="268"/>
    </row>
    <row r="8" spans="2:95">
      <c r="AW8" s="268"/>
    </row>
    <row r="9" spans="2:95">
      <c r="AW9" s="268"/>
    </row>
    <row r="10" spans="2:95">
      <c r="AW10" s="268"/>
    </row>
    <row r="11" spans="2:95">
      <c r="AW11" s="268"/>
    </row>
    <row r="12" spans="2:95">
      <c r="AW12" s="268"/>
    </row>
    <row r="13" spans="2:95">
      <c r="AW13" s="268"/>
    </row>
    <row r="14" spans="2:95">
      <c r="AW14" s="268"/>
    </row>
    <row r="15" spans="2:95">
      <c r="AW15" s="268"/>
    </row>
    <row r="16" spans="2:95">
      <c r="AW16" s="268"/>
    </row>
    <row r="17" spans="49:49">
      <c r="AW17" s="268"/>
    </row>
    <row r="18" spans="49:49">
      <c r="AW18" s="268"/>
    </row>
    <row r="19" spans="49:49">
      <c r="AW19" s="268"/>
    </row>
    <row r="20" spans="49:49">
      <c r="AW20" s="268"/>
    </row>
    <row r="21" spans="49:49">
      <c r="AW21" s="268"/>
    </row>
    <row r="22" spans="49:49">
      <c r="AW22" s="268"/>
    </row>
    <row r="23" spans="49:49">
      <c r="AW23" s="268"/>
    </row>
    <row r="24" spans="49:49">
      <c r="AW24" s="268"/>
    </row>
    <row r="25" spans="49:49">
      <c r="AW25" s="268"/>
    </row>
    <row r="26" spans="49:49">
      <c r="AW26" s="268"/>
    </row>
    <row r="27" spans="49:49">
      <c r="AW27" s="268"/>
    </row>
    <row r="28" spans="49:49">
      <c r="AW28" s="268"/>
    </row>
    <row r="29" spans="49:49">
      <c r="AW29" s="268"/>
    </row>
    <row r="30" spans="49:49">
      <c r="AW30" s="268"/>
    </row>
    <row r="31" spans="49:49">
      <c r="AW31" s="268"/>
    </row>
    <row r="32" spans="49:49">
      <c r="AW32" s="268"/>
    </row>
    <row r="33" spans="49:49">
      <c r="AW33" s="268"/>
    </row>
    <row r="34" spans="49:49">
      <c r="AW34" s="268"/>
    </row>
    <row r="35" spans="49:49">
      <c r="AW35" s="268"/>
    </row>
    <row r="36" spans="49:49">
      <c r="AW36" s="268"/>
    </row>
    <row r="37" spans="49:49">
      <c r="AW37" s="268"/>
    </row>
    <row r="38" spans="49:49">
      <c r="AW38" s="268"/>
    </row>
    <row r="39" spans="49:49">
      <c r="AW39" s="268"/>
    </row>
    <row r="40" spans="49:49">
      <c r="AW40" s="268"/>
    </row>
    <row r="41" spans="49:49">
      <c r="AW41" s="268"/>
    </row>
    <row r="42" spans="49:49">
      <c r="AW42" s="268"/>
    </row>
    <row r="43" spans="49:49">
      <c r="AW43" s="268"/>
    </row>
    <row r="44" spans="49:49">
      <c r="AW44" s="268"/>
    </row>
    <row r="45" spans="49:49">
      <c r="AW45" s="268"/>
    </row>
    <row r="46" spans="49:49">
      <c r="AW46" s="268"/>
    </row>
    <row r="47" spans="49:49">
      <c r="AW47" s="268"/>
    </row>
    <row r="48" spans="49:49">
      <c r="AW48" s="268"/>
    </row>
    <row r="49" spans="49:49">
      <c r="AW49" s="268"/>
    </row>
    <row r="50" spans="49:49">
      <c r="AW50" s="268"/>
    </row>
    <row r="51" spans="49:49">
      <c r="AW51" s="268"/>
    </row>
    <row r="52" spans="49:49">
      <c r="AW52" s="268"/>
    </row>
    <row r="53" spans="49:49">
      <c r="AW53" s="268"/>
    </row>
    <row r="54" spans="49:49">
      <c r="AW54" s="268"/>
    </row>
    <row r="55" spans="49:49">
      <c r="AW55" s="268"/>
    </row>
    <row r="56" spans="49:49">
      <c r="AW56" s="268"/>
    </row>
    <row r="57" spans="49:49">
      <c r="AW57" s="268"/>
    </row>
    <row r="58" spans="49:49">
      <c r="AW58" s="268"/>
    </row>
    <row r="59" spans="49:49">
      <c r="AW59" s="268"/>
    </row>
    <row r="60" spans="49:49">
      <c r="AW60" s="268"/>
    </row>
    <row r="61" spans="49:49">
      <c r="AW61" s="268"/>
    </row>
    <row r="62" spans="49:49">
      <c r="AW62" s="268"/>
    </row>
    <row r="63" spans="49:49">
      <c r="AW63" s="268"/>
    </row>
    <row r="64" spans="49:49">
      <c r="AW64" s="268"/>
    </row>
    <row r="65" spans="49:49">
      <c r="AW65" s="268"/>
    </row>
    <row r="66" spans="49:49">
      <c r="AW66" s="268"/>
    </row>
    <row r="67" spans="49:49">
      <c r="AW67" s="268"/>
    </row>
    <row r="68" spans="49:49">
      <c r="AW68" s="268"/>
    </row>
    <row r="69" spans="49:49">
      <c r="AW69" s="268"/>
    </row>
    <row r="70" spans="49:49">
      <c r="AW70" s="268"/>
    </row>
    <row r="71" spans="49:49">
      <c r="AW71" s="268"/>
    </row>
    <row r="72" spans="49:49">
      <c r="AW72" s="268"/>
    </row>
    <row r="73" spans="49:49">
      <c r="AW73" s="268"/>
    </row>
    <row r="74" spans="49:49">
      <c r="AW74" s="268"/>
    </row>
    <row r="75" spans="49:49">
      <c r="AW75" s="268"/>
    </row>
    <row r="76" spans="49:49">
      <c r="AW76" s="268"/>
    </row>
    <row r="77" spans="49:49">
      <c r="AW77" s="268"/>
    </row>
    <row r="78" spans="49:49">
      <c r="AW78" s="268"/>
    </row>
    <row r="79" spans="49:49">
      <c r="AW79" s="268"/>
    </row>
    <row r="80" spans="49:49">
      <c r="AW80" s="268"/>
    </row>
    <row r="81" spans="49:49">
      <c r="AW81" s="268"/>
    </row>
    <row r="82" spans="49:49">
      <c r="AW82" s="268"/>
    </row>
    <row r="83" spans="49:49">
      <c r="AW83" s="268"/>
    </row>
    <row r="84" spans="49:49">
      <c r="AW84" s="268"/>
    </row>
    <row r="85" spans="49:49">
      <c r="AW85" s="268"/>
    </row>
    <row r="86" spans="49:49">
      <c r="AW86" s="268"/>
    </row>
    <row r="87" spans="49:49">
      <c r="AW87" s="268"/>
    </row>
    <row r="88" spans="49:49">
      <c r="AW88" s="268"/>
    </row>
    <row r="89" spans="49:49">
      <c r="AW89" s="268"/>
    </row>
    <row r="90" spans="49:49">
      <c r="AW90" s="268"/>
    </row>
    <row r="91" spans="49:49">
      <c r="AW91" s="268"/>
    </row>
    <row r="92" spans="49:49">
      <c r="AW92" s="268"/>
    </row>
    <row r="93" spans="49:49">
      <c r="AW93" s="268"/>
    </row>
    <row r="94" spans="49:49">
      <c r="AW94" s="268"/>
    </row>
    <row r="95" spans="49:49">
      <c r="AW95" s="268"/>
    </row>
    <row r="96" spans="49:49">
      <c r="AW96" s="268"/>
    </row>
    <row r="97" spans="49:49">
      <c r="AW97" s="268"/>
    </row>
    <row r="98" spans="49:49">
      <c r="AW98" s="268"/>
    </row>
    <row r="99" spans="49:49">
      <c r="AW99" s="268"/>
    </row>
    <row r="100" spans="49:49">
      <c r="AW100" s="268"/>
    </row>
  </sheetData>
  <pageMargins left="0.7" right="0.7" top="0.75" bottom="0.75" header="0.3" footer="0.3"/>
  <customProperties>
    <customPr name="workbookAdvencedSettings" r:id="rId1"/>
    <customPr name="workbookExecutionSettings" r:id="rId2"/>
    <customPr name="workbookGatewaySettings" r:id="rId3"/>
  </customProperties>
  <tableParts count="3">
    <tablePart r:id="rId4"/>
    <tablePart r:id="rId5"/>
    <tablePart r:id="rId6"/>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2E22F2-C8A8-41E8-A3C1-FA4C03A02148}">
  <sheetPr codeName="Sheet16"/>
  <dimension ref="E3:Q442"/>
  <sheetViews>
    <sheetView showGridLines="0" zoomScale="85" zoomScaleNormal="85" workbookViewId="0">
      <selection activeCell="N7" sqref="N7:O7"/>
    </sheetView>
  </sheetViews>
  <sheetFormatPr defaultRowHeight="14.5"/>
  <cols>
    <col min="5" max="5" width="4.453125" bestFit="1" customWidth="1"/>
    <col min="6" max="6" width="19.54296875" bestFit="1" customWidth="1"/>
    <col min="7" max="7" width="68" customWidth="1"/>
    <col min="14" max="15" width="25" customWidth="1"/>
    <col min="16" max="16" width="24.54296875" bestFit="1" customWidth="1"/>
    <col min="17" max="17" width="47.453125" customWidth="1"/>
  </cols>
  <sheetData>
    <row r="3" spans="5:17">
      <c r="G3" s="158" t="s">
        <v>4763</v>
      </c>
    </row>
    <row r="4" spans="5:17" ht="32.25" customHeight="1">
      <c r="E4">
        <v>12</v>
      </c>
      <c r="F4" s="157" t="str">
        <f ca="1">TEXT(TODAY(),"DDDD")</f>
        <v>Friday</v>
      </c>
      <c r="G4" s="98" t="str" cm="1">
        <f t="array" aca="1" ref="G4" ca="1">_xlfn.IFS($F$4="Monday",INDEX(Table90[#All],MATCH(1,("Monday"=Table90[[#All],[CLASIFICATION]])*(RANDBETWEEN(1,9)=Table90[[#All],['#]]),0),3),$F$4="Friday",INDEX(Table90[#All],MATCH(1,("Friday"=Table90[[#All],[CLASIFICATION]])*(RANDBETWEEN(1,9)=Table90[[#All],['#]]),0),3),IF(OR(F4&lt;&gt;"Monday",F4&lt;&gt;"Friday"),TRUE),VLOOKUP($E$4,Table90[#All],3,FALSE))</f>
        <v>“It’s Friday morning, mankind! Good vibe, don’t frown and let the monster see you smile!” —Napz Cherub Pellazo</v>
      </c>
    </row>
    <row r="5" spans="5:17">
      <c r="Q5" t="str">
        <f>P6&amp;Q6&amp;"&lt;br&gt;"&amp;P7&amp;Q7&amp;"&lt;br&gt;"&amp;P8&amp;Q8&amp;"&lt;br&gt;"&amp;P9&amp;Q9&amp;"&lt;br&gt;"&amp;P10&amp;Q10&amp;"&lt;br&gt;"&amp;P11&amp;Q11&amp;"&lt;br&gt;"&amp;P12&amp;Q12&amp;"&lt;br&gt;"&amp;P13&amp;Q13</f>
        <v xml:space="preserve">Employee Name: enter manually&lt;br&gt;Employee ID: 243374&lt;br&gt;Feedback:VERY HAPPY&lt;br&gt;FB_Date : 01.19 09:05&lt;br&gt;FB_text : JJ testing&lt;br&gt;Version_Used : 45310.375&lt;br&gt;Country_Selected : &lt;br&gt;Questionnaire_Selected : </v>
      </c>
    </row>
    <row r="6" spans="5:17">
      <c r="P6" s="159" t="s">
        <v>4764</v>
      </c>
      <c r="Q6" t="str" cm="1">
        <f t="array" ref="Q6">LocationInfo[WUCO
Name]</f>
        <v>enter manually</v>
      </c>
    </row>
    <row r="7" spans="5:17">
      <c r="E7" t="s">
        <v>4465</v>
      </c>
      <c r="F7" t="s">
        <v>4765</v>
      </c>
      <c r="G7" t="s">
        <v>4766</v>
      </c>
      <c r="N7" s="159" t="s">
        <v>4767</v>
      </c>
      <c r="O7" s="348" t="s">
        <v>6</v>
      </c>
      <c r="P7" s="159" t="s">
        <v>4768</v>
      </c>
      <c r="Q7" s="9">
        <v>243374</v>
      </c>
    </row>
    <row r="8" spans="5:17">
      <c r="E8">
        <v>1</v>
      </c>
      <c r="F8" t="s">
        <v>4769</v>
      </c>
      <c r="G8" t="s">
        <v>4770</v>
      </c>
      <c r="N8" s="159" t="s">
        <v>4771</v>
      </c>
      <c r="O8" t="s">
        <v>4772</v>
      </c>
      <c r="P8" s="159" t="s">
        <v>4773</v>
      </c>
      <c r="Q8" s="9" t="s">
        <v>4774</v>
      </c>
    </row>
    <row r="9" spans="5:17">
      <c r="E9">
        <v>2</v>
      </c>
      <c r="F9" t="s">
        <v>4769</v>
      </c>
      <c r="G9" t="s">
        <v>4775</v>
      </c>
      <c r="N9" s="159" t="s">
        <v>4776</v>
      </c>
      <c r="O9" t="s">
        <v>4777</v>
      </c>
      <c r="P9" s="159" t="s">
        <v>4778</v>
      </c>
      <c r="Q9" s="9" t="s">
        <v>4779</v>
      </c>
    </row>
    <row r="10" spans="5:17">
      <c r="E10">
        <v>3</v>
      </c>
      <c r="F10" t="s">
        <v>4769</v>
      </c>
      <c r="G10" t="s">
        <v>4780</v>
      </c>
      <c r="P10" s="159" t="s">
        <v>4781</v>
      </c>
      <c r="Q10" s="9" t="s">
        <v>4782</v>
      </c>
    </row>
    <row r="11" spans="5:17">
      <c r="E11">
        <v>4</v>
      </c>
      <c r="F11" t="s">
        <v>4769</v>
      </c>
      <c r="G11" t="s">
        <v>4783</v>
      </c>
      <c r="P11" s="159" t="s">
        <v>4784</v>
      </c>
      <c r="Q11" s="346">
        <v>45310.375</v>
      </c>
    </row>
    <row r="12" spans="5:17">
      <c r="E12">
        <v>5</v>
      </c>
      <c r="F12" t="s">
        <v>4769</v>
      </c>
      <c r="G12" t="s">
        <v>4785</v>
      </c>
      <c r="P12" s="159" t="s">
        <v>4786</v>
      </c>
      <c r="Q12" s="9"/>
    </row>
    <row r="13" spans="5:17">
      <c r="E13">
        <v>6</v>
      </c>
      <c r="F13" t="s">
        <v>4769</v>
      </c>
      <c r="G13" t="s">
        <v>4787</v>
      </c>
      <c r="P13" s="159" t="s">
        <v>4788</v>
      </c>
      <c r="Q13" s="9"/>
    </row>
    <row r="14" spans="5:17">
      <c r="E14">
        <v>7</v>
      </c>
      <c r="F14" t="s">
        <v>4769</v>
      </c>
      <c r="G14" t="s">
        <v>4789</v>
      </c>
    </row>
    <row r="15" spans="5:17">
      <c r="E15">
        <v>8</v>
      </c>
      <c r="F15" t="s">
        <v>4769</v>
      </c>
      <c r="G15" t="s">
        <v>4790</v>
      </c>
    </row>
    <row r="16" spans="5:17">
      <c r="E16">
        <v>9</v>
      </c>
      <c r="F16" t="s">
        <v>4769</v>
      </c>
      <c r="G16" t="s">
        <v>4791</v>
      </c>
      <c r="P16" s="159"/>
    </row>
    <row r="17" spans="5:16">
      <c r="E17">
        <v>10</v>
      </c>
      <c r="F17" t="s">
        <v>4769</v>
      </c>
      <c r="G17" t="s">
        <v>4792</v>
      </c>
      <c r="P17" s="159"/>
    </row>
    <row r="18" spans="5:16">
      <c r="E18">
        <v>11</v>
      </c>
      <c r="F18" t="s">
        <v>4769</v>
      </c>
      <c r="G18" t="s">
        <v>4793</v>
      </c>
    </row>
    <row r="19" spans="5:16">
      <c r="E19">
        <v>12</v>
      </c>
      <c r="F19" t="s">
        <v>4769</v>
      </c>
      <c r="G19" t="s">
        <v>4794</v>
      </c>
    </row>
    <row r="20" spans="5:16">
      <c r="E20">
        <v>13</v>
      </c>
      <c r="F20" t="s">
        <v>4769</v>
      </c>
      <c r="G20" t="s">
        <v>4795</v>
      </c>
    </row>
    <row r="21" spans="5:16">
      <c r="E21">
        <v>14</v>
      </c>
      <c r="F21" t="s">
        <v>4769</v>
      </c>
      <c r="G21" t="s">
        <v>4796</v>
      </c>
    </row>
    <row r="22" spans="5:16">
      <c r="E22">
        <v>15</v>
      </c>
      <c r="F22" t="s">
        <v>4769</v>
      </c>
      <c r="G22" t="s">
        <v>4797</v>
      </c>
    </row>
    <row r="23" spans="5:16">
      <c r="E23">
        <v>16</v>
      </c>
      <c r="F23" t="s">
        <v>4769</v>
      </c>
      <c r="G23" t="s">
        <v>4798</v>
      </c>
    </row>
    <row r="24" spans="5:16">
      <c r="E24">
        <v>17</v>
      </c>
      <c r="F24" t="s">
        <v>4769</v>
      </c>
      <c r="G24" t="s">
        <v>4799</v>
      </c>
    </row>
    <row r="25" spans="5:16">
      <c r="E25">
        <v>18</v>
      </c>
      <c r="F25" t="s">
        <v>4769</v>
      </c>
      <c r="G25" t="s">
        <v>4800</v>
      </c>
    </row>
    <row r="26" spans="5:16">
      <c r="E26">
        <v>19</v>
      </c>
      <c r="F26" t="s">
        <v>4769</v>
      </c>
      <c r="G26" t="s">
        <v>4801</v>
      </c>
    </row>
    <row r="27" spans="5:16">
      <c r="E27">
        <v>20</v>
      </c>
      <c r="F27" t="s">
        <v>4769</v>
      </c>
      <c r="G27" t="s">
        <v>4802</v>
      </c>
    </row>
    <row r="28" spans="5:16">
      <c r="E28">
        <v>21</v>
      </c>
      <c r="F28" t="s">
        <v>4769</v>
      </c>
      <c r="G28" t="s">
        <v>4803</v>
      </c>
    </row>
    <row r="29" spans="5:16">
      <c r="E29">
        <v>1</v>
      </c>
      <c r="F29" t="s">
        <v>4804</v>
      </c>
      <c r="G29" t="s">
        <v>4805</v>
      </c>
    </row>
    <row r="30" spans="5:16">
      <c r="E30">
        <v>2</v>
      </c>
      <c r="F30" t="s">
        <v>4804</v>
      </c>
      <c r="G30" t="s">
        <v>4806</v>
      </c>
    </row>
    <row r="31" spans="5:16">
      <c r="E31">
        <v>3</v>
      </c>
      <c r="F31" t="s">
        <v>4804</v>
      </c>
      <c r="G31" t="s">
        <v>4807</v>
      </c>
    </row>
    <row r="32" spans="5:16">
      <c r="E32">
        <v>4</v>
      </c>
      <c r="F32" t="s">
        <v>4804</v>
      </c>
      <c r="G32" t="s">
        <v>4808</v>
      </c>
    </row>
    <row r="33" spans="5:7">
      <c r="E33">
        <v>5</v>
      </c>
      <c r="F33" t="s">
        <v>4804</v>
      </c>
      <c r="G33" t="s">
        <v>4809</v>
      </c>
    </row>
    <row r="34" spans="5:7">
      <c r="E34">
        <v>6</v>
      </c>
      <c r="F34" t="s">
        <v>4804</v>
      </c>
      <c r="G34" t="s">
        <v>4810</v>
      </c>
    </row>
    <row r="35" spans="5:7">
      <c r="E35">
        <v>7</v>
      </c>
      <c r="F35" t="s">
        <v>4804</v>
      </c>
      <c r="G35" t="s">
        <v>4811</v>
      </c>
    </row>
    <row r="36" spans="5:7">
      <c r="E36">
        <v>8</v>
      </c>
      <c r="F36" t="s">
        <v>4804</v>
      </c>
      <c r="G36" t="s">
        <v>4812</v>
      </c>
    </row>
    <row r="37" spans="5:7">
      <c r="E37">
        <v>9</v>
      </c>
      <c r="F37" t="s">
        <v>4804</v>
      </c>
      <c r="G37" t="s">
        <v>4813</v>
      </c>
    </row>
    <row r="38" spans="5:7">
      <c r="E38">
        <v>1</v>
      </c>
      <c r="F38" t="s">
        <v>4814</v>
      </c>
      <c r="G38" t="s">
        <v>4815</v>
      </c>
    </row>
    <row r="39" spans="5:7">
      <c r="E39">
        <v>2</v>
      </c>
      <c r="F39" t="s">
        <v>4814</v>
      </c>
      <c r="G39" t="s">
        <v>4816</v>
      </c>
    </row>
    <row r="40" spans="5:7">
      <c r="E40">
        <v>3</v>
      </c>
      <c r="F40" t="s">
        <v>4814</v>
      </c>
      <c r="G40" t="s">
        <v>4817</v>
      </c>
    </row>
    <row r="41" spans="5:7">
      <c r="E41">
        <v>4</v>
      </c>
      <c r="F41" t="s">
        <v>4814</v>
      </c>
      <c r="G41" t="s">
        <v>4818</v>
      </c>
    </row>
    <row r="42" spans="5:7">
      <c r="E42">
        <v>5</v>
      </c>
      <c r="F42" t="s">
        <v>4814</v>
      </c>
      <c r="G42" t="s">
        <v>4819</v>
      </c>
    </row>
    <row r="43" spans="5:7">
      <c r="E43">
        <v>6</v>
      </c>
      <c r="F43" t="s">
        <v>4814</v>
      </c>
      <c r="G43" t="s">
        <v>4820</v>
      </c>
    </row>
    <row r="44" spans="5:7">
      <c r="E44">
        <v>7</v>
      </c>
      <c r="F44" t="s">
        <v>4814</v>
      </c>
      <c r="G44" t="s">
        <v>4821</v>
      </c>
    </row>
    <row r="45" spans="5:7">
      <c r="E45">
        <v>8</v>
      </c>
      <c r="F45" t="s">
        <v>4814</v>
      </c>
      <c r="G45" t="s">
        <v>4822</v>
      </c>
    </row>
    <row r="46" spans="5:7">
      <c r="E46">
        <v>9</v>
      </c>
      <c r="F46" t="s">
        <v>4814</v>
      </c>
      <c r="G46" t="s">
        <v>4823</v>
      </c>
    </row>
    <row r="47" spans="5:7">
      <c r="E47">
        <v>10</v>
      </c>
      <c r="F47" t="s">
        <v>4824</v>
      </c>
      <c r="G47" t="s">
        <v>4825</v>
      </c>
    </row>
    <row r="48" spans="5:7">
      <c r="E48">
        <v>11</v>
      </c>
      <c r="F48" t="s">
        <v>4824</v>
      </c>
      <c r="G48" t="s">
        <v>4826</v>
      </c>
    </row>
    <row r="49" spans="5:7">
      <c r="E49">
        <v>12</v>
      </c>
      <c r="F49" t="s">
        <v>4824</v>
      </c>
      <c r="G49" t="s">
        <v>4827</v>
      </c>
    </row>
    <row r="50" spans="5:7">
      <c r="E50">
        <v>13</v>
      </c>
      <c r="F50" t="s">
        <v>4824</v>
      </c>
      <c r="G50" t="s">
        <v>4828</v>
      </c>
    </row>
    <row r="51" spans="5:7">
      <c r="E51">
        <v>14</v>
      </c>
      <c r="F51" t="s">
        <v>4824</v>
      </c>
      <c r="G51" t="s">
        <v>4829</v>
      </c>
    </row>
    <row r="52" spans="5:7">
      <c r="E52">
        <v>15</v>
      </c>
      <c r="F52" t="s">
        <v>4824</v>
      </c>
      <c r="G52" t="s">
        <v>4830</v>
      </c>
    </row>
    <row r="53" spans="5:7">
      <c r="E53">
        <v>16</v>
      </c>
      <c r="F53" t="s">
        <v>4824</v>
      </c>
      <c r="G53" t="s">
        <v>4831</v>
      </c>
    </row>
    <row r="54" spans="5:7">
      <c r="E54">
        <v>17</v>
      </c>
      <c r="F54" t="s">
        <v>4824</v>
      </c>
      <c r="G54" t="s">
        <v>4832</v>
      </c>
    </row>
    <row r="55" spans="5:7">
      <c r="E55">
        <v>18</v>
      </c>
      <c r="F55" t="s">
        <v>4824</v>
      </c>
      <c r="G55" t="s">
        <v>4833</v>
      </c>
    </row>
    <row r="56" spans="5:7">
      <c r="E56">
        <v>19</v>
      </c>
      <c r="F56" t="s">
        <v>4824</v>
      </c>
      <c r="G56" t="s">
        <v>4834</v>
      </c>
    </row>
    <row r="57" spans="5:7">
      <c r="E57">
        <v>20</v>
      </c>
      <c r="F57" t="s">
        <v>4835</v>
      </c>
      <c r="G57" t="s">
        <v>4836</v>
      </c>
    </row>
    <row r="58" spans="5:7">
      <c r="E58">
        <v>21</v>
      </c>
      <c r="F58" t="s">
        <v>4835</v>
      </c>
      <c r="G58" t="s">
        <v>4837</v>
      </c>
    </row>
    <row r="59" spans="5:7">
      <c r="E59">
        <v>22</v>
      </c>
      <c r="F59" t="s">
        <v>4835</v>
      </c>
      <c r="G59" t="s">
        <v>4838</v>
      </c>
    </row>
    <row r="60" spans="5:7">
      <c r="E60">
        <v>23</v>
      </c>
      <c r="F60" t="s">
        <v>4835</v>
      </c>
      <c r="G60" t="s">
        <v>4839</v>
      </c>
    </row>
    <row r="61" spans="5:7">
      <c r="E61">
        <v>24</v>
      </c>
      <c r="F61" t="s">
        <v>4835</v>
      </c>
      <c r="G61" t="s">
        <v>4840</v>
      </c>
    </row>
    <row r="62" spans="5:7">
      <c r="E62">
        <v>25</v>
      </c>
      <c r="F62" t="s">
        <v>4835</v>
      </c>
      <c r="G62" t="s">
        <v>4841</v>
      </c>
    </row>
    <row r="63" spans="5:7">
      <c r="E63">
        <v>26</v>
      </c>
      <c r="F63" t="s">
        <v>4835</v>
      </c>
      <c r="G63" t="s">
        <v>4842</v>
      </c>
    </row>
    <row r="64" spans="5:7">
      <c r="E64">
        <v>27</v>
      </c>
      <c r="F64" t="s">
        <v>4835</v>
      </c>
      <c r="G64" t="s">
        <v>4843</v>
      </c>
    </row>
    <row r="65" spans="5:7">
      <c r="E65">
        <v>28</v>
      </c>
      <c r="F65" t="s">
        <v>4835</v>
      </c>
      <c r="G65" t="s">
        <v>4844</v>
      </c>
    </row>
    <row r="66" spans="5:7">
      <c r="E66">
        <v>29</v>
      </c>
      <c r="F66" t="s">
        <v>4845</v>
      </c>
      <c r="G66" t="s">
        <v>4846</v>
      </c>
    </row>
    <row r="67" spans="5:7">
      <c r="E67">
        <v>30</v>
      </c>
      <c r="F67" t="s">
        <v>4845</v>
      </c>
      <c r="G67" t="s">
        <v>4847</v>
      </c>
    </row>
    <row r="68" spans="5:7">
      <c r="E68">
        <v>31</v>
      </c>
      <c r="F68" t="s">
        <v>4845</v>
      </c>
      <c r="G68" t="s">
        <v>4848</v>
      </c>
    </row>
    <row r="69" spans="5:7">
      <c r="E69">
        <v>32</v>
      </c>
      <c r="F69" t="s">
        <v>4845</v>
      </c>
      <c r="G69" t="s">
        <v>4849</v>
      </c>
    </row>
    <row r="70" spans="5:7">
      <c r="E70">
        <v>33</v>
      </c>
      <c r="F70" t="s">
        <v>4845</v>
      </c>
      <c r="G70" t="s">
        <v>4850</v>
      </c>
    </row>
    <row r="71" spans="5:7">
      <c r="E71">
        <v>34</v>
      </c>
      <c r="F71" t="s">
        <v>4845</v>
      </c>
      <c r="G71" t="s">
        <v>4851</v>
      </c>
    </row>
    <row r="72" spans="5:7">
      <c r="E72">
        <v>35</v>
      </c>
      <c r="F72" t="s">
        <v>4845</v>
      </c>
      <c r="G72" t="s">
        <v>4852</v>
      </c>
    </row>
    <row r="73" spans="5:7">
      <c r="E73">
        <v>36</v>
      </c>
      <c r="F73" t="s">
        <v>4845</v>
      </c>
      <c r="G73" t="s">
        <v>4853</v>
      </c>
    </row>
    <row r="74" spans="5:7">
      <c r="E74">
        <v>37</v>
      </c>
      <c r="F74" t="s">
        <v>4845</v>
      </c>
      <c r="G74" t="s">
        <v>4854</v>
      </c>
    </row>
    <row r="75" spans="5:7">
      <c r="E75">
        <v>38</v>
      </c>
      <c r="F75" t="s">
        <v>4845</v>
      </c>
      <c r="G75" t="s">
        <v>4855</v>
      </c>
    </row>
    <row r="76" spans="5:7">
      <c r="E76">
        <v>39</v>
      </c>
      <c r="F76" t="s">
        <v>4856</v>
      </c>
      <c r="G76" t="s">
        <v>4857</v>
      </c>
    </row>
    <row r="77" spans="5:7">
      <c r="E77">
        <v>40</v>
      </c>
      <c r="F77" t="s">
        <v>4856</v>
      </c>
      <c r="G77" t="s">
        <v>4858</v>
      </c>
    </row>
    <row r="78" spans="5:7">
      <c r="E78">
        <v>41</v>
      </c>
      <c r="F78" t="s">
        <v>4856</v>
      </c>
      <c r="G78" t="s">
        <v>4859</v>
      </c>
    </row>
    <row r="79" spans="5:7">
      <c r="E79">
        <v>42</v>
      </c>
      <c r="F79" t="s">
        <v>4856</v>
      </c>
      <c r="G79" t="s">
        <v>4860</v>
      </c>
    </row>
    <row r="80" spans="5:7">
      <c r="E80">
        <v>43</v>
      </c>
      <c r="F80" t="s">
        <v>4856</v>
      </c>
      <c r="G80" t="s">
        <v>4861</v>
      </c>
    </row>
    <row r="81" spans="5:7">
      <c r="E81">
        <v>44</v>
      </c>
      <c r="F81" t="s">
        <v>4856</v>
      </c>
      <c r="G81" t="s">
        <v>4862</v>
      </c>
    </row>
    <row r="82" spans="5:7">
      <c r="E82">
        <v>45</v>
      </c>
      <c r="F82" t="s">
        <v>4856</v>
      </c>
      <c r="G82" t="s">
        <v>4863</v>
      </c>
    </row>
    <row r="83" spans="5:7">
      <c r="E83">
        <v>46</v>
      </c>
      <c r="F83" t="s">
        <v>4856</v>
      </c>
      <c r="G83" t="s">
        <v>4864</v>
      </c>
    </row>
    <row r="84" spans="5:7">
      <c r="E84">
        <v>47</v>
      </c>
      <c r="F84" t="s">
        <v>4856</v>
      </c>
      <c r="G84" t="s">
        <v>4865</v>
      </c>
    </row>
    <row r="85" spans="5:7">
      <c r="E85">
        <v>48</v>
      </c>
      <c r="F85" t="s">
        <v>4866</v>
      </c>
      <c r="G85" t="s">
        <v>4867</v>
      </c>
    </row>
    <row r="86" spans="5:7">
      <c r="E86">
        <v>49</v>
      </c>
      <c r="F86" t="s">
        <v>4866</v>
      </c>
      <c r="G86" t="s">
        <v>4868</v>
      </c>
    </row>
    <row r="87" spans="5:7">
      <c r="E87">
        <v>50</v>
      </c>
      <c r="F87" t="s">
        <v>4866</v>
      </c>
      <c r="G87" t="s">
        <v>4869</v>
      </c>
    </row>
    <row r="88" spans="5:7">
      <c r="E88">
        <v>51</v>
      </c>
      <c r="F88" t="s">
        <v>4866</v>
      </c>
      <c r="G88" t="s">
        <v>4870</v>
      </c>
    </row>
    <row r="89" spans="5:7">
      <c r="E89">
        <v>52</v>
      </c>
      <c r="F89" t="s">
        <v>4866</v>
      </c>
      <c r="G89" t="s">
        <v>4871</v>
      </c>
    </row>
    <row r="90" spans="5:7">
      <c r="E90">
        <v>53</v>
      </c>
      <c r="F90" t="s">
        <v>4866</v>
      </c>
      <c r="G90" t="s">
        <v>4872</v>
      </c>
    </row>
    <row r="91" spans="5:7">
      <c r="E91">
        <v>54</v>
      </c>
      <c r="F91" t="s">
        <v>4866</v>
      </c>
      <c r="G91" t="s">
        <v>4873</v>
      </c>
    </row>
    <row r="92" spans="5:7">
      <c r="E92">
        <v>55</v>
      </c>
      <c r="F92" t="s">
        <v>4866</v>
      </c>
      <c r="G92" t="s">
        <v>4874</v>
      </c>
    </row>
    <row r="93" spans="5:7">
      <c r="E93">
        <v>56</v>
      </c>
      <c r="F93" t="s">
        <v>4866</v>
      </c>
      <c r="G93" t="s">
        <v>4875</v>
      </c>
    </row>
    <row r="94" spans="5:7">
      <c r="E94">
        <v>57</v>
      </c>
      <c r="F94" t="s">
        <v>4866</v>
      </c>
      <c r="G94" t="s">
        <v>4876</v>
      </c>
    </row>
    <row r="95" spans="5:7">
      <c r="E95">
        <v>58</v>
      </c>
      <c r="F95" t="s">
        <v>4877</v>
      </c>
      <c r="G95" t="s">
        <v>4878</v>
      </c>
    </row>
    <row r="96" spans="5:7">
      <c r="E96">
        <v>59</v>
      </c>
      <c r="F96" t="s">
        <v>4877</v>
      </c>
      <c r="G96" t="s">
        <v>4879</v>
      </c>
    </row>
    <row r="97" spans="5:7">
      <c r="E97">
        <v>60</v>
      </c>
      <c r="F97" t="s">
        <v>4877</v>
      </c>
      <c r="G97" t="s">
        <v>4880</v>
      </c>
    </row>
    <row r="98" spans="5:7">
      <c r="E98">
        <v>61</v>
      </c>
      <c r="F98" t="s">
        <v>4877</v>
      </c>
      <c r="G98" t="s">
        <v>4881</v>
      </c>
    </row>
    <row r="99" spans="5:7">
      <c r="E99">
        <v>62</v>
      </c>
      <c r="F99" t="s">
        <v>4877</v>
      </c>
      <c r="G99" t="s">
        <v>4882</v>
      </c>
    </row>
    <row r="100" spans="5:7">
      <c r="E100">
        <v>63</v>
      </c>
      <c r="F100" t="s">
        <v>4877</v>
      </c>
      <c r="G100" t="s">
        <v>4883</v>
      </c>
    </row>
    <row r="101" spans="5:7">
      <c r="E101">
        <v>64</v>
      </c>
      <c r="F101" t="s">
        <v>4877</v>
      </c>
      <c r="G101" t="s">
        <v>4884</v>
      </c>
    </row>
    <row r="102" spans="5:7">
      <c r="E102">
        <v>65</v>
      </c>
      <c r="F102" t="s">
        <v>4877</v>
      </c>
      <c r="G102" t="s">
        <v>4885</v>
      </c>
    </row>
    <row r="103" spans="5:7">
      <c r="E103">
        <v>66</v>
      </c>
      <c r="F103" t="s">
        <v>4877</v>
      </c>
      <c r="G103" t="s">
        <v>4886</v>
      </c>
    </row>
    <row r="104" spans="5:7">
      <c r="E104">
        <v>67</v>
      </c>
      <c r="F104" t="s">
        <v>4877</v>
      </c>
      <c r="G104" t="s">
        <v>4887</v>
      </c>
    </row>
    <row r="105" spans="5:7">
      <c r="E105">
        <v>68</v>
      </c>
      <c r="F105" t="s">
        <v>4888</v>
      </c>
      <c r="G105" t="s">
        <v>4889</v>
      </c>
    </row>
    <row r="106" spans="5:7">
      <c r="E106">
        <v>69</v>
      </c>
      <c r="F106" t="s">
        <v>4888</v>
      </c>
      <c r="G106" t="s">
        <v>4890</v>
      </c>
    </row>
    <row r="107" spans="5:7">
      <c r="E107">
        <v>70</v>
      </c>
      <c r="F107" t="s">
        <v>4888</v>
      </c>
      <c r="G107" t="s">
        <v>4891</v>
      </c>
    </row>
    <row r="108" spans="5:7">
      <c r="E108">
        <v>71</v>
      </c>
      <c r="F108" t="s">
        <v>4888</v>
      </c>
      <c r="G108" t="s">
        <v>4892</v>
      </c>
    </row>
    <row r="109" spans="5:7">
      <c r="E109">
        <v>72</v>
      </c>
      <c r="F109" t="s">
        <v>4888</v>
      </c>
      <c r="G109" t="s">
        <v>4893</v>
      </c>
    </row>
    <row r="110" spans="5:7">
      <c r="E110">
        <v>73</v>
      </c>
      <c r="F110" t="s">
        <v>4888</v>
      </c>
      <c r="G110" t="s">
        <v>4894</v>
      </c>
    </row>
    <row r="111" spans="5:7">
      <c r="E111">
        <v>74</v>
      </c>
      <c r="F111" t="s">
        <v>4888</v>
      </c>
      <c r="G111" t="s">
        <v>4895</v>
      </c>
    </row>
    <row r="112" spans="5:7">
      <c r="E112">
        <v>75</v>
      </c>
      <c r="F112" t="s">
        <v>4888</v>
      </c>
      <c r="G112" t="s">
        <v>4896</v>
      </c>
    </row>
    <row r="113" spans="5:7">
      <c r="E113">
        <v>76</v>
      </c>
      <c r="F113" t="s">
        <v>4888</v>
      </c>
      <c r="G113" t="s">
        <v>4897</v>
      </c>
    </row>
    <row r="114" spans="5:7">
      <c r="E114">
        <v>77</v>
      </c>
      <c r="F114" t="s">
        <v>4888</v>
      </c>
      <c r="G114" t="s">
        <v>4898</v>
      </c>
    </row>
    <row r="115" spans="5:7">
      <c r="E115">
        <v>78</v>
      </c>
      <c r="F115" t="s">
        <v>4899</v>
      </c>
      <c r="G115" t="s">
        <v>4900</v>
      </c>
    </row>
    <row r="116" spans="5:7">
      <c r="E116">
        <v>79</v>
      </c>
      <c r="F116" t="s">
        <v>4899</v>
      </c>
      <c r="G116" t="s">
        <v>4901</v>
      </c>
    </row>
    <row r="117" spans="5:7">
      <c r="E117">
        <v>80</v>
      </c>
      <c r="F117" t="s">
        <v>4899</v>
      </c>
      <c r="G117" t="s">
        <v>4902</v>
      </c>
    </row>
    <row r="118" spans="5:7">
      <c r="E118">
        <v>81</v>
      </c>
      <c r="F118" t="s">
        <v>4899</v>
      </c>
      <c r="G118" t="s">
        <v>4903</v>
      </c>
    </row>
    <row r="119" spans="5:7">
      <c r="E119">
        <v>82</v>
      </c>
      <c r="F119" t="s">
        <v>4899</v>
      </c>
      <c r="G119" t="s">
        <v>4904</v>
      </c>
    </row>
    <row r="120" spans="5:7">
      <c r="E120">
        <v>83</v>
      </c>
      <c r="F120" t="s">
        <v>4899</v>
      </c>
      <c r="G120" t="s">
        <v>4905</v>
      </c>
    </row>
    <row r="121" spans="5:7">
      <c r="E121">
        <v>84</v>
      </c>
      <c r="F121" t="s">
        <v>4899</v>
      </c>
      <c r="G121" t="s">
        <v>4906</v>
      </c>
    </row>
    <row r="122" spans="5:7">
      <c r="E122">
        <v>85</v>
      </c>
      <c r="F122" t="s">
        <v>4899</v>
      </c>
      <c r="G122" t="s">
        <v>4907</v>
      </c>
    </row>
    <row r="123" spans="5:7">
      <c r="E123">
        <v>86</v>
      </c>
      <c r="F123" t="s">
        <v>4899</v>
      </c>
      <c r="G123" t="s">
        <v>4908</v>
      </c>
    </row>
    <row r="124" spans="5:7">
      <c r="E124">
        <v>87</v>
      </c>
      <c r="F124" t="s">
        <v>4909</v>
      </c>
      <c r="G124" t="s">
        <v>4910</v>
      </c>
    </row>
    <row r="125" spans="5:7">
      <c r="E125">
        <v>88</v>
      </c>
      <c r="F125" t="s">
        <v>4909</v>
      </c>
      <c r="G125" t="s">
        <v>4911</v>
      </c>
    </row>
    <row r="126" spans="5:7">
      <c r="E126">
        <v>89</v>
      </c>
      <c r="F126" t="s">
        <v>4909</v>
      </c>
      <c r="G126" t="s">
        <v>4912</v>
      </c>
    </row>
    <row r="127" spans="5:7">
      <c r="E127">
        <v>90</v>
      </c>
      <c r="F127" t="s">
        <v>4909</v>
      </c>
      <c r="G127" t="s">
        <v>4913</v>
      </c>
    </row>
    <row r="128" spans="5:7">
      <c r="E128">
        <v>91</v>
      </c>
      <c r="F128" t="s">
        <v>4909</v>
      </c>
      <c r="G128" t="s">
        <v>4914</v>
      </c>
    </row>
    <row r="129" spans="5:7">
      <c r="E129">
        <v>92</v>
      </c>
      <c r="F129" t="s">
        <v>4909</v>
      </c>
      <c r="G129" t="s">
        <v>4915</v>
      </c>
    </row>
    <row r="130" spans="5:7">
      <c r="E130">
        <v>93</v>
      </c>
      <c r="F130" t="s">
        <v>4909</v>
      </c>
      <c r="G130" t="s">
        <v>4916</v>
      </c>
    </row>
    <row r="131" spans="5:7">
      <c r="E131">
        <v>94</v>
      </c>
      <c r="F131" t="s">
        <v>4909</v>
      </c>
      <c r="G131" t="s">
        <v>4917</v>
      </c>
    </row>
    <row r="132" spans="5:7">
      <c r="E132">
        <v>95</v>
      </c>
      <c r="F132" t="s">
        <v>4909</v>
      </c>
      <c r="G132" t="s">
        <v>4918</v>
      </c>
    </row>
    <row r="133" spans="5:7">
      <c r="E133">
        <v>96</v>
      </c>
      <c r="F133" t="s">
        <v>4909</v>
      </c>
      <c r="G133" t="s">
        <v>4919</v>
      </c>
    </row>
    <row r="134" spans="5:7">
      <c r="E134">
        <v>97</v>
      </c>
      <c r="F134" t="s">
        <v>4920</v>
      </c>
      <c r="G134" t="s">
        <v>4921</v>
      </c>
    </row>
    <row r="135" spans="5:7">
      <c r="E135">
        <v>98</v>
      </c>
      <c r="F135" t="s">
        <v>4920</v>
      </c>
      <c r="G135" t="s">
        <v>4922</v>
      </c>
    </row>
    <row r="136" spans="5:7">
      <c r="E136">
        <v>99</v>
      </c>
      <c r="F136" t="s">
        <v>4920</v>
      </c>
      <c r="G136" t="s">
        <v>4923</v>
      </c>
    </row>
    <row r="137" spans="5:7">
      <c r="E137">
        <v>100</v>
      </c>
      <c r="F137" t="s">
        <v>4920</v>
      </c>
      <c r="G137" t="s">
        <v>4924</v>
      </c>
    </row>
    <row r="138" spans="5:7">
      <c r="E138">
        <v>101</v>
      </c>
      <c r="F138" t="s">
        <v>4920</v>
      </c>
      <c r="G138" t="s">
        <v>4925</v>
      </c>
    </row>
    <row r="139" spans="5:7">
      <c r="E139">
        <v>102</v>
      </c>
      <c r="F139" t="s">
        <v>4920</v>
      </c>
      <c r="G139" t="s">
        <v>4926</v>
      </c>
    </row>
    <row r="140" spans="5:7">
      <c r="E140">
        <v>103</v>
      </c>
      <c r="F140" t="s">
        <v>4920</v>
      </c>
      <c r="G140" t="s">
        <v>4927</v>
      </c>
    </row>
    <row r="141" spans="5:7">
      <c r="E141">
        <v>104</v>
      </c>
      <c r="F141" t="s">
        <v>4920</v>
      </c>
      <c r="G141" t="s">
        <v>4928</v>
      </c>
    </row>
    <row r="142" spans="5:7">
      <c r="E142">
        <v>105</v>
      </c>
      <c r="F142" t="s">
        <v>4920</v>
      </c>
      <c r="G142" t="s">
        <v>4929</v>
      </c>
    </row>
    <row r="143" spans="5:7">
      <c r="E143">
        <v>106</v>
      </c>
      <c r="F143" t="s">
        <v>4920</v>
      </c>
      <c r="G143" t="s">
        <v>4930</v>
      </c>
    </row>
    <row r="144" spans="5:7">
      <c r="E144">
        <v>107</v>
      </c>
      <c r="F144" t="s">
        <v>4931</v>
      </c>
      <c r="G144" t="s">
        <v>4932</v>
      </c>
    </row>
    <row r="145" spans="5:7">
      <c r="E145">
        <v>108</v>
      </c>
      <c r="F145" t="s">
        <v>4931</v>
      </c>
      <c r="G145" t="s">
        <v>4933</v>
      </c>
    </row>
    <row r="146" spans="5:7">
      <c r="E146">
        <v>109</v>
      </c>
      <c r="F146" t="s">
        <v>4931</v>
      </c>
      <c r="G146" t="s">
        <v>4934</v>
      </c>
    </row>
    <row r="147" spans="5:7">
      <c r="E147">
        <v>110</v>
      </c>
      <c r="F147" t="s">
        <v>4931</v>
      </c>
      <c r="G147" t="s">
        <v>4935</v>
      </c>
    </row>
    <row r="148" spans="5:7">
      <c r="E148">
        <v>111</v>
      </c>
      <c r="F148" t="s">
        <v>4931</v>
      </c>
      <c r="G148" t="s">
        <v>4936</v>
      </c>
    </row>
    <row r="149" spans="5:7">
      <c r="E149">
        <v>112</v>
      </c>
      <c r="F149" t="s">
        <v>4931</v>
      </c>
      <c r="G149" t="s">
        <v>4937</v>
      </c>
    </row>
    <row r="150" spans="5:7">
      <c r="E150">
        <v>113</v>
      </c>
      <c r="F150" t="s">
        <v>4931</v>
      </c>
      <c r="G150" t="s">
        <v>4938</v>
      </c>
    </row>
    <row r="151" spans="5:7">
      <c r="E151">
        <v>114</v>
      </c>
      <c r="F151" t="s">
        <v>4931</v>
      </c>
      <c r="G151" t="s">
        <v>4939</v>
      </c>
    </row>
    <row r="152" spans="5:7">
      <c r="E152">
        <v>115</v>
      </c>
      <c r="F152" t="s">
        <v>4931</v>
      </c>
      <c r="G152" t="s">
        <v>4940</v>
      </c>
    </row>
    <row r="153" spans="5:7">
      <c r="E153">
        <v>116</v>
      </c>
      <c r="F153" t="s">
        <v>4931</v>
      </c>
      <c r="G153" t="s">
        <v>4941</v>
      </c>
    </row>
    <row r="154" spans="5:7">
      <c r="E154">
        <v>117</v>
      </c>
      <c r="F154" t="s">
        <v>4931</v>
      </c>
      <c r="G154" t="s">
        <v>4942</v>
      </c>
    </row>
    <row r="155" spans="5:7">
      <c r="E155">
        <v>118</v>
      </c>
      <c r="F155" t="s">
        <v>4931</v>
      </c>
      <c r="G155" t="s">
        <v>4943</v>
      </c>
    </row>
    <row r="156" spans="5:7">
      <c r="E156">
        <v>119</v>
      </c>
      <c r="F156" t="s">
        <v>4931</v>
      </c>
      <c r="G156" t="s">
        <v>4944</v>
      </c>
    </row>
    <row r="157" spans="5:7">
      <c r="E157">
        <v>120</v>
      </c>
      <c r="F157" t="s">
        <v>4931</v>
      </c>
      <c r="G157" t="s">
        <v>4945</v>
      </c>
    </row>
    <row r="158" spans="5:7">
      <c r="E158">
        <v>121</v>
      </c>
      <c r="F158" t="s">
        <v>4931</v>
      </c>
      <c r="G158" t="s">
        <v>4946</v>
      </c>
    </row>
    <row r="159" spans="5:7">
      <c r="E159">
        <v>122</v>
      </c>
      <c r="F159" t="s">
        <v>4931</v>
      </c>
      <c r="G159" t="s">
        <v>4947</v>
      </c>
    </row>
    <row r="160" spans="5:7">
      <c r="E160">
        <v>123</v>
      </c>
      <c r="F160" t="s">
        <v>4931</v>
      </c>
      <c r="G160" t="s">
        <v>4948</v>
      </c>
    </row>
    <row r="161" spans="5:7">
      <c r="E161">
        <v>124</v>
      </c>
      <c r="F161" t="s">
        <v>4931</v>
      </c>
      <c r="G161" t="s">
        <v>4949</v>
      </c>
    </row>
    <row r="162" spans="5:7">
      <c r="E162">
        <v>125</v>
      </c>
      <c r="F162" t="s">
        <v>4931</v>
      </c>
      <c r="G162" t="s">
        <v>4950</v>
      </c>
    </row>
    <row r="163" spans="5:7">
      <c r="E163">
        <v>126</v>
      </c>
      <c r="F163" t="s">
        <v>4931</v>
      </c>
      <c r="G163" t="s">
        <v>4951</v>
      </c>
    </row>
    <row r="164" spans="5:7">
      <c r="E164">
        <v>127</v>
      </c>
      <c r="F164" t="s">
        <v>4931</v>
      </c>
      <c r="G164" t="s">
        <v>4952</v>
      </c>
    </row>
    <row r="165" spans="5:7">
      <c r="E165">
        <v>128</v>
      </c>
      <c r="F165" t="s">
        <v>4931</v>
      </c>
      <c r="G165" t="s">
        <v>4953</v>
      </c>
    </row>
    <row r="166" spans="5:7">
      <c r="E166">
        <v>129</v>
      </c>
      <c r="F166" t="s">
        <v>4954</v>
      </c>
      <c r="G166" t="s">
        <v>4955</v>
      </c>
    </row>
    <row r="167" spans="5:7">
      <c r="E167">
        <v>130</v>
      </c>
      <c r="F167" t="s">
        <v>4954</v>
      </c>
      <c r="G167" t="s">
        <v>4956</v>
      </c>
    </row>
    <row r="168" spans="5:7">
      <c r="E168">
        <v>131</v>
      </c>
      <c r="F168" t="s">
        <v>4954</v>
      </c>
      <c r="G168" t="s">
        <v>4957</v>
      </c>
    </row>
    <row r="169" spans="5:7">
      <c r="E169">
        <v>132</v>
      </c>
      <c r="F169" t="s">
        <v>4954</v>
      </c>
      <c r="G169" t="s">
        <v>4958</v>
      </c>
    </row>
    <row r="170" spans="5:7">
      <c r="E170">
        <v>133</v>
      </c>
      <c r="F170" t="s">
        <v>4954</v>
      </c>
      <c r="G170" t="s">
        <v>4959</v>
      </c>
    </row>
    <row r="171" spans="5:7">
      <c r="E171">
        <v>134</v>
      </c>
      <c r="F171" t="s">
        <v>4954</v>
      </c>
      <c r="G171" t="s">
        <v>4960</v>
      </c>
    </row>
    <row r="172" spans="5:7">
      <c r="E172">
        <v>135</v>
      </c>
      <c r="F172" t="s">
        <v>4954</v>
      </c>
      <c r="G172" t="s">
        <v>4961</v>
      </c>
    </row>
    <row r="173" spans="5:7">
      <c r="E173">
        <v>136</v>
      </c>
      <c r="F173" t="s">
        <v>4954</v>
      </c>
      <c r="G173" t="s">
        <v>4962</v>
      </c>
    </row>
    <row r="174" spans="5:7">
      <c r="E174">
        <v>137</v>
      </c>
      <c r="F174" t="s">
        <v>4954</v>
      </c>
      <c r="G174" t="s">
        <v>4963</v>
      </c>
    </row>
    <row r="175" spans="5:7">
      <c r="E175">
        <v>138</v>
      </c>
      <c r="F175" t="s">
        <v>4954</v>
      </c>
      <c r="G175" t="s">
        <v>4964</v>
      </c>
    </row>
    <row r="176" spans="5:7">
      <c r="E176">
        <v>139</v>
      </c>
      <c r="F176" t="s">
        <v>4954</v>
      </c>
      <c r="G176" t="s">
        <v>4965</v>
      </c>
    </row>
    <row r="177" spans="5:7">
      <c r="E177">
        <v>140</v>
      </c>
      <c r="F177" t="s">
        <v>4954</v>
      </c>
      <c r="G177" t="s">
        <v>4966</v>
      </c>
    </row>
    <row r="178" spans="5:7">
      <c r="E178">
        <v>141</v>
      </c>
      <c r="F178" t="s">
        <v>4954</v>
      </c>
      <c r="G178" t="s">
        <v>4967</v>
      </c>
    </row>
    <row r="179" spans="5:7">
      <c r="E179">
        <v>142</v>
      </c>
      <c r="F179" t="s">
        <v>4954</v>
      </c>
      <c r="G179" t="s">
        <v>4968</v>
      </c>
    </row>
    <row r="180" spans="5:7">
      <c r="E180">
        <v>143</v>
      </c>
      <c r="F180" t="s">
        <v>4954</v>
      </c>
      <c r="G180" t="s">
        <v>4969</v>
      </c>
    </row>
    <row r="181" spans="5:7">
      <c r="E181">
        <v>144</v>
      </c>
      <c r="F181" t="s">
        <v>4954</v>
      </c>
      <c r="G181" t="s">
        <v>4970</v>
      </c>
    </row>
    <row r="182" spans="5:7">
      <c r="E182">
        <v>145</v>
      </c>
      <c r="F182" t="s">
        <v>4954</v>
      </c>
      <c r="G182" t="s">
        <v>4971</v>
      </c>
    </row>
    <row r="183" spans="5:7">
      <c r="E183">
        <v>146</v>
      </c>
      <c r="F183" t="s">
        <v>4954</v>
      </c>
      <c r="G183" t="s">
        <v>4972</v>
      </c>
    </row>
    <row r="184" spans="5:7">
      <c r="E184">
        <v>147</v>
      </c>
      <c r="F184" t="s">
        <v>4954</v>
      </c>
      <c r="G184" t="s">
        <v>4973</v>
      </c>
    </row>
    <row r="185" spans="5:7">
      <c r="E185">
        <v>148</v>
      </c>
      <c r="F185" t="s">
        <v>4954</v>
      </c>
      <c r="G185" t="s">
        <v>4974</v>
      </c>
    </row>
    <row r="186" spans="5:7">
      <c r="E186">
        <v>149</v>
      </c>
      <c r="F186" t="s">
        <v>4975</v>
      </c>
      <c r="G186" t="s">
        <v>4976</v>
      </c>
    </row>
    <row r="187" spans="5:7">
      <c r="E187">
        <v>150</v>
      </c>
      <c r="F187" t="s">
        <v>4975</v>
      </c>
      <c r="G187" t="s">
        <v>4977</v>
      </c>
    </row>
    <row r="188" spans="5:7">
      <c r="E188">
        <v>151</v>
      </c>
      <c r="F188" t="s">
        <v>4975</v>
      </c>
      <c r="G188" t="s">
        <v>4978</v>
      </c>
    </row>
    <row r="189" spans="5:7">
      <c r="E189">
        <v>152</v>
      </c>
      <c r="F189" t="s">
        <v>4975</v>
      </c>
      <c r="G189" t="s">
        <v>4979</v>
      </c>
    </row>
    <row r="190" spans="5:7">
      <c r="E190">
        <v>153</v>
      </c>
      <c r="F190" t="s">
        <v>4975</v>
      </c>
      <c r="G190" t="s">
        <v>4980</v>
      </c>
    </row>
    <row r="191" spans="5:7">
      <c r="E191">
        <v>154</v>
      </c>
      <c r="F191" t="s">
        <v>4975</v>
      </c>
      <c r="G191" t="s">
        <v>4981</v>
      </c>
    </row>
    <row r="192" spans="5:7">
      <c r="E192">
        <v>155</v>
      </c>
      <c r="F192" t="s">
        <v>4975</v>
      </c>
      <c r="G192" t="s">
        <v>4982</v>
      </c>
    </row>
    <row r="193" spans="5:7">
      <c r="E193">
        <v>156</v>
      </c>
      <c r="F193" t="s">
        <v>4975</v>
      </c>
      <c r="G193" t="s">
        <v>4983</v>
      </c>
    </row>
    <row r="194" spans="5:7">
      <c r="E194">
        <v>157</v>
      </c>
      <c r="F194" t="s">
        <v>4975</v>
      </c>
      <c r="G194" t="s">
        <v>4984</v>
      </c>
    </row>
    <row r="195" spans="5:7">
      <c r="E195">
        <v>158</v>
      </c>
      <c r="F195" t="s">
        <v>4975</v>
      </c>
      <c r="G195" t="s">
        <v>4985</v>
      </c>
    </row>
    <row r="196" spans="5:7">
      <c r="E196">
        <v>159</v>
      </c>
      <c r="F196" t="s">
        <v>4975</v>
      </c>
      <c r="G196" t="s">
        <v>4986</v>
      </c>
    </row>
    <row r="197" spans="5:7">
      <c r="E197">
        <v>160</v>
      </c>
      <c r="F197" t="s">
        <v>4975</v>
      </c>
      <c r="G197" t="s">
        <v>4987</v>
      </c>
    </row>
    <row r="198" spans="5:7">
      <c r="E198">
        <v>161</v>
      </c>
      <c r="F198" t="s">
        <v>4975</v>
      </c>
      <c r="G198" t="s">
        <v>4988</v>
      </c>
    </row>
    <row r="199" spans="5:7">
      <c r="E199">
        <v>162</v>
      </c>
      <c r="F199" t="s">
        <v>4975</v>
      </c>
      <c r="G199" t="s">
        <v>4989</v>
      </c>
    </row>
    <row r="200" spans="5:7">
      <c r="E200">
        <v>163</v>
      </c>
      <c r="F200" t="s">
        <v>4975</v>
      </c>
      <c r="G200" t="s">
        <v>4990</v>
      </c>
    </row>
    <row r="201" spans="5:7">
      <c r="E201">
        <v>164</v>
      </c>
      <c r="F201" t="s">
        <v>4975</v>
      </c>
      <c r="G201" t="s">
        <v>4991</v>
      </c>
    </row>
    <row r="202" spans="5:7">
      <c r="E202">
        <v>165</v>
      </c>
      <c r="F202" t="s">
        <v>4975</v>
      </c>
      <c r="G202" t="s">
        <v>4992</v>
      </c>
    </row>
    <row r="203" spans="5:7">
      <c r="E203">
        <v>166</v>
      </c>
      <c r="F203" t="s">
        <v>4975</v>
      </c>
      <c r="G203" t="s">
        <v>4993</v>
      </c>
    </row>
    <row r="204" spans="5:7">
      <c r="E204">
        <v>167</v>
      </c>
      <c r="F204" t="s">
        <v>4975</v>
      </c>
      <c r="G204" t="s">
        <v>4994</v>
      </c>
    </row>
    <row r="205" spans="5:7">
      <c r="E205">
        <v>168</v>
      </c>
      <c r="F205" t="s">
        <v>4975</v>
      </c>
      <c r="G205" t="s">
        <v>4995</v>
      </c>
    </row>
    <row r="206" spans="5:7">
      <c r="E206">
        <v>169</v>
      </c>
      <c r="F206" t="s">
        <v>4975</v>
      </c>
      <c r="G206" t="s">
        <v>4996</v>
      </c>
    </row>
    <row r="207" spans="5:7">
      <c r="E207">
        <v>170</v>
      </c>
      <c r="F207" t="s">
        <v>4975</v>
      </c>
      <c r="G207" t="s">
        <v>4997</v>
      </c>
    </row>
    <row r="208" spans="5:7">
      <c r="E208">
        <v>171</v>
      </c>
      <c r="F208" t="s">
        <v>4975</v>
      </c>
      <c r="G208" t="s">
        <v>4998</v>
      </c>
    </row>
    <row r="209" spans="5:7">
      <c r="E209">
        <v>172</v>
      </c>
      <c r="F209" t="s">
        <v>4975</v>
      </c>
      <c r="G209" t="s">
        <v>4999</v>
      </c>
    </row>
    <row r="210" spans="5:7">
      <c r="E210">
        <v>173</v>
      </c>
      <c r="F210" t="s">
        <v>4975</v>
      </c>
      <c r="G210" t="s">
        <v>5000</v>
      </c>
    </row>
    <row r="211" spans="5:7">
      <c r="E211">
        <v>174</v>
      </c>
      <c r="F211" t="s">
        <v>4975</v>
      </c>
      <c r="G211" t="s">
        <v>5001</v>
      </c>
    </row>
    <row r="212" spans="5:7">
      <c r="E212">
        <v>175</v>
      </c>
      <c r="F212" t="s">
        <v>4975</v>
      </c>
      <c r="G212" t="s">
        <v>5002</v>
      </c>
    </row>
    <row r="213" spans="5:7">
      <c r="E213">
        <v>176</v>
      </c>
      <c r="F213" t="s">
        <v>4975</v>
      </c>
      <c r="G213" t="s">
        <v>5003</v>
      </c>
    </row>
    <row r="214" spans="5:7">
      <c r="E214">
        <v>177</v>
      </c>
      <c r="F214" t="s">
        <v>4975</v>
      </c>
      <c r="G214" t="s">
        <v>5004</v>
      </c>
    </row>
    <row r="215" spans="5:7">
      <c r="E215">
        <v>178</v>
      </c>
      <c r="F215" t="s">
        <v>4975</v>
      </c>
      <c r="G215" t="s">
        <v>5005</v>
      </c>
    </row>
    <row r="216" spans="5:7">
      <c r="E216">
        <v>179</v>
      </c>
      <c r="F216" t="s">
        <v>4975</v>
      </c>
      <c r="G216" t="s">
        <v>5006</v>
      </c>
    </row>
    <row r="217" spans="5:7">
      <c r="E217">
        <v>180</v>
      </c>
      <c r="F217" t="s">
        <v>4975</v>
      </c>
      <c r="G217" t="s">
        <v>5007</v>
      </c>
    </row>
    <row r="218" spans="5:7">
      <c r="E218">
        <v>181</v>
      </c>
      <c r="F218" t="s">
        <v>4975</v>
      </c>
      <c r="G218" t="s">
        <v>5008</v>
      </c>
    </row>
    <row r="219" spans="5:7">
      <c r="E219">
        <v>182</v>
      </c>
      <c r="F219" t="s">
        <v>5009</v>
      </c>
      <c r="G219" t="s">
        <v>5010</v>
      </c>
    </row>
    <row r="220" spans="5:7">
      <c r="E220">
        <v>183</v>
      </c>
      <c r="F220" t="s">
        <v>5009</v>
      </c>
      <c r="G220" t="s">
        <v>4896</v>
      </c>
    </row>
    <row r="221" spans="5:7">
      <c r="E221">
        <v>184</v>
      </c>
      <c r="F221" t="s">
        <v>5009</v>
      </c>
      <c r="G221" t="s">
        <v>5011</v>
      </c>
    </row>
    <row r="222" spans="5:7">
      <c r="E222">
        <v>185</v>
      </c>
      <c r="F222" t="s">
        <v>5009</v>
      </c>
      <c r="G222" t="s">
        <v>5012</v>
      </c>
    </row>
    <row r="223" spans="5:7">
      <c r="E223">
        <v>186</v>
      </c>
      <c r="F223" t="s">
        <v>5009</v>
      </c>
      <c r="G223" t="s">
        <v>5013</v>
      </c>
    </row>
    <row r="224" spans="5:7">
      <c r="E224">
        <v>187</v>
      </c>
      <c r="F224" t="s">
        <v>5009</v>
      </c>
      <c r="G224" t="s">
        <v>5014</v>
      </c>
    </row>
    <row r="225" spans="5:7">
      <c r="E225">
        <v>188</v>
      </c>
      <c r="F225" t="s">
        <v>5009</v>
      </c>
      <c r="G225" t="s">
        <v>5015</v>
      </c>
    </row>
    <row r="226" spans="5:7">
      <c r="E226">
        <v>189</v>
      </c>
      <c r="F226" t="s">
        <v>5009</v>
      </c>
      <c r="G226" t="s">
        <v>5016</v>
      </c>
    </row>
    <row r="227" spans="5:7">
      <c r="E227">
        <v>190</v>
      </c>
      <c r="F227" t="s">
        <v>5009</v>
      </c>
      <c r="G227" t="s">
        <v>5017</v>
      </c>
    </row>
    <row r="228" spans="5:7">
      <c r="E228">
        <v>191</v>
      </c>
      <c r="F228" t="s">
        <v>5009</v>
      </c>
      <c r="G228" t="s">
        <v>5018</v>
      </c>
    </row>
    <row r="229" spans="5:7">
      <c r="E229">
        <v>192</v>
      </c>
      <c r="F229" t="s">
        <v>5019</v>
      </c>
      <c r="G229" t="s">
        <v>5020</v>
      </c>
    </row>
    <row r="230" spans="5:7">
      <c r="E230">
        <v>193</v>
      </c>
      <c r="F230" t="s">
        <v>5019</v>
      </c>
      <c r="G230" t="s">
        <v>5021</v>
      </c>
    </row>
    <row r="231" spans="5:7">
      <c r="E231">
        <v>194</v>
      </c>
      <c r="F231" t="s">
        <v>5019</v>
      </c>
      <c r="G231" t="s">
        <v>5022</v>
      </c>
    </row>
    <row r="232" spans="5:7">
      <c r="E232">
        <v>195</v>
      </c>
      <c r="F232" t="s">
        <v>5019</v>
      </c>
      <c r="G232" t="s">
        <v>5023</v>
      </c>
    </row>
    <row r="233" spans="5:7">
      <c r="E233">
        <v>196</v>
      </c>
      <c r="F233" t="s">
        <v>5019</v>
      </c>
      <c r="G233" t="s">
        <v>5024</v>
      </c>
    </row>
    <row r="234" spans="5:7">
      <c r="E234">
        <v>197</v>
      </c>
      <c r="F234" t="s">
        <v>5019</v>
      </c>
      <c r="G234" t="s">
        <v>5025</v>
      </c>
    </row>
    <row r="235" spans="5:7">
      <c r="E235">
        <v>198</v>
      </c>
      <c r="F235" t="s">
        <v>5019</v>
      </c>
      <c r="G235" t="s">
        <v>5026</v>
      </c>
    </row>
    <row r="236" spans="5:7">
      <c r="E236">
        <v>199</v>
      </c>
      <c r="F236" t="s">
        <v>5019</v>
      </c>
      <c r="G236" t="s">
        <v>5027</v>
      </c>
    </row>
    <row r="237" spans="5:7">
      <c r="E237">
        <v>200</v>
      </c>
      <c r="F237" t="s">
        <v>5019</v>
      </c>
      <c r="G237" t="s">
        <v>5028</v>
      </c>
    </row>
    <row r="238" spans="5:7">
      <c r="E238">
        <v>201</v>
      </c>
      <c r="F238" t="s">
        <v>5019</v>
      </c>
      <c r="G238" t="s">
        <v>5029</v>
      </c>
    </row>
    <row r="239" spans="5:7">
      <c r="E239">
        <v>202</v>
      </c>
      <c r="F239" t="s">
        <v>5030</v>
      </c>
      <c r="G239" t="s">
        <v>5031</v>
      </c>
    </row>
    <row r="240" spans="5:7">
      <c r="E240">
        <v>203</v>
      </c>
      <c r="F240" t="s">
        <v>5030</v>
      </c>
      <c r="G240" t="s">
        <v>5032</v>
      </c>
    </row>
    <row r="241" spans="5:7">
      <c r="E241">
        <v>204</v>
      </c>
      <c r="F241" t="s">
        <v>5030</v>
      </c>
      <c r="G241" t="s">
        <v>5033</v>
      </c>
    </row>
    <row r="242" spans="5:7">
      <c r="E242">
        <v>205</v>
      </c>
      <c r="F242" t="s">
        <v>5030</v>
      </c>
      <c r="G242" t="s">
        <v>5034</v>
      </c>
    </row>
    <row r="243" spans="5:7">
      <c r="E243">
        <v>206</v>
      </c>
      <c r="F243" t="s">
        <v>5030</v>
      </c>
      <c r="G243" t="s">
        <v>5035</v>
      </c>
    </row>
    <row r="244" spans="5:7">
      <c r="E244">
        <v>207</v>
      </c>
      <c r="F244" t="s">
        <v>5030</v>
      </c>
      <c r="G244" t="s">
        <v>5036</v>
      </c>
    </row>
    <row r="245" spans="5:7">
      <c r="E245">
        <v>208</v>
      </c>
      <c r="F245" t="s">
        <v>5030</v>
      </c>
      <c r="G245" t="s">
        <v>5037</v>
      </c>
    </row>
    <row r="246" spans="5:7">
      <c r="E246">
        <v>209</v>
      </c>
      <c r="F246" t="s">
        <v>5030</v>
      </c>
      <c r="G246" t="s">
        <v>5038</v>
      </c>
    </row>
    <row r="247" spans="5:7">
      <c r="E247">
        <v>210</v>
      </c>
      <c r="F247" t="s">
        <v>5030</v>
      </c>
      <c r="G247" t="s">
        <v>5039</v>
      </c>
    </row>
    <row r="248" spans="5:7">
      <c r="E248">
        <v>211</v>
      </c>
      <c r="F248" t="s">
        <v>5030</v>
      </c>
      <c r="G248" t="s">
        <v>5040</v>
      </c>
    </row>
    <row r="249" spans="5:7">
      <c r="E249">
        <v>212</v>
      </c>
      <c r="F249" t="s">
        <v>5041</v>
      </c>
      <c r="G249" t="s">
        <v>5042</v>
      </c>
    </row>
    <row r="250" spans="5:7">
      <c r="E250">
        <v>213</v>
      </c>
      <c r="F250" t="s">
        <v>5041</v>
      </c>
      <c r="G250" t="s">
        <v>5043</v>
      </c>
    </row>
    <row r="251" spans="5:7">
      <c r="E251">
        <v>214</v>
      </c>
      <c r="F251" t="s">
        <v>5041</v>
      </c>
      <c r="G251" t="s">
        <v>5044</v>
      </c>
    </row>
    <row r="252" spans="5:7">
      <c r="E252">
        <v>215</v>
      </c>
      <c r="F252" t="s">
        <v>5041</v>
      </c>
      <c r="G252" t="s">
        <v>5045</v>
      </c>
    </row>
    <row r="253" spans="5:7">
      <c r="E253">
        <v>216</v>
      </c>
      <c r="F253" t="s">
        <v>5041</v>
      </c>
      <c r="G253" t="s">
        <v>5046</v>
      </c>
    </row>
    <row r="254" spans="5:7">
      <c r="E254">
        <v>217</v>
      </c>
      <c r="F254" t="s">
        <v>5041</v>
      </c>
      <c r="G254" t="s">
        <v>5047</v>
      </c>
    </row>
    <row r="255" spans="5:7">
      <c r="E255">
        <v>218</v>
      </c>
      <c r="F255" t="s">
        <v>5041</v>
      </c>
      <c r="G255" t="s">
        <v>5048</v>
      </c>
    </row>
    <row r="256" spans="5:7">
      <c r="E256">
        <v>219</v>
      </c>
      <c r="F256" t="s">
        <v>5041</v>
      </c>
      <c r="G256" t="s">
        <v>5049</v>
      </c>
    </row>
    <row r="257" spans="5:7">
      <c r="E257">
        <v>220</v>
      </c>
      <c r="F257" t="s">
        <v>5041</v>
      </c>
      <c r="G257" t="s">
        <v>5050</v>
      </c>
    </row>
    <row r="258" spans="5:7">
      <c r="E258">
        <v>221</v>
      </c>
      <c r="F258" t="s">
        <v>5041</v>
      </c>
      <c r="G258" t="s">
        <v>5051</v>
      </c>
    </row>
    <row r="259" spans="5:7">
      <c r="E259">
        <v>222</v>
      </c>
      <c r="F259" t="s">
        <v>5052</v>
      </c>
      <c r="G259" t="s">
        <v>5053</v>
      </c>
    </row>
    <row r="260" spans="5:7">
      <c r="E260">
        <v>223</v>
      </c>
      <c r="F260" t="s">
        <v>5052</v>
      </c>
      <c r="G260" t="s">
        <v>5054</v>
      </c>
    </row>
    <row r="261" spans="5:7">
      <c r="E261">
        <v>224</v>
      </c>
      <c r="F261" t="s">
        <v>5052</v>
      </c>
      <c r="G261" t="s">
        <v>5055</v>
      </c>
    </row>
    <row r="262" spans="5:7">
      <c r="E262">
        <v>225</v>
      </c>
      <c r="F262" t="s">
        <v>5052</v>
      </c>
      <c r="G262" t="s">
        <v>5056</v>
      </c>
    </row>
    <row r="263" spans="5:7">
      <c r="E263">
        <v>226</v>
      </c>
      <c r="F263" t="s">
        <v>5052</v>
      </c>
      <c r="G263" t="s">
        <v>5057</v>
      </c>
    </row>
    <row r="264" spans="5:7">
      <c r="E264">
        <v>227</v>
      </c>
      <c r="F264" t="s">
        <v>5052</v>
      </c>
      <c r="G264" t="s">
        <v>5058</v>
      </c>
    </row>
    <row r="265" spans="5:7">
      <c r="E265">
        <v>228</v>
      </c>
      <c r="F265" t="s">
        <v>5052</v>
      </c>
      <c r="G265" t="s">
        <v>5059</v>
      </c>
    </row>
    <row r="266" spans="5:7">
      <c r="E266">
        <v>229</v>
      </c>
      <c r="F266" t="s">
        <v>5052</v>
      </c>
      <c r="G266" t="s">
        <v>5060</v>
      </c>
    </row>
    <row r="267" spans="5:7">
      <c r="E267">
        <v>230</v>
      </c>
      <c r="F267" t="s">
        <v>5052</v>
      </c>
      <c r="G267" t="s">
        <v>5061</v>
      </c>
    </row>
    <row r="268" spans="5:7">
      <c r="E268">
        <v>231</v>
      </c>
      <c r="F268" t="s">
        <v>5052</v>
      </c>
      <c r="G268" t="s">
        <v>5062</v>
      </c>
    </row>
    <row r="269" spans="5:7">
      <c r="E269">
        <v>232</v>
      </c>
      <c r="F269" t="s">
        <v>5063</v>
      </c>
      <c r="G269" t="s">
        <v>5064</v>
      </c>
    </row>
    <row r="270" spans="5:7">
      <c r="E270">
        <v>233</v>
      </c>
      <c r="F270" t="s">
        <v>5063</v>
      </c>
      <c r="G270" t="s">
        <v>5065</v>
      </c>
    </row>
    <row r="271" spans="5:7">
      <c r="E271">
        <v>234</v>
      </c>
      <c r="F271" t="s">
        <v>5063</v>
      </c>
      <c r="G271" t="s">
        <v>5066</v>
      </c>
    </row>
    <row r="272" spans="5:7">
      <c r="E272">
        <v>235</v>
      </c>
      <c r="F272" t="s">
        <v>5063</v>
      </c>
      <c r="G272" t="s">
        <v>5067</v>
      </c>
    </row>
    <row r="273" spans="5:7">
      <c r="E273">
        <v>236</v>
      </c>
      <c r="F273" t="s">
        <v>5063</v>
      </c>
      <c r="G273" t="s">
        <v>5068</v>
      </c>
    </row>
    <row r="274" spans="5:7">
      <c r="E274">
        <v>237</v>
      </c>
      <c r="F274" t="s">
        <v>5063</v>
      </c>
      <c r="G274" t="s">
        <v>5069</v>
      </c>
    </row>
    <row r="275" spans="5:7">
      <c r="E275">
        <v>238</v>
      </c>
      <c r="F275" t="s">
        <v>5063</v>
      </c>
      <c r="G275" t="s">
        <v>5070</v>
      </c>
    </row>
    <row r="276" spans="5:7">
      <c r="E276">
        <v>239</v>
      </c>
      <c r="F276" t="s">
        <v>5063</v>
      </c>
      <c r="G276" t="s">
        <v>5071</v>
      </c>
    </row>
    <row r="277" spans="5:7">
      <c r="E277">
        <v>240</v>
      </c>
      <c r="F277" t="s">
        <v>5063</v>
      </c>
      <c r="G277" t="s">
        <v>5072</v>
      </c>
    </row>
    <row r="278" spans="5:7">
      <c r="E278">
        <v>241</v>
      </c>
      <c r="F278" t="s">
        <v>5063</v>
      </c>
      <c r="G278" t="s">
        <v>5073</v>
      </c>
    </row>
    <row r="279" spans="5:7">
      <c r="E279">
        <v>242</v>
      </c>
      <c r="F279" t="s">
        <v>5063</v>
      </c>
      <c r="G279" t="s">
        <v>5074</v>
      </c>
    </row>
    <row r="280" spans="5:7">
      <c r="E280">
        <v>243</v>
      </c>
      <c r="F280" t="s">
        <v>5063</v>
      </c>
      <c r="G280" t="s">
        <v>5075</v>
      </c>
    </row>
    <row r="281" spans="5:7">
      <c r="E281">
        <v>244</v>
      </c>
      <c r="F281" t="s">
        <v>5063</v>
      </c>
      <c r="G281" t="s">
        <v>5076</v>
      </c>
    </row>
    <row r="282" spans="5:7">
      <c r="E282">
        <v>245</v>
      </c>
      <c r="F282" t="s">
        <v>5063</v>
      </c>
      <c r="G282" t="s">
        <v>5077</v>
      </c>
    </row>
    <row r="283" spans="5:7">
      <c r="E283">
        <v>246</v>
      </c>
      <c r="F283" t="s">
        <v>5063</v>
      </c>
      <c r="G283" t="s">
        <v>5078</v>
      </c>
    </row>
    <row r="284" spans="5:7">
      <c r="E284">
        <v>247</v>
      </c>
      <c r="F284" t="s">
        <v>5063</v>
      </c>
      <c r="G284" t="s">
        <v>5079</v>
      </c>
    </row>
    <row r="285" spans="5:7">
      <c r="E285">
        <v>248</v>
      </c>
      <c r="F285" t="s">
        <v>5063</v>
      </c>
      <c r="G285" t="s">
        <v>5080</v>
      </c>
    </row>
    <row r="286" spans="5:7">
      <c r="E286">
        <v>249</v>
      </c>
      <c r="F286" t="s">
        <v>5063</v>
      </c>
      <c r="G286" t="s">
        <v>5081</v>
      </c>
    </row>
    <row r="287" spans="5:7">
      <c r="E287">
        <v>250</v>
      </c>
      <c r="F287" t="s">
        <v>5063</v>
      </c>
      <c r="G287" t="s">
        <v>5082</v>
      </c>
    </row>
    <row r="288" spans="5:7">
      <c r="E288">
        <v>251</v>
      </c>
      <c r="F288" t="s">
        <v>5063</v>
      </c>
      <c r="G288" t="s">
        <v>5083</v>
      </c>
    </row>
    <row r="289" spans="5:7">
      <c r="E289">
        <v>252</v>
      </c>
      <c r="F289" t="s">
        <v>5063</v>
      </c>
      <c r="G289" t="s">
        <v>5032</v>
      </c>
    </row>
    <row r="290" spans="5:7">
      <c r="E290">
        <v>253</v>
      </c>
      <c r="F290" t="s">
        <v>5063</v>
      </c>
      <c r="G290" t="s">
        <v>5084</v>
      </c>
    </row>
    <row r="291" spans="5:7">
      <c r="E291">
        <v>254</v>
      </c>
      <c r="F291" t="s">
        <v>5085</v>
      </c>
      <c r="G291" t="s">
        <v>5086</v>
      </c>
    </row>
    <row r="292" spans="5:7">
      <c r="E292">
        <v>255</v>
      </c>
      <c r="F292" t="s">
        <v>5085</v>
      </c>
      <c r="G292" t="s">
        <v>5087</v>
      </c>
    </row>
    <row r="293" spans="5:7">
      <c r="E293">
        <v>256</v>
      </c>
      <c r="F293" t="s">
        <v>5085</v>
      </c>
      <c r="G293" t="s">
        <v>4985</v>
      </c>
    </row>
    <row r="294" spans="5:7">
      <c r="E294">
        <v>257</v>
      </c>
      <c r="F294" t="s">
        <v>5085</v>
      </c>
      <c r="G294" t="s">
        <v>5088</v>
      </c>
    </row>
    <row r="295" spans="5:7">
      <c r="E295">
        <v>258</v>
      </c>
      <c r="F295" t="s">
        <v>5085</v>
      </c>
      <c r="G295" t="s">
        <v>5089</v>
      </c>
    </row>
    <row r="296" spans="5:7">
      <c r="E296">
        <v>259</v>
      </c>
      <c r="F296" t="s">
        <v>5085</v>
      </c>
      <c r="G296" t="s">
        <v>5090</v>
      </c>
    </row>
    <row r="297" spans="5:7">
      <c r="E297">
        <v>260</v>
      </c>
      <c r="F297" t="s">
        <v>5085</v>
      </c>
      <c r="G297" t="s">
        <v>5091</v>
      </c>
    </row>
    <row r="298" spans="5:7">
      <c r="E298">
        <v>261</v>
      </c>
      <c r="F298" t="s">
        <v>5085</v>
      </c>
      <c r="G298" t="s">
        <v>5092</v>
      </c>
    </row>
    <row r="299" spans="5:7">
      <c r="E299">
        <v>262</v>
      </c>
      <c r="F299" t="s">
        <v>5085</v>
      </c>
      <c r="G299" t="s">
        <v>5093</v>
      </c>
    </row>
    <row r="300" spans="5:7">
      <c r="E300">
        <v>263</v>
      </c>
      <c r="F300" t="s">
        <v>5085</v>
      </c>
      <c r="G300" t="s">
        <v>5094</v>
      </c>
    </row>
    <row r="301" spans="5:7">
      <c r="E301">
        <v>264</v>
      </c>
      <c r="F301" t="s">
        <v>5095</v>
      </c>
      <c r="G301" t="s">
        <v>5096</v>
      </c>
    </row>
    <row r="302" spans="5:7">
      <c r="E302">
        <v>265</v>
      </c>
      <c r="F302" t="s">
        <v>5095</v>
      </c>
      <c r="G302" t="s">
        <v>5097</v>
      </c>
    </row>
    <row r="303" spans="5:7">
      <c r="E303">
        <v>266</v>
      </c>
      <c r="F303" t="s">
        <v>5095</v>
      </c>
      <c r="G303" t="s">
        <v>5098</v>
      </c>
    </row>
    <row r="304" spans="5:7">
      <c r="E304">
        <v>267</v>
      </c>
      <c r="F304" t="s">
        <v>5095</v>
      </c>
      <c r="G304" t="s">
        <v>5099</v>
      </c>
    </row>
    <row r="305" spans="5:7">
      <c r="E305">
        <v>268</v>
      </c>
      <c r="F305" t="s">
        <v>5095</v>
      </c>
      <c r="G305" t="s">
        <v>5100</v>
      </c>
    </row>
    <row r="306" spans="5:7">
      <c r="E306">
        <v>269</v>
      </c>
      <c r="F306" t="s">
        <v>5095</v>
      </c>
      <c r="G306" t="s">
        <v>5101</v>
      </c>
    </row>
    <row r="307" spans="5:7">
      <c r="E307">
        <v>270</v>
      </c>
      <c r="F307" t="s">
        <v>5095</v>
      </c>
      <c r="G307" t="s">
        <v>5102</v>
      </c>
    </row>
    <row r="308" spans="5:7">
      <c r="E308">
        <v>271</v>
      </c>
      <c r="F308" t="s">
        <v>5095</v>
      </c>
      <c r="G308" t="s">
        <v>5103</v>
      </c>
    </row>
    <row r="309" spans="5:7">
      <c r="E309">
        <v>272</v>
      </c>
      <c r="F309" t="s">
        <v>5095</v>
      </c>
      <c r="G309" t="s">
        <v>5104</v>
      </c>
    </row>
    <row r="310" spans="5:7">
      <c r="E310">
        <v>273</v>
      </c>
      <c r="F310" t="s">
        <v>5095</v>
      </c>
      <c r="G310" t="s">
        <v>5105</v>
      </c>
    </row>
    <row r="311" spans="5:7">
      <c r="E311">
        <v>274</v>
      </c>
      <c r="F311" t="s">
        <v>5106</v>
      </c>
      <c r="G311" t="s">
        <v>5107</v>
      </c>
    </row>
    <row r="312" spans="5:7">
      <c r="E312">
        <v>275</v>
      </c>
      <c r="F312" t="s">
        <v>5106</v>
      </c>
      <c r="G312" t="s">
        <v>5108</v>
      </c>
    </row>
    <row r="313" spans="5:7">
      <c r="E313">
        <v>276</v>
      </c>
      <c r="F313" t="s">
        <v>5106</v>
      </c>
      <c r="G313" t="s">
        <v>5109</v>
      </c>
    </row>
    <row r="314" spans="5:7">
      <c r="E314">
        <v>277</v>
      </c>
      <c r="F314" t="s">
        <v>5106</v>
      </c>
      <c r="G314" t="s">
        <v>5110</v>
      </c>
    </row>
    <row r="315" spans="5:7">
      <c r="E315">
        <v>278</v>
      </c>
      <c r="F315" t="s">
        <v>5106</v>
      </c>
      <c r="G315" t="s">
        <v>5111</v>
      </c>
    </row>
    <row r="316" spans="5:7">
      <c r="E316">
        <v>279</v>
      </c>
      <c r="F316" t="s">
        <v>5106</v>
      </c>
      <c r="G316" t="s">
        <v>5112</v>
      </c>
    </row>
    <row r="317" spans="5:7">
      <c r="E317">
        <v>280</v>
      </c>
      <c r="F317" t="s">
        <v>5106</v>
      </c>
      <c r="G317" t="s">
        <v>5113</v>
      </c>
    </row>
    <row r="318" spans="5:7">
      <c r="E318">
        <v>281</v>
      </c>
      <c r="F318" t="s">
        <v>5106</v>
      </c>
      <c r="G318" t="s">
        <v>5114</v>
      </c>
    </row>
    <row r="319" spans="5:7">
      <c r="E319">
        <v>282</v>
      </c>
      <c r="F319" t="s">
        <v>5106</v>
      </c>
      <c r="G319" t="s">
        <v>5115</v>
      </c>
    </row>
    <row r="320" spans="5:7">
      <c r="E320">
        <v>283</v>
      </c>
      <c r="F320" t="s">
        <v>5106</v>
      </c>
      <c r="G320" t="s">
        <v>5116</v>
      </c>
    </row>
    <row r="321" spans="5:7">
      <c r="E321">
        <v>284</v>
      </c>
      <c r="F321" t="s">
        <v>5117</v>
      </c>
      <c r="G321" t="s">
        <v>5118</v>
      </c>
    </row>
    <row r="322" spans="5:7">
      <c r="E322">
        <v>285</v>
      </c>
      <c r="F322" t="s">
        <v>5117</v>
      </c>
      <c r="G322" t="s">
        <v>5119</v>
      </c>
    </row>
    <row r="323" spans="5:7">
      <c r="E323">
        <v>286</v>
      </c>
      <c r="F323" t="s">
        <v>5117</v>
      </c>
      <c r="G323" t="s">
        <v>5120</v>
      </c>
    </row>
    <row r="324" spans="5:7">
      <c r="E324">
        <v>287</v>
      </c>
      <c r="F324" t="s">
        <v>5117</v>
      </c>
      <c r="G324" t="s">
        <v>5121</v>
      </c>
    </row>
    <row r="325" spans="5:7">
      <c r="E325">
        <v>288</v>
      </c>
      <c r="F325" t="s">
        <v>5117</v>
      </c>
      <c r="G325" t="s">
        <v>5122</v>
      </c>
    </row>
    <row r="326" spans="5:7">
      <c r="E326">
        <v>289</v>
      </c>
      <c r="F326" t="s">
        <v>5117</v>
      </c>
      <c r="G326" t="s">
        <v>5123</v>
      </c>
    </row>
    <row r="327" spans="5:7">
      <c r="E327">
        <v>290</v>
      </c>
      <c r="F327" t="s">
        <v>5117</v>
      </c>
      <c r="G327" t="s">
        <v>5124</v>
      </c>
    </row>
    <row r="328" spans="5:7">
      <c r="E328">
        <v>291</v>
      </c>
      <c r="F328" t="s">
        <v>5117</v>
      </c>
      <c r="G328" t="s">
        <v>5125</v>
      </c>
    </row>
    <row r="329" spans="5:7">
      <c r="E329">
        <v>292</v>
      </c>
      <c r="F329" t="s">
        <v>5117</v>
      </c>
      <c r="G329" t="s">
        <v>5126</v>
      </c>
    </row>
    <row r="330" spans="5:7">
      <c r="E330">
        <v>293</v>
      </c>
      <c r="F330" t="s">
        <v>5127</v>
      </c>
      <c r="G330" t="s">
        <v>5128</v>
      </c>
    </row>
    <row r="331" spans="5:7">
      <c r="E331">
        <v>294</v>
      </c>
      <c r="F331" t="s">
        <v>5127</v>
      </c>
      <c r="G331" t="s">
        <v>5129</v>
      </c>
    </row>
    <row r="332" spans="5:7">
      <c r="E332">
        <v>295</v>
      </c>
      <c r="F332" t="s">
        <v>5127</v>
      </c>
      <c r="G332" t="s">
        <v>5130</v>
      </c>
    </row>
    <row r="333" spans="5:7">
      <c r="E333">
        <v>296</v>
      </c>
      <c r="F333" t="s">
        <v>5127</v>
      </c>
      <c r="G333" t="s">
        <v>5131</v>
      </c>
    </row>
    <row r="334" spans="5:7">
      <c r="E334">
        <v>297</v>
      </c>
      <c r="F334" t="s">
        <v>5127</v>
      </c>
      <c r="G334" t="s">
        <v>5132</v>
      </c>
    </row>
    <row r="335" spans="5:7">
      <c r="E335">
        <v>298</v>
      </c>
      <c r="F335" t="s">
        <v>5127</v>
      </c>
      <c r="G335" t="s">
        <v>5133</v>
      </c>
    </row>
    <row r="336" spans="5:7">
      <c r="E336">
        <v>299</v>
      </c>
      <c r="F336" t="s">
        <v>5127</v>
      </c>
      <c r="G336" t="s">
        <v>5134</v>
      </c>
    </row>
    <row r="337" spans="5:7">
      <c r="E337">
        <v>300</v>
      </c>
      <c r="F337" t="s">
        <v>5127</v>
      </c>
      <c r="G337" t="s">
        <v>5135</v>
      </c>
    </row>
    <row r="338" spans="5:7">
      <c r="E338">
        <v>301</v>
      </c>
      <c r="F338" t="s">
        <v>5127</v>
      </c>
      <c r="G338" t="s">
        <v>5136</v>
      </c>
    </row>
    <row r="339" spans="5:7">
      <c r="E339">
        <v>302</v>
      </c>
      <c r="F339" t="s">
        <v>5127</v>
      </c>
      <c r="G339" t="s">
        <v>5137</v>
      </c>
    </row>
    <row r="340" spans="5:7">
      <c r="E340">
        <v>303</v>
      </c>
      <c r="F340" t="s">
        <v>5138</v>
      </c>
      <c r="G340" t="s">
        <v>5139</v>
      </c>
    </row>
    <row r="341" spans="5:7">
      <c r="E341">
        <v>304</v>
      </c>
      <c r="F341" t="s">
        <v>5138</v>
      </c>
      <c r="G341" t="s">
        <v>5140</v>
      </c>
    </row>
    <row r="342" spans="5:7">
      <c r="E342">
        <v>305</v>
      </c>
      <c r="F342" t="s">
        <v>5138</v>
      </c>
      <c r="G342" t="s">
        <v>5141</v>
      </c>
    </row>
    <row r="343" spans="5:7">
      <c r="E343">
        <v>306</v>
      </c>
      <c r="F343" t="s">
        <v>5138</v>
      </c>
      <c r="G343" t="s">
        <v>5142</v>
      </c>
    </row>
    <row r="344" spans="5:7">
      <c r="E344">
        <v>307</v>
      </c>
      <c r="F344" t="s">
        <v>5138</v>
      </c>
      <c r="G344" t="s">
        <v>5143</v>
      </c>
    </row>
    <row r="345" spans="5:7">
      <c r="E345">
        <v>308</v>
      </c>
      <c r="F345" t="s">
        <v>5138</v>
      </c>
      <c r="G345" t="s">
        <v>5144</v>
      </c>
    </row>
    <row r="346" spans="5:7">
      <c r="E346">
        <v>309</v>
      </c>
      <c r="F346" t="s">
        <v>5138</v>
      </c>
      <c r="G346" t="s">
        <v>5145</v>
      </c>
    </row>
    <row r="347" spans="5:7">
      <c r="E347">
        <v>310</v>
      </c>
      <c r="F347" t="s">
        <v>5138</v>
      </c>
      <c r="G347" t="s">
        <v>5146</v>
      </c>
    </row>
    <row r="348" spans="5:7">
      <c r="E348">
        <v>311</v>
      </c>
      <c r="F348" t="s">
        <v>5138</v>
      </c>
      <c r="G348" t="s">
        <v>5147</v>
      </c>
    </row>
    <row r="349" spans="5:7">
      <c r="E349">
        <v>312</v>
      </c>
      <c r="F349" t="s">
        <v>5138</v>
      </c>
      <c r="G349" t="s">
        <v>5148</v>
      </c>
    </row>
    <row r="350" spans="5:7">
      <c r="E350">
        <v>313</v>
      </c>
      <c r="F350" t="s">
        <v>5149</v>
      </c>
      <c r="G350" t="s">
        <v>5150</v>
      </c>
    </row>
    <row r="351" spans="5:7">
      <c r="E351">
        <v>314</v>
      </c>
      <c r="F351" t="s">
        <v>5149</v>
      </c>
      <c r="G351" t="s">
        <v>5151</v>
      </c>
    </row>
    <row r="352" spans="5:7">
      <c r="E352">
        <v>315</v>
      </c>
      <c r="F352" t="s">
        <v>5149</v>
      </c>
      <c r="G352" t="s">
        <v>5152</v>
      </c>
    </row>
    <row r="353" spans="5:7">
      <c r="E353">
        <v>316</v>
      </c>
      <c r="F353" t="s">
        <v>5149</v>
      </c>
      <c r="G353" t="s">
        <v>5153</v>
      </c>
    </row>
    <row r="354" spans="5:7">
      <c r="E354">
        <v>317</v>
      </c>
      <c r="F354" t="s">
        <v>5154</v>
      </c>
      <c r="G354" t="s">
        <v>5155</v>
      </c>
    </row>
    <row r="355" spans="5:7">
      <c r="E355">
        <v>318</v>
      </c>
      <c r="F355" t="s">
        <v>5154</v>
      </c>
      <c r="G355" t="s">
        <v>5156</v>
      </c>
    </row>
    <row r="356" spans="5:7">
      <c r="E356">
        <v>319</v>
      </c>
      <c r="F356" t="s">
        <v>5154</v>
      </c>
      <c r="G356" t="s">
        <v>5157</v>
      </c>
    </row>
    <row r="357" spans="5:7">
      <c r="E357">
        <v>320</v>
      </c>
      <c r="F357" t="s">
        <v>5154</v>
      </c>
      <c r="G357" t="s">
        <v>5158</v>
      </c>
    </row>
    <row r="358" spans="5:7">
      <c r="E358">
        <v>321</v>
      </c>
      <c r="F358" t="s">
        <v>5154</v>
      </c>
      <c r="G358" t="s">
        <v>5159</v>
      </c>
    </row>
    <row r="359" spans="5:7">
      <c r="E359">
        <v>322</v>
      </c>
      <c r="F359" t="s">
        <v>5154</v>
      </c>
      <c r="G359" t="s">
        <v>5160</v>
      </c>
    </row>
    <row r="360" spans="5:7">
      <c r="E360">
        <v>323</v>
      </c>
      <c r="F360" t="s">
        <v>5154</v>
      </c>
      <c r="G360" t="s">
        <v>5161</v>
      </c>
    </row>
    <row r="361" spans="5:7">
      <c r="E361">
        <v>324</v>
      </c>
      <c r="F361" t="s">
        <v>5154</v>
      </c>
      <c r="G361" t="s">
        <v>5162</v>
      </c>
    </row>
    <row r="362" spans="5:7">
      <c r="E362">
        <v>325</v>
      </c>
      <c r="F362" t="s">
        <v>5154</v>
      </c>
      <c r="G362" t="s">
        <v>5163</v>
      </c>
    </row>
    <row r="363" spans="5:7">
      <c r="E363">
        <v>326</v>
      </c>
      <c r="F363" t="s">
        <v>5164</v>
      </c>
      <c r="G363" t="s">
        <v>5165</v>
      </c>
    </row>
    <row r="364" spans="5:7">
      <c r="E364">
        <v>327</v>
      </c>
      <c r="F364" t="s">
        <v>5164</v>
      </c>
      <c r="G364" t="s">
        <v>5166</v>
      </c>
    </row>
    <row r="365" spans="5:7">
      <c r="E365">
        <v>328</v>
      </c>
      <c r="F365" t="s">
        <v>5164</v>
      </c>
      <c r="G365" t="s">
        <v>5167</v>
      </c>
    </row>
    <row r="366" spans="5:7">
      <c r="E366">
        <v>329</v>
      </c>
      <c r="F366" t="s">
        <v>5164</v>
      </c>
      <c r="G366" t="s">
        <v>5168</v>
      </c>
    </row>
    <row r="367" spans="5:7">
      <c r="E367">
        <v>330</v>
      </c>
      <c r="F367" t="s">
        <v>5164</v>
      </c>
      <c r="G367" t="s">
        <v>5169</v>
      </c>
    </row>
    <row r="368" spans="5:7">
      <c r="E368">
        <v>331</v>
      </c>
      <c r="F368" t="s">
        <v>5164</v>
      </c>
      <c r="G368" t="s">
        <v>5170</v>
      </c>
    </row>
    <row r="369" spans="5:7">
      <c r="E369">
        <v>332</v>
      </c>
      <c r="F369" t="s">
        <v>5164</v>
      </c>
      <c r="G369" t="s">
        <v>5171</v>
      </c>
    </row>
    <row r="370" spans="5:7">
      <c r="E370">
        <v>333</v>
      </c>
      <c r="F370" t="s">
        <v>5164</v>
      </c>
      <c r="G370" t="s">
        <v>5172</v>
      </c>
    </row>
    <row r="371" spans="5:7">
      <c r="E371">
        <v>334</v>
      </c>
      <c r="F371" t="s">
        <v>5164</v>
      </c>
      <c r="G371" t="s">
        <v>5173</v>
      </c>
    </row>
    <row r="372" spans="5:7">
      <c r="E372">
        <v>335</v>
      </c>
      <c r="F372" t="s">
        <v>5164</v>
      </c>
      <c r="G372" t="s">
        <v>5174</v>
      </c>
    </row>
    <row r="373" spans="5:7">
      <c r="E373">
        <v>336</v>
      </c>
      <c r="F373" t="s">
        <v>5164</v>
      </c>
      <c r="G373" t="s">
        <v>5175</v>
      </c>
    </row>
    <row r="374" spans="5:7">
      <c r="E374">
        <v>337</v>
      </c>
      <c r="F374" t="s">
        <v>5176</v>
      </c>
      <c r="G374" t="s">
        <v>5177</v>
      </c>
    </row>
    <row r="375" spans="5:7">
      <c r="E375">
        <v>338</v>
      </c>
      <c r="F375" t="s">
        <v>5176</v>
      </c>
      <c r="G375" t="s">
        <v>5178</v>
      </c>
    </row>
    <row r="376" spans="5:7">
      <c r="E376">
        <v>339</v>
      </c>
      <c r="F376" t="s">
        <v>5176</v>
      </c>
      <c r="G376" t="s">
        <v>5179</v>
      </c>
    </row>
    <row r="377" spans="5:7">
      <c r="E377">
        <v>340</v>
      </c>
      <c r="F377" t="s">
        <v>5176</v>
      </c>
      <c r="G377" t="s">
        <v>5180</v>
      </c>
    </row>
    <row r="378" spans="5:7">
      <c r="E378">
        <v>341</v>
      </c>
      <c r="F378" t="s">
        <v>5176</v>
      </c>
      <c r="G378" t="s">
        <v>5181</v>
      </c>
    </row>
    <row r="379" spans="5:7">
      <c r="E379">
        <v>342</v>
      </c>
      <c r="F379" t="s">
        <v>5176</v>
      </c>
      <c r="G379" t="s">
        <v>5182</v>
      </c>
    </row>
    <row r="380" spans="5:7">
      <c r="E380">
        <v>343</v>
      </c>
      <c r="F380" t="s">
        <v>5176</v>
      </c>
      <c r="G380" t="s">
        <v>5183</v>
      </c>
    </row>
    <row r="381" spans="5:7">
      <c r="E381">
        <v>344</v>
      </c>
      <c r="F381" t="s">
        <v>5176</v>
      </c>
      <c r="G381" t="s">
        <v>5184</v>
      </c>
    </row>
    <row r="382" spans="5:7">
      <c r="E382">
        <v>345</v>
      </c>
      <c r="F382" t="s">
        <v>5176</v>
      </c>
      <c r="G382" t="s">
        <v>5185</v>
      </c>
    </row>
    <row r="383" spans="5:7">
      <c r="E383">
        <v>346</v>
      </c>
      <c r="F383" t="s">
        <v>5176</v>
      </c>
      <c r="G383" t="s">
        <v>5186</v>
      </c>
    </row>
    <row r="384" spans="5:7">
      <c r="E384">
        <v>347</v>
      </c>
      <c r="F384" t="s">
        <v>5176</v>
      </c>
      <c r="G384" t="s">
        <v>5187</v>
      </c>
    </row>
    <row r="385" spans="5:7">
      <c r="E385">
        <v>348</v>
      </c>
      <c r="F385" t="s">
        <v>5188</v>
      </c>
      <c r="G385" t="s">
        <v>5189</v>
      </c>
    </row>
    <row r="386" spans="5:7">
      <c r="E386">
        <v>349</v>
      </c>
      <c r="F386" t="s">
        <v>5188</v>
      </c>
      <c r="G386" t="s">
        <v>5190</v>
      </c>
    </row>
    <row r="387" spans="5:7">
      <c r="E387">
        <v>350</v>
      </c>
      <c r="F387" t="s">
        <v>5188</v>
      </c>
      <c r="G387" t="s">
        <v>5191</v>
      </c>
    </row>
    <row r="388" spans="5:7">
      <c r="E388">
        <v>351</v>
      </c>
      <c r="F388" t="s">
        <v>5188</v>
      </c>
      <c r="G388" t="s">
        <v>5192</v>
      </c>
    </row>
    <row r="389" spans="5:7">
      <c r="E389">
        <v>352</v>
      </c>
      <c r="F389" t="s">
        <v>5188</v>
      </c>
      <c r="G389" t="s">
        <v>5193</v>
      </c>
    </row>
    <row r="390" spans="5:7">
      <c r="E390">
        <v>353</v>
      </c>
      <c r="F390" t="s">
        <v>5188</v>
      </c>
      <c r="G390" t="s">
        <v>5194</v>
      </c>
    </row>
    <row r="391" spans="5:7">
      <c r="E391">
        <v>354</v>
      </c>
      <c r="F391" t="s">
        <v>5188</v>
      </c>
      <c r="G391" t="s">
        <v>5195</v>
      </c>
    </row>
    <row r="392" spans="5:7">
      <c r="E392">
        <v>355</v>
      </c>
      <c r="F392" t="s">
        <v>5188</v>
      </c>
      <c r="G392" t="s">
        <v>5196</v>
      </c>
    </row>
    <row r="393" spans="5:7">
      <c r="E393">
        <v>356</v>
      </c>
      <c r="F393" t="s">
        <v>5188</v>
      </c>
      <c r="G393" t="s">
        <v>5197</v>
      </c>
    </row>
    <row r="394" spans="5:7">
      <c r="E394">
        <v>357</v>
      </c>
      <c r="F394" t="s">
        <v>5188</v>
      </c>
      <c r="G394" t="s">
        <v>5198</v>
      </c>
    </row>
    <row r="395" spans="5:7">
      <c r="E395">
        <v>358</v>
      </c>
      <c r="F395" t="s">
        <v>5199</v>
      </c>
      <c r="G395" t="s">
        <v>5200</v>
      </c>
    </row>
    <row r="396" spans="5:7">
      <c r="E396">
        <v>359</v>
      </c>
      <c r="F396" t="s">
        <v>5199</v>
      </c>
      <c r="G396" t="s">
        <v>5201</v>
      </c>
    </row>
    <row r="397" spans="5:7">
      <c r="E397">
        <v>360</v>
      </c>
      <c r="F397" t="s">
        <v>5199</v>
      </c>
      <c r="G397" t="s">
        <v>5202</v>
      </c>
    </row>
    <row r="398" spans="5:7">
      <c r="E398">
        <v>361</v>
      </c>
      <c r="F398" t="s">
        <v>5199</v>
      </c>
      <c r="G398" t="s">
        <v>5203</v>
      </c>
    </row>
    <row r="399" spans="5:7">
      <c r="E399">
        <v>362</v>
      </c>
      <c r="F399" t="s">
        <v>5199</v>
      </c>
      <c r="G399" t="s">
        <v>5204</v>
      </c>
    </row>
    <row r="400" spans="5:7">
      <c r="E400">
        <v>363</v>
      </c>
      <c r="F400" t="s">
        <v>5199</v>
      </c>
      <c r="G400" t="s">
        <v>5205</v>
      </c>
    </row>
    <row r="401" spans="5:7">
      <c r="E401">
        <v>364</v>
      </c>
      <c r="F401" t="s">
        <v>5199</v>
      </c>
      <c r="G401" t="s">
        <v>5206</v>
      </c>
    </row>
    <row r="402" spans="5:7">
      <c r="E402">
        <v>365</v>
      </c>
      <c r="F402" t="s">
        <v>5199</v>
      </c>
      <c r="G402" t="s">
        <v>5207</v>
      </c>
    </row>
    <row r="403" spans="5:7">
      <c r="E403">
        <v>366</v>
      </c>
      <c r="F403" t="s">
        <v>5199</v>
      </c>
      <c r="G403" t="s">
        <v>5208</v>
      </c>
    </row>
    <row r="404" spans="5:7">
      <c r="E404">
        <v>367</v>
      </c>
      <c r="F404" t="s">
        <v>5209</v>
      </c>
      <c r="G404" t="s">
        <v>5210</v>
      </c>
    </row>
    <row r="405" spans="5:7">
      <c r="E405">
        <v>368</v>
      </c>
      <c r="F405" t="s">
        <v>5209</v>
      </c>
      <c r="G405" t="s">
        <v>5211</v>
      </c>
    </row>
    <row r="406" spans="5:7">
      <c r="E406">
        <v>369</v>
      </c>
      <c r="F406" t="s">
        <v>5209</v>
      </c>
      <c r="G406" t="s">
        <v>5212</v>
      </c>
    </row>
    <row r="407" spans="5:7">
      <c r="E407">
        <v>370</v>
      </c>
      <c r="F407" t="s">
        <v>5209</v>
      </c>
      <c r="G407" t="s">
        <v>5213</v>
      </c>
    </row>
    <row r="408" spans="5:7">
      <c r="E408">
        <v>371</v>
      </c>
      <c r="F408" t="s">
        <v>5209</v>
      </c>
      <c r="G408" t="s">
        <v>5214</v>
      </c>
    </row>
    <row r="409" spans="5:7">
      <c r="E409">
        <v>372</v>
      </c>
      <c r="F409" t="s">
        <v>5209</v>
      </c>
      <c r="G409" t="s">
        <v>5215</v>
      </c>
    </row>
    <row r="410" spans="5:7">
      <c r="E410">
        <v>373</v>
      </c>
      <c r="F410" t="s">
        <v>5209</v>
      </c>
      <c r="G410" t="s">
        <v>5216</v>
      </c>
    </row>
    <row r="411" spans="5:7">
      <c r="E411">
        <v>374</v>
      </c>
      <c r="F411" t="s">
        <v>5209</v>
      </c>
      <c r="G411" t="s">
        <v>5217</v>
      </c>
    </row>
    <row r="412" spans="5:7">
      <c r="E412">
        <v>375</v>
      </c>
      <c r="F412" t="s">
        <v>5209</v>
      </c>
      <c r="G412" t="s">
        <v>5218</v>
      </c>
    </row>
    <row r="413" spans="5:7">
      <c r="E413">
        <v>376</v>
      </c>
      <c r="F413" t="s">
        <v>5219</v>
      </c>
      <c r="G413" t="s">
        <v>5220</v>
      </c>
    </row>
    <row r="414" spans="5:7">
      <c r="E414">
        <v>377</v>
      </c>
      <c r="F414" t="s">
        <v>5219</v>
      </c>
      <c r="G414" t="s">
        <v>5221</v>
      </c>
    </row>
    <row r="415" spans="5:7">
      <c r="E415">
        <v>378</v>
      </c>
      <c r="F415" t="s">
        <v>5219</v>
      </c>
      <c r="G415" t="s">
        <v>5222</v>
      </c>
    </row>
    <row r="416" spans="5:7">
      <c r="E416">
        <v>379</v>
      </c>
      <c r="F416" t="s">
        <v>5219</v>
      </c>
      <c r="G416" t="s">
        <v>5223</v>
      </c>
    </row>
    <row r="417" spans="5:7">
      <c r="E417">
        <v>380</v>
      </c>
      <c r="F417" t="s">
        <v>5219</v>
      </c>
      <c r="G417" t="s">
        <v>5224</v>
      </c>
    </row>
    <row r="418" spans="5:7">
      <c r="E418">
        <v>381</v>
      </c>
      <c r="F418" t="s">
        <v>5219</v>
      </c>
      <c r="G418" t="s">
        <v>5225</v>
      </c>
    </row>
    <row r="419" spans="5:7">
      <c r="E419">
        <v>382</v>
      </c>
      <c r="F419" t="s">
        <v>5219</v>
      </c>
      <c r="G419" t="s">
        <v>5226</v>
      </c>
    </row>
    <row r="420" spans="5:7">
      <c r="E420">
        <v>383</v>
      </c>
      <c r="F420" t="s">
        <v>5219</v>
      </c>
      <c r="G420" t="s">
        <v>5227</v>
      </c>
    </row>
    <row r="421" spans="5:7">
      <c r="E421">
        <v>384</v>
      </c>
      <c r="F421" t="s">
        <v>5219</v>
      </c>
      <c r="G421" t="s">
        <v>5228</v>
      </c>
    </row>
    <row r="422" spans="5:7">
      <c r="E422">
        <v>385</v>
      </c>
      <c r="F422" t="s">
        <v>5219</v>
      </c>
      <c r="G422" t="s">
        <v>5229</v>
      </c>
    </row>
    <row r="423" spans="5:7">
      <c r="E423">
        <v>386</v>
      </c>
      <c r="F423" t="s">
        <v>5219</v>
      </c>
      <c r="G423" t="s">
        <v>5230</v>
      </c>
    </row>
    <row r="424" spans="5:7">
      <c r="E424">
        <v>387</v>
      </c>
      <c r="F424" t="s">
        <v>5219</v>
      </c>
      <c r="G424" t="s">
        <v>5231</v>
      </c>
    </row>
    <row r="425" spans="5:7">
      <c r="E425">
        <v>388</v>
      </c>
      <c r="F425" t="s">
        <v>5219</v>
      </c>
      <c r="G425" t="s">
        <v>5232</v>
      </c>
    </row>
    <row r="426" spans="5:7">
      <c r="E426">
        <v>389</v>
      </c>
      <c r="F426" t="s">
        <v>5219</v>
      </c>
      <c r="G426" t="s">
        <v>5233</v>
      </c>
    </row>
    <row r="427" spans="5:7">
      <c r="E427">
        <v>390</v>
      </c>
      <c r="F427" t="s">
        <v>5219</v>
      </c>
      <c r="G427" t="s">
        <v>5234</v>
      </c>
    </row>
    <row r="428" spans="5:7">
      <c r="E428">
        <v>391</v>
      </c>
      <c r="F428" t="s">
        <v>5219</v>
      </c>
      <c r="G428" t="s">
        <v>5235</v>
      </c>
    </row>
    <row r="429" spans="5:7">
      <c r="E429">
        <v>392</v>
      </c>
      <c r="F429" t="s">
        <v>5219</v>
      </c>
      <c r="G429" t="s">
        <v>5236</v>
      </c>
    </row>
    <row r="430" spans="5:7">
      <c r="E430">
        <v>393</v>
      </c>
      <c r="F430" t="s">
        <v>5219</v>
      </c>
      <c r="G430" t="s">
        <v>5237</v>
      </c>
    </row>
    <row r="431" spans="5:7">
      <c r="E431">
        <v>394</v>
      </c>
      <c r="F431" t="s">
        <v>5219</v>
      </c>
      <c r="G431" t="s">
        <v>5238</v>
      </c>
    </row>
    <row r="432" spans="5:7">
      <c r="E432">
        <v>395</v>
      </c>
      <c r="F432" t="s">
        <v>5219</v>
      </c>
      <c r="G432" t="s">
        <v>5239</v>
      </c>
    </row>
    <row r="433" spans="5:7">
      <c r="E433">
        <v>396</v>
      </c>
      <c r="F433" t="s">
        <v>5240</v>
      </c>
      <c r="G433" t="s">
        <v>5241</v>
      </c>
    </row>
    <row r="434" spans="5:7">
      <c r="E434">
        <v>397</v>
      </c>
      <c r="F434" t="s">
        <v>5240</v>
      </c>
      <c r="G434" t="s">
        <v>5242</v>
      </c>
    </row>
    <row r="435" spans="5:7">
      <c r="E435">
        <v>398</v>
      </c>
      <c r="F435" t="s">
        <v>5240</v>
      </c>
      <c r="G435" t="s">
        <v>5243</v>
      </c>
    </row>
    <row r="436" spans="5:7">
      <c r="E436">
        <v>399</v>
      </c>
      <c r="F436" t="s">
        <v>5240</v>
      </c>
      <c r="G436" t="s">
        <v>5244</v>
      </c>
    </row>
    <row r="437" spans="5:7">
      <c r="E437">
        <v>400</v>
      </c>
      <c r="F437" t="s">
        <v>5240</v>
      </c>
      <c r="G437" t="s">
        <v>5245</v>
      </c>
    </row>
    <row r="438" spans="5:7">
      <c r="E438">
        <v>401</v>
      </c>
      <c r="F438" t="s">
        <v>5240</v>
      </c>
      <c r="G438" t="s">
        <v>5246</v>
      </c>
    </row>
    <row r="439" spans="5:7">
      <c r="E439">
        <v>402</v>
      </c>
      <c r="F439" t="s">
        <v>5240</v>
      </c>
      <c r="G439" t="s">
        <v>5247</v>
      </c>
    </row>
    <row r="440" spans="5:7">
      <c r="E440">
        <v>403</v>
      </c>
      <c r="F440" t="s">
        <v>5240</v>
      </c>
      <c r="G440" t="s">
        <v>5248</v>
      </c>
    </row>
    <row r="441" spans="5:7">
      <c r="E441">
        <v>404</v>
      </c>
      <c r="F441" t="s">
        <v>5240</v>
      </c>
      <c r="G441" t="s">
        <v>5249</v>
      </c>
    </row>
    <row r="442" spans="5:7">
      <c r="E442">
        <v>405</v>
      </c>
      <c r="F442" t="s">
        <v>5240</v>
      </c>
      <c r="G442" t="s">
        <v>5250</v>
      </c>
    </row>
  </sheetData>
  <hyperlinks>
    <hyperlink ref="O7" r:id="rId1" display="joseluis.jurado@westernunion.com" xr:uid="{97C2C02C-6455-4F6B-A4A1-4A5ED0BDB4C5}"/>
  </hyperlinks>
  <pageMargins left="0.7" right="0.7" top="0.75" bottom="0.75" header="0.3" footer="0.3"/>
  <customProperties>
    <customPr name="workbookAdvencedSettings" r:id="rId2"/>
    <customPr name="workbookExecutionSettings" r:id="rId3"/>
    <customPr name="workbookGatewaySettings" r:id="rId4"/>
  </customProperties>
  <tableParts count="1">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7EDF6-94D0-425D-A76E-D1DA0AE6DEBE}">
  <sheetPr codeName="Sheet18"/>
  <dimension ref="B3:T201"/>
  <sheetViews>
    <sheetView showGridLines="0" zoomScale="55" zoomScaleNormal="55" workbookViewId="0"/>
  </sheetViews>
  <sheetFormatPr defaultRowHeight="14.5"/>
  <cols>
    <col min="1" max="1" width="3.54296875" customWidth="1"/>
    <col min="2" max="2" width="13.54296875" bestFit="1" customWidth="1"/>
    <col min="3" max="3" width="54.54296875" bestFit="1" customWidth="1"/>
    <col min="4" max="4" width="51.453125" bestFit="1" customWidth="1"/>
    <col min="5" max="5" width="50.54296875" bestFit="1" customWidth="1"/>
    <col min="6" max="6" width="24.54296875" bestFit="1" customWidth="1"/>
    <col min="7" max="7" width="32" bestFit="1" customWidth="1"/>
    <col min="8" max="8" width="46.453125" bestFit="1" customWidth="1"/>
    <col min="10" max="10" width="16" bestFit="1" customWidth="1"/>
    <col min="11" max="11" width="34.453125" bestFit="1" customWidth="1"/>
    <col min="12" max="12" width="14" bestFit="1" customWidth="1"/>
    <col min="13" max="13" width="22" bestFit="1" customWidth="1"/>
    <col min="15" max="15" width="14.54296875" customWidth="1"/>
    <col min="16" max="16" width="9.54296875" customWidth="1"/>
    <col min="17" max="17" width="14.54296875" customWidth="1"/>
    <col min="19" max="19" width="33" bestFit="1" customWidth="1"/>
    <col min="20" max="20" width="13.54296875" bestFit="1" customWidth="1"/>
  </cols>
  <sheetData>
    <row r="3" spans="2:20" ht="15.5">
      <c r="B3" s="617" t="s">
        <v>5251</v>
      </c>
      <c r="C3" s="617"/>
      <c r="D3" s="617"/>
      <c r="E3" s="617"/>
      <c r="F3" s="617"/>
      <c r="G3" s="617"/>
      <c r="H3" s="617"/>
      <c r="J3" s="618" t="s">
        <v>5252</v>
      </c>
      <c r="K3" s="618"/>
      <c r="L3" s="618"/>
      <c r="M3" s="618"/>
      <c r="O3" s="618"/>
      <c r="P3" s="618"/>
      <c r="Q3" s="618"/>
      <c r="S3" s="618" t="s">
        <v>5253</v>
      </c>
      <c r="T3" s="618"/>
    </row>
    <row r="5" spans="2:20">
      <c r="B5" t="s">
        <v>26</v>
      </c>
      <c r="C5" t="s">
        <v>3492</v>
      </c>
      <c r="D5" t="s">
        <v>3484</v>
      </c>
      <c r="E5" t="s">
        <v>3499</v>
      </c>
      <c r="F5" t="s">
        <v>3531</v>
      </c>
      <c r="G5" t="s">
        <v>2178</v>
      </c>
      <c r="H5" t="s">
        <v>3541</v>
      </c>
      <c r="J5" t="s">
        <v>4193</v>
      </c>
      <c r="K5" t="s">
        <v>26</v>
      </c>
      <c r="L5" t="s">
        <v>3476</v>
      </c>
      <c r="M5" t="s">
        <v>4194</v>
      </c>
      <c r="O5" t="s">
        <v>111</v>
      </c>
      <c r="P5" t="s">
        <v>3723</v>
      </c>
      <c r="Q5" t="s">
        <v>3724</v>
      </c>
      <c r="S5" t="s">
        <v>26</v>
      </c>
      <c r="T5" t="s">
        <v>4190</v>
      </c>
    </row>
    <row r="6" spans="2:20">
      <c r="B6" t="s">
        <v>2581</v>
      </c>
      <c r="C6" t="s">
        <v>4208</v>
      </c>
      <c r="D6" t="s">
        <v>4209</v>
      </c>
      <c r="E6" t="s">
        <v>4210</v>
      </c>
      <c r="F6" t="s">
        <v>4211</v>
      </c>
      <c r="G6" t="s">
        <v>4212</v>
      </c>
      <c r="H6" t="s">
        <v>4210</v>
      </c>
      <c r="J6" t="s">
        <v>4075</v>
      </c>
      <c r="K6" t="s">
        <v>5254</v>
      </c>
      <c r="L6" t="s">
        <v>4201</v>
      </c>
      <c r="M6" t="s">
        <v>4202</v>
      </c>
      <c r="O6" t="s">
        <v>138</v>
      </c>
      <c r="P6" t="s">
        <v>3821</v>
      </c>
      <c r="Q6" t="s">
        <v>3822</v>
      </c>
      <c r="S6" t="s">
        <v>5254</v>
      </c>
      <c r="T6" t="s">
        <v>5254</v>
      </c>
    </row>
    <row r="7" spans="2:20">
      <c r="B7" t="s">
        <v>2281</v>
      </c>
      <c r="C7" t="s">
        <v>4217</v>
      </c>
      <c r="D7" t="s">
        <v>4218</v>
      </c>
      <c r="E7" t="s">
        <v>4219</v>
      </c>
      <c r="F7" t="s">
        <v>4220</v>
      </c>
      <c r="G7" t="s">
        <v>4221</v>
      </c>
      <c r="H7" t="s">
        <v>4222</v>
      </c>
      <c r="J7" t="s">
        <v>4111</v>
      </c>
      <c r="K7" t="s">
        <v>2281</v>
      </c>
      <c r="L7" t="s">
        <v>4201</v>
      </c>
      <c r="M7" t="s">
        <v>4202</v>
      </c>
      <c r="O7" t="s">
        <v>3823</v>
      </c>
      <c r="P7" t="s">
        <v>3824</v>
      </c>
      <c r="Q7" t="s">
        <v>3825</v>
      </c>
      <c r="S7" t="s">
        <v>3500</v>
      </c>
      <c r="T7" t="s">
        <v>3500</v>
      </c>
    </row>
    <row r="8" spans="2:20">
      <c r="B8" t="s">
        <v>3500</v>
      </c>
      <c r="C8" t="s">
        <v>4220</v>
      </c>
      <c r="D8" t="s">
        <v>4228</v>
      </c>
      <c r="F8" t="s">
        <v>4220</v>
      </c>
      <c r="G8" t="s">
        <v>4220</v>
      </c>
      <c r="H8" t="s">
        <v>4220</v>
      </c>
      <c r="J8" t="s">
        <v>4225</v>
      </c>
      <c r="K8" t="s">
        <v>3500</v>
      </c>
      <c r="L8" t="s">
        <v>4201</v>
      </c>
      <c r="M8" t="s">
        <v>4226</v>
      </c>
      <c r="O8" t="s">
        <v>139</v>
      </c>
      <c r="P8">
        <v>416</v>
      </c>
      <c r="Q8" t="s">
        <v>3935</v>
      </c>
      <c r="S8" t="s">
        <v>2281</v>
      </c>
      <c r="T8" t="s">
        <v>2281</v>
      </c>
    </row>
    <row r="9" spans="2:20">
      <c r="B9" t="s">
        <v>3437</v>
      </c>
      <c r="C9" t="s">
        <v>4238</v>
      </c>
      <c r="D9" t="s">
        <v>4239</v>
      </c>
      <c r="E9" t="s">
        <v>4240</v>
      </c>
      <c r="F9" t="s">
        <v>4220</v>
      </c>
      <c r="G9" t="s">
        <v>4220</v>
      </c>
      <c r="H9" t="s">
        <v>4220</v>
      </c>
      <c r="J9" t="s">
        <v>4232</v>
      </c>
      <c r="K9" t="s">
        <v>4233</v>
      </c>
      <c r="L9" t="s">
        <v>4201</v>
      </c>
      <c r="M9" t="s">
        <v>4202</v>
      </c>
      <c r="O9" t="s">
        <v>3936</v>
      </c>
      <c r="P9">
        <v>816</v>
      </c>
      <c r="Q9" t="s">
        <v>3937</v>
      </c>
      <c r="S9" t="s">
        <v>3495</v>
      </c>
      <c r="T9" t="s">
        <v>4231</v>
      </c>
    </row>
    <row r="10" spans="2:20">
      <c r="B10" t="s">
        <v>2196</v>
      </c>
      <c r="C10" t="s">
        <v>4220</v>
      </c>
      <c r="D10" t="s">
        <v>4245</v>
      </c>
      <c r="E10" t="s">
        <v>4220</v>
      </c>
      <c r="F10" t="s">
        <v>4220</v>
      </c>
      <c r="G10" t="s">
        <v>4220</v>
      </c>
      <c r="H10" t="s">
        <v>4220</v>
      </c>
      <c r="J10" t="s">
        <v>4241</v>
      </c>
      <c r="K10" t="s">
        <v>4242</v>
      </c>
      <c r="L10" t="s">
        <v>4201</v>
      </c>
      <c r="M10" t="s">
        <v>4202</v>
      </c>
      <c r="O10" t="s">
        <v>3802</v>
      </c>
      <c r="P10" t="s">
        <v>3803</v>
      </c>
      <c r="Q10" t="s">
        <v>3804</v>
      </c>
      <c r="S10" t="s">
        <v>3544</v>
      </c>
      <c r="T10" t="s">
        <v>4231</v>
      </c>
    </row>
    <row r="11" spans="2:20">
      <c r="B11" t="s">
        <v>3162</v>
      </c>
      <c r="C11" t="s">
        <v>4220</v>
      </c>
      <c r="D11" t="s">
        <v>4250</v>
      </c>
      <c r="J11" t="s">
        <v>4247</v>
      </c>
      <c r="K11" t="s">
        <v>4248</v>
      </c>
      <c r="L11" t="s">
        <v>4201</v>
      </c>
      <c r="M11" t="s">
        <v>4202</v>
      </c>
      <c r="O11" t="s">
        <v>3805</v>
      </c>
      <c r="P11">
        <v>1009</v>
      </c>
      <c r="Q11" t="s">
        <v>3806</v>
      </c>
      <c r="S11" t="s">
        <v>3564</v>
      </c>
      <c r="T11" t="s">
        <v>4231</v>
      </c>
    </row>
    <row r="12" spans="2:20">
      <c r="B12" t="s">
        <v>3473</v>
      </c>
      <c r="C12" t="s">
        <v>4257</v>
      </c>
      <c r="D12" t="s">
        <v>4239</v>
      </c>
      <c r="E12" t="s">
        <v>4220</v>
      </c>
      <c r="F12" t="s">
        <v>4220</v>
      </c>
      <c r="G12" t="s">
        <v>4220</v>
      </c>
      <c r="H12" t="s">
        <v>4220</v>
      </c>
      <c r="J12" t="s">
        <v>4252</v>
      </c>
      <c r="K12" t="s">
        <v>4253</v>
      </c>
      <c r="L12" t="s">
        <v>3481</v>
      </c>
      <c r="M12" t="s">
        <v>4254</v>
      </c>
      <c r="O12" t="s">
        <v>3808</v>
      </c>
      <c r="P12">
        <v>809</v>
      </c>
      <c r="Q12" t="s">
        <v>3809</v>
      </c>
      <c r="S12" t="s">
        <v>3581</v>
      </c>
      <c r="T12" t="s">
        <v>4231</v>
      </c>
    </row>
    <row r="13" spans="2:20">
      <c r="B13" t="s">
        <v>3481</v>
      </c>
      <c r="C13" t="s">
        <v>4220</v>
      </c>
      <c r="D13" t="s">
        <v>4228</v>
      </c>
      <c r="E13" t="s">
        <v>4240</v>
      </c>
      <c r="F13" t="s">
        <v>4220</v>
      </c>
      <c r="G13" t="s">
        <v>4220</v>
      </c>
      <c r="H13" t="s">
        <v>4220</v>
      </c>
      <c r="J13" t="s">
        <v>4260</v>
      </c>
      <c r="K13" t="s">
        <v>3488</v>
      </c>
      <c r="L13" t="s">
        <v>3481</v>
      </c>
      <c r="M13" t="s">
        <v>4254</v>
      </c>
      <c r="O13" t="s">
        <v>3810</v>
      </c>
      <c r="P13">
        <v>409</v>
      </c>
      <c r="Q13" t="s">
        <v>3811</v>
      </c>
      <c r="S13" t="s">
        <v>3599</v>
      </c>
      <c r="T13" t="s">
        <v>4231</v>
      </c>
    </row>
    <row r="14" spans="2:20">
      <c r="B14" t="s">
        <v>3480</v>
      </c>
      <c r="C14" t="s">
        <v>4220</v>
      </c>
      <c r="D14" t="s">
        <v>4228</v>
      </c>
      <c r="E14" t="s">
        <v>42</v>
      </c>
      <c r="F14" t="s">
        <v>4220</v>
      </c>
      <c r="G14" t="s">
        <v>4220</v>
      </c>
      <c r="H14" t="s">
        <v>4220</v>
      </c>
      <c r="J14" t="s">
        <v>4261</v>
      </c>
      <c r="K14" t="s">
        <v>3495</v>
      </c>
      <c r="L14" t="s">
        <v>3481</v>
      </c>
      <c r="M14" t="s">
        <v>4262</v>
      </c>
      <c r="O14" t="s">
        <v>2</v>
      </c>
      <c r="P14">
        <v>409</v>
      </c>
      <c r="Q14" t="s">
        <v>3811</v>
      </c>
      <c r="S14" t="s">
        <v>3560</v>
      </c>
      <c r="T14" t="s">
        <v>4231</v>
      </c>
    </row>
    <row r="15" spans="2:20">
      <c r="B15" t="s">
        <v>3478</v>
      </c>
      <c r="C15" t="s">
        <v>4220</v>
      </c>
      <c r="D15" t="s">
        <v>4228</v>
      </c>
      <c r="E15" t="s">
        <v>42</v>
      </c>
      <c r="F15" t="s">
        <v>4220</v>
      </c>
      <c r="G15" t="s">
        <v>4220</v>
      </c>
      <c r="H15" t="s">
        <v>4220</v>
      </c>
      <c r="J15" t="s">
        <v>4264</v>
      </c>
      <c r="K15" t="s">
        <v>3504</v>
      </c>
      <c r="L15" t="s">
        <v>3481</v>
      </c>
      <c r="M15" t="s">
        <v>4254</v>
      </c>
      <c r="O15" t="s">
        <v>137</v>
      </c>
      <c r="P15" t="s">
        <v>3965</v>
      </c>
      <c r="Q15" t="s">
        <v>3966</v>
      </c>
      <c r="S15" t="s">
        <v>3591</v>
      </c>
      <c r="T15" t="s">
        <v>4231</v>
      </c>
    </row>
    <row r="16" spans="2:20">
      <c r="J16" t="s">
        <v>4266</v>
      </c>
      <c r="K16" t="s">
        <v>3510</v>
      </c>
      <c r="L16" t="s">
        <v>3481</v>
      </c>
      <c r="M16" t="s">
        <v>4254</v>
      </c>
      <c r="S16" t="s">
        <v>3604</v>
      </c>
      <c r="T16" t="s">
        <v>4231</v>
      </c>
    </row>
    <row r="17" spans="10:20">
      <c r="J17" t="s">
        <v>4269</v>
      </c>
      <c r="K17" t="s">
        <v>3515</v>
      </c>
      <c r="L17" t="s">
        <v>3481</v>
      </c>
      <c r="M17" t="s">
        <v>4254</v>
      </c>
      <c r="S17" t="s">
        <v>3526</v>
      </c>
      <c r="T17" t="s">
        <v>4231</v>
      </c>
    </row>
    <row r="18" spans="10:20">
      <c r="J18" t="s">
        <v>4270</v>
      </c>
      <c r="K18" t="s">
        <v>3519</v>
      </c>
      <c r="L18" t="s">
        <v>3481</v>
      </c>
      <c r="M18" t="s">
        <v>4254</v>
      </c>
      <c r="S18" t="s">
        <v>3553</v>
      </c>
      <c r="T18" t="s">
        <v>4231</v>
      </c>
    </row>
    <row r="19" spans="10:20">
      <c r="J19" t="s">
        <v>4272</v>
      </c>
      <c r="K19" t="s">
        <v>4273</v>
      </c>
      <c r="L19" t="s">
        <v>3481</v>
      </c>
      <c r="M19" t="s">
        <v>4254</v>
      </c>
      <c r="S19" t="s">
        <v>3647</v>
      </c>
      <c r="T19" t="s">
        <v>4231</v>
      </c>
    </row>
    <row r="20" spans="10:20">
      <c r="J20" t="s">
        <v>4274</v>
      </c>
      <c r="K20" t="s">
        <v>3526</v>
      </c>
      <c r="L20" t="s">
        <v>3481</v>
      </c>
      <c r="M20" t="s">
        <v>4275</v>
      </c>
      <c r="S20" t="s">
        <v>3530</v>
      </c>
      <c r="T20" t="s">
        <v>4231</v>
      </c>
    </row>
    <row r="21" spans="10:20">
      <c r="J21" t="s">
        <v>4278</v>
      </c>
      <c r="K21" t="s">
        <v>4279</v>
      </c>
      <c r="L21" t="s">
        <v>3481</v>
      </c>
      <c r="M21" t="s">
        <v>4254</v>
      </c>
      <c r="S21" t="s">
        <v>3540</v>
      </c>
      <c r="T21" t="s">
        <v>4231</v>
      </c>
    </row>
    <row r="22" spans="10:20">
      <c r="J22" t="s">
        <v>4278</v>
      </c>
      <c r="K22" t="s">
        <v>4280</v>
      </c>
      <c r="L22" t="s">
        <v>3481</v>
      </c>
      <c r="M22" t="s">
        <v>4254</v>
      </c>
      <c r="S22" t="s">
        <v>3568</v>
      </c>
      <c r="T22" t="s">
        <v>4231</v>
      </c>
    </row>
    <row r="23" spans="10:20">
      <c r="J23" t="s">
        <v>4281</v>
      </c>
      <c r="K23" t="s">
        <v>4279</v>
      </c>
      <c r="L23" t="s">
        <v>3481</v>
      </c>
      <c r="M23" t="s">
        <v>4254</v>
      </c>
      <c r="S23" t="s">
        <v>3572</v>
      </c>
      <c r="T23" t="s">
        <v>4231</v>
      </c>
    </row>
    <row r="24" spans="10:20">
      <c r="J24" t="s">
        <v>4284</v>
      </c>
      <c r="K24" t="s">
        <v>3530</v>
      </c>
      <c r="L24" t="s">
        <v>3481</v>
      </c>
      <c r="M24" t="s">
        <v>4275</v>
      </c>
      <c r="S24" t="s">
        <v>3595</v>
      </c>
      <c r="T24" t="s">
        <v>4231</v>
      </c>
    </row>
    <row r="25" spans="10:20">
      <c r="J25" t="s">
        <v>4287</v>
      </c>
      <c r="K25" t="s">
        <v>4288</v>
      </c>
      <c r="L25" t="s">
        <v>3481</v>
      </c>
      <c r="S25" t="s">
        <v>3609</v>
      </c>
      <c r="T25" t="s">
        <v>4231</v>
      </c>
    </row>
    <row r="26" spans="10:20">
      <c r="J26" t="s">
        <v>4291</v>
      </c>
      <c r="K26" t="s">
        <v>4292</v>
      </c>
      <c r="L26" t="s">
        <v>3481</v>
      </c>
      <c r="M26" t="s">
        <v>4254</v>
      </c>
      <c r="S26" t="s">
        <v>3614</v>
      </c>
      <c r="T26" t="s">
        <v>4231</v>
      </c>
    </row>
    <row r="27" spans="10:20">
      <c r="J27" t="s">
        <v>4294</v>
      </c>
      <c r="K27" t="s">
        <v>3535</v>
      </c>
      <c r="L27" t="s">
        <v>3481</v>
      </c>
      <c r="M27" t="s">
        <v>4254</v>
      </c>
      <c r="S27" t="s">
        <v>3617</v>
      </c>
      <c r="T27" t="s">
        <v>4231</v>
      </c>
    </row>
    <row r="28" spans="10:20">
      <c r="J28" t="s">
        <v>4298</v>
      </c>
      <c r="K28" t="s">
        <v>3540</v>
      </c>
      <c r="L28" t="s">
        <v>3481</v>
      </c>
      <c r="M28" t="s">
        <v>4275</v>
      </c>
      <c r="S28" t="s">
        <v>3644</v>
      </c>
      <c r="T28" t="s">
        <v>4231</v>
      </c>
    </row>
    <row r="29" spans="10:20">
      <c r="J29" t="s">
        <v>4163</v>
      </c>
      <c r="K29" t="s">
        <v>3544</v>
      </c>
      <c r="L29" t="s">
        <v>3481</v>
      </c>
      <c r="M29" t="s">
        <v>4301</v>
      </c>
      <c r="S29" t="s">
        <v>3510</v>
      </c>
      <c r="T29" t="s">
        <v>4231</v>
      </c>
    </row>
    <row r="30" spans="10:20">
      <c r="J30" t="s">
        <v>4302</v>
      </c>
      <c r="K30" t="s">
        <v>3549</v>
      </c>
      <c r="L30" t="s">
        <v>3481</v>
      </c>
      <c r="M30" t="s">
        <v>4226</v>
      </c>
      <c r="S30" t="s">
        <v>3549</v>
      </c>
      <c r="T30" t="s">
        <v>4231</v>
      </c>
    </row>
    <row r="31" spans="10:20">
      <c r="J31" t="s">
        <v>4304</v>
      </c>
      <c r="K31" t="s">
        <v>3553</v>
      </c>
      <c r="L31" t="s">
        <v>3481</v>
      </c>
      <c r="M31" t="s">
        <v>4301</v>
      </c>
      <c r="S31" t="s">
        <v>4303</v>
      </c>
      <c r="T31" t="s">
        <v>3480</v>
      </c>
    </row>
    <row r="32" spans="10:20">
      <c r="J32" t="s">
        <v>4308</v>
      </c>
      <c r="K32" t="s">
        <v>3556</v>
      </c>
      <c r="L32" t="s">
        <v>3481</v>
      </c>
      <c r="M32" t="s">
        <v>4254</v>
      </c>
      <c r="S32" t="s">
        <v>4307</v>
      </c>
      <c r="T32" t="s">
        <v>3480</v>
      </c>
    </row>
    <row r="33" spans="10:20">
      <c r="J33" t="s">
        <v>4311</v>
      </c>
      <c r="K33" t="s">
        <v>3560</v>
      </c>
      <c r="L33" t="s">
        <v>3481</v>
      </c>
      <c r="M33" t="s">
        <v>4254</v>
      </c>
      <c r="S33" t="s">
        <v>4310</v>
      </c>
      <c r="T33" t="s">
        <v>3480</v>
      </c>
    </row>
    <row r="34" spans="10:20">
      <c r="J34" t="s">
        <v>4313</v>
      </c>
      <c r="K34" t="s">
        <v>3564</v>
      </c>
      <c r="L34" t="s">
        <v>3481</v>
      </c>
      <c r="M34" t="s">
        <v>4301</v>
      </c>
      <c r="S34" t="s">
        <v>4312</v>
      </c>
      <c r="T34" t="s">
        <v>3480</v>
      </c>
    </row>
    <row r="35" spans="10:20">
      <c r="J35" t="s">
        <v>4317</v>
      </c>
      <c r="K35" t="s">
        <v>3568</v>
      </c>
      <c r="L35" t="s">
        <v>3481</v>
      </c>
      <c r="M35" t="s">
        <v>4275</v>
      </c>
      <c r="S35" t="s">
        <v>4316</v>
      </c>
      <c r="T35" t="s">
        <v>3480</v>
      </c>
    </row>
    <row r="36" spans="10:20">
      <c r="J36" t="s">
        <v>4321</v>
      </c>
      <c r="K36" t="s">
        <v>3572</v>
      </c>
      <c r="L36" t="s">
        <v>3481</v>
      </c>
      <c r="M36" t="s">
        <v>4226</v>
      </c>
      <c r="S36" t="s">
        <v>4320</v>
      </c>
      <c r="T36" t="s">
        <v>3480</v>
      </c>
    </row>
    <row r="37" spans="10:20">
      <c r="J37" t="s">
        <v>4323</v>
      </c>
      <c r="K37" t="s">
        <v>4324</v>
      </c>
      <c r="L37" t="s">
        <v>3481</v>
      </c>
      <c r="S37" t="s">
        <v>4322</v>
      </c>
      <c r="T37" t="s">
        <v>3480</v>
      </c>
    </row>
    <row r="38" spans="10:20">
      <c r="J38" t="s">
        <v>4326</v>
      </c>
      <c r="K38" t="s">
        <v>4327</v>
      </c>
      <c r="L38" t="s">
        <v>3481</v>
      </c>
      <c r="M38" t="s">
        <v>4254</v>
      </c>
      <c r="S38" t="s">
        <v>4325</v>
      </c>
      <c r="T38" t="s">
        <v>3480</v>
      </c>
    </row>
    <row r="39" spans="10:20">
      <c r="J39" t="s">
        <v>4329</v>
      </c>
      <c r="K39" t="s">
        <v>3576</v>
      </c>
      <c r="L39" t="s">
        <v>3481</v>
      </c>
      <c r="M39" t="s">
        <v>4254</v>
      </c>
      <c r="S39" t="s">
        <v>4328</v>
      </c>
      <c r="T39" t="s">
        <v>3480</v>
      </c>
    </row>
    <row r="40" spans="10:20">
      <c r="J40" t="s">
        <v>4332</v>
      </c>
      <c r="K40" t="s">
        <v>4333</v>
      </c>
      <c r="L40" t="s">
        <v>3481</v>
      </c>
      <c r="M40" t="s">
        <v>4254</v>
      </c>
      <c r="S40" t="s">
        <v>4331</v>
      </c>
      <c r="T40" t="s">
        <v>3480</v>
      </c>
    </row>
    <row r="41" spans="10:20">
      <c r="J41" t="s">
        <v>4335</v>
      </c>
      <c r="K41" t="s">
        <v>3581</v>
      </c>
      <c r="L41" t="s">
        <v>3481</v>
      </c>
      <c r="M41" t="s">
        <v>4226</v>
      </c>
      <c r="S41" t="s">
        <v>4334</v>
      </c>
      <c r="T41" t="s">
        <v>3480</v>
      </c>
    </row>
    <row r="42" spans="10:20">
      <c r="J42" t="s">
        <v>4338</v>
      </c>
      <c r="K42" t="s">
        <v>3586</v>
      </c>
      <c r="L42" t="s">
        <v>3481</v>
      </c>
      <c r="M42" t="s">
        <v>4254</v>
      </c>
      <c r="S42" t="s">
        <v>4337</v>
      </c>
      <c r="T42" t="s">
        <v>3480</v>
      </c>
    </row>
    <row r="43" spans="10:20">
      <c r="J43" t="s">
        <v>4341</v>
      </c>
      <c r="K43" t="s">
        <v>3591</v>
      </c>
      <c r="L43" t="s">
        <v>3481</v>
      </c>
      <c r="M43" t="s">
        <v>4254</v>
      </c>
      <c r="S43" t="s">
        <v>4340</v>
      </c>
      <c r="T43" t="s">
        <v>3480</v>
      </c>
    </row>
    <row r="44" spans="10:20">
      <c r="J44" t="s">
        <v>4344</v>
      </c>
      <c r="K44" t="s">
        <v>3595</v>
      </c>
      <c r="L44" t="s">
        <v>3481</v>
      </c>
      <c r="M44" t="s">
        <v>4226</v>
      </c>
      <c r="S44" t="s">
        <v>4343</v>
      </c>
      <c r="T44" t="s">
        <v>3480</v>
      </c>
    </row>
    <row r="45" spans="10:20">
      <c r="J45" t="s">
        <v>4347</v>
      </c>
      <c r="K45" t="s">
        <v>3599</v>
      </c>
      <c r="L45" t="s">
        <v>3481</v>
      </c>
      <c r="M45" t="s">
        <v>4254</v>
      </c>
      <c r="S45" t="s">
        <v>4346</v>
      </c>
      <c r="T45" t="s">
        <v>3480</v>
      </c>
    </row>
    <row r="46" spans="10:20">
      <c r="J46" t="s">
        <v>4350</v>
      </c>
      <c r="K46" t="s">
        <v>4351</v>
      </c>
      <c r="L46" t="s">
        <v>3481</v>
      </c>
      <c r="M46" t="s">
        <v>4254</v>
      </c>
      <c r="S46" t="s">
        <v>4349</v>
      </c>
      <c r="T46" t="s">
        <v>3480</v>
      </c>
    </row>
    <row r="47" spans="10:20">
      <c r="J47" t="s">
        <v>4354</v>
      </c>
      <c r="K47" t="s">
        <v>3651</v>
      </c>
      <c r="L47" t="s">
        <v>3481</v>
      </c>
      <c r="M47" t="s">
        <v>4254</v>
      </c>
      <c r="S47" t="s">
        <v>4353</v>
      </c>
      <c r="T47" t="s">
        <v>3480</v>
      </c>
    </row>
    <row r="48" spans="10:20">
      <c r="J48" t="s">
        <v>4357</v>
      </c>
      <c r="K48" t="s">
        <v>4358</v>
      </c>
      <c r="L48" t="s">
        <v>3481</v>
      </c>
      <c r="S48" t="s">
        <v>4356</v>
      </c>
      <c r="T48" t="s">
        <v>3480</v>
      </c>
    </row>
    <row r="49" spans="10:20">
      <c r="J49" t="s">
        <v>4361</v>
      </c>
      <c r="K49" t="s">
        <v>3604</v>
      </c>
      <c r="L49" t="s">
        <v>3481</v>
      </c>
      <c r="M49" t="s">
        <v>4226</v>
      </c>
      <c r="S49" t="s">
        <v>4360</v>
      </c>
      <c r="T49" t="s">
        <v>3480</v>
      </c>
    </row>
    <row r="50" spans="10:20">
      <c r="J50" t="s">
        <v>4364</v>
      </c>
      <c r="K50" t="s">
        <v>3609</v>
      </c>
      <c r="L50" t="s">
        <v>3481</v>
      </c>
      <c r="M50" t="s">
        <v>4301</v>
      </c>
      <c r="S50" t="s">
        <v>4363</v>
      </c>
      <c r="T50" t="s">
        <v>3480</v>
      </c>
    </row>
    <row r="51" spans="10:20">
      <c r="J51" t="s">
        <v>4367</v>
      </c>
      <c r="K51" t="s">
        <v>3614</v>
      </c>
      <c r="L51" t="s">
        <v>3481</v>
      </c>
      <c r="M51" t="s">
        <v>4275</v>
      </c>
      <c r="S51" t="s">
        <v>4366</v>
      </c>
      <c r="T51" t="s">
        <v>3480</v>
      </c>
    </row>
    <row r="52" spans="10:20">
      <c r="J52" t="s">
        <v>4370</v>
      </c>
      <c r="K52" t="s">
        <v>3617</v>
      </c>
      <c r="L52" t="s">
        <v>3481</v>
      </c>
      <c r="M52" t="s">
        <v>4301</v>
      </c>
      <c r="S52" t="s">
        <v>4369</v>
      </c>
      <c r="T52" t="s">
        <v>3480</v>
      </c>
    </row>
    <row r="53" spans="10:20">
      <c r="J53" t="s">
        <v>4372</v>
      </c>
      <c r="K53" t="s">
        <v>4373</v>
      </c>
      <c r="L53" t="s">
        <v>3481</v>
      </c>
      <c r="S53" t="s">
        <v>4371</v>
      </c>
      <c r="T53" t="s">
        <v>3480</v>
      </c>
    </row>
    <row r="54" spans="10:20">
      <c r="J54" t="s">
        <v>4376</v>
      </c>
      <c r="K54" t="s">
        <v>3620</v>
      </c>
      <c r="L54" t="s">
        <v>3481</v>
      </c>
      <c r="M54" t="s">
        <v>4254</v>
      </c>
      <c r="S54" t="s">
        <v>4375</v>
      </c>
      <c r="T54" t="s">
        <v>3480</v>
      </c>
    </row>
    <row r="55" spans="10:20">
      <c r="J55" t="s">
        <v>4380</v>
      </c>
      <c r="K55" t="s">
        <v>3623</v>
      </c>
      <c r="L55" t="s">
        <v>3481</v>
      </c>
      <c r="M55" t="s">
        <v>4254</v>
      </c>
      <c r="S55" t="s">
        <v>4379</v>
      </c>
      <c r="T55" t="s">
        <v>3480</v>
      </c>
    </row>
    <row r="56" spans="10:20">
      <c r="J56" t="s">
        <v>4382</v>
      </c>
      <c r="K56" t="s">
        <v>4383</v>
      </c>
      <c r="L56" t="s">
        <v>3481</v>
      </c>
      <c r="S56" t="s">
        <v>4381</v>
      </c>
      <c r="T56" t="s">
        <v>3480</v>
      </c>
    </row>
    <row r="57" spans="10:20">
      <c r="J57" t="s">
        <v>4385</v>
      </c>
      <c r="K57" t="s">
        <v>3626</v>
      </c>
      <c r="L57" t="s">
        <v>3481</v>
      </c>
      <c r="M57" t="s">
        <v>4254</v>
      </c>
      <c r="S57" t="s">
        <v>4384</v>
      </c>
      <c r="T57" t="s">
        <v>3480</v>
      </c>
    </row>
    <row r="58" spans="10:20">
      <c r="J58" t="s">
        <v>4388</v>
      </c>
      <c r="K58" t="s">
        <v>3629</v>
      </c>
      <c r="L58" t="s">
        <v>3481</v>
      </c>
      <c r="M58" t="s">
        <v>4254</v>
      </c>
      <c r="S58" t="s">
        <v>4387</v>
      </c>
      <c r="T58" t="s">
        <v>3480</v>
      </c>
    </row>
    <row r="59" spans="10:20">
      <c r="J59" t="s">
        <v>4382</v>
      </c>
      <c r="K59" t="s">
        <v>4391</v>
      </c>
      <c r="L59" t="s">
        <v>3481</v>
      </c>
      <c r="S59" t="s">
        <v>4390</v>
      </c>
      <c r="T59" t="s">
        <v>3480</v>
      </c>
    </row>
    <row r="60" spans="10:20">
      <c r="J60" t="s">
        <v>4394</v>
      </c>
      <c r="K60" t="s">
        <v>4395</v>
      </c>
      <c r="L60" t="s">
        <v>3481</v>
      </c>
      <c r="M60" t="s">
        <v>4254</v>
      </c>
      <c r="S60" t="s">
        <v>4393</v>
      </c>
      <c r="T60" t="s">
        <v>3480</v>
      </c>
    </row>
    <row r="61" spans="10:20">
      <c r="J61" t="s">
        <v>4398</v>
      </c>
      <c r="K61" t="s">
        <v>3633</v>
      </c>
      <c r="L61" t="s">
        <v>3481</v>
      </c>
      <c r="M61" t="s">
        <v>4254</v>
      </c>
      <c r="S61" t="s">
        <v>4397</v>
      </c>
      <c r="T61" t="s">
        <v>3480</v>
      </c>
    </row>
    <row r="62" spans="10:20">
      <c r="J62" t="s">
        <v>4400</v>
      </c>
      <c r="K62" t="s">
        <v>3637</v>
      </c>
      <c r="L62" t="s">
        <v>3481</v>
      </c>
      <c r="M62" t="s">
        <v>4254</v>
      </c>
      <c r="S62" t="s">
        <v>4399</v>
      </c>
      <c r="T62" t="s">
        <v>3480</v>
      </c>
    </row>
    <row r="63" spans="10:20">
      <c r="J63" t="s">
        <v>4403</v>
      </c>
      <c r="K63" t="s">
        <v>3641</v>
      </c>
      <c r="L63" t="s">
        <v>3481</v>
      </c>
      <c r="M63" t="s">
        <v>4254</v>
      </c>
      <c r="S63" t="s">
        <v>4402</v>
      </c>
      <c r="T63" t="s">
        <v>3480</v>
      </c>
    </row>
    <row r="64" spans="10:20">
      <c r="J64" t="s">
        <v>4406</v>
      </c>
      <c r="K64" t="s">
        <v>3644</v>
      </c>
      <c r="L64" t="s">
        <v>3481</v>
      </c>
      <c r="M64" t="s">
        <v>4262</v>
      </c>
      <c r="S64" t="s">
        <v>4405</v>
      </c>
      <c r="T64" t="s">
        <v>3480</v>
      </c>
    </row>
    <row r="65" spans="10:20">
      <c r="J65" t="s">
        <v>4409</v>
      </c>
      <c r="K65" t="s">
        <v>3647</v>
      </c>
      <c r="L65" t="s">
        <v>3481</v>
      </c>
      <c r="M65" t="s">
        <v>4301</v>
      </c>
      <c r="S65" t="s">
        <v>4408</v>
      </c>
      <c r="T65" t="s">
        <v>3480</v>
      </c>
    </row>
    <row r="66" spans="10:20">
      <c r="J66" t="s">
        <v>4291</v>
      </c>
      <c r="K66" t="s">
        <v>4412</v>
      </c>
      <c r="L66" t="s">
        <v>3481</v>
      </c>
      <c r="M66" t="s">
        <v>4254</v>
      </c>
      <c r="S66" t="s">
        <v>4411</v>
      </c>
      <c r="T66" t="s">
        <v>3480</v>
      </c>
    </row>
    <row r="67" spans="10:20">
      <c r="J67" t="s">
        <v>4075</v>
      </c>
      <c r="K67" t="s">
        <v>4416</v>
      </c>
      <c r="L67" t="s">
        <v>4201</v>
      </c>
      <c r="M67" t="s">
        <v>4202</v>
      </c>
      <c r="S67" t="s">
        <v>4415</v>
      </c>
      <c r="T67" t="s">
        <v>3480</v>
      </c>
    </row>
    <row r="68" spans="10:20">
      <c r="K68" t="s">
        <v>4303</v>
      </c>
      <c r="L68" t="s">
        <v>3480</v>
      </c>
      <c r="S68" t="s">
        <v>4417</v>
      </c>
      <c r="T68" t="s">
        <v>3480</v>
      </c>
    </row>
    <row r="69" spans="10:20">
      <c r="K69" t="s">
        <v>4307</v>
      </c>
      <c r="L69" t="s">
        <v>3480</v>
      </c>
      <c r="S69" t="s">
        <v>4419</v>
      </c>
      <c r="T69" t="s">
        <v>3480</v>
      </c>
    </row>
    <row r="70" spans="10:20">
      <c r="K70" t="s">
        <v>4310</v>
      </c>
      <c r="L70" t="s">
        <v>3480</v>
      </c>
      <c r="S70" t="s">
        <v>4420</v>
      </c>
      <c r="T70" t="s">
        <v>3480</v>
      </c>
    </row>
    <row r="71" spans="10:20">
      <c r="K71" t="s">
        <v>4312</v>
      </c>
      <c r="L71" t="s">
        <v>3480</v>
      </c>
      <c r="S71" t="s">
        <v>4421</v>
      </c>
      <c r="T71" t="s">
        <v>3480</v>
      </c>
    </row>
    <row r="72" spans="10:20">
      <c r="K72" t="s">
        <v>4316</v>
      </c>
      <c r="L72" t="s">
        <v>3480</v>
      </c>
      <c r="S72" t="s">
        <v>3519</v>
      </c>
      <c r="T72" t="s">
        <v>4231</v>
      </c>
    </row>
    <row r="73" spans="10:20">
      <c r="K73" t="s">
        <v>4320</v>
      </c>
      <c r="L73" t="s">
        <v>3480</v>
      </c>
      <c r="S73" t="s">
        <v>4422</v>
      </c>
      <c r="T73" t="s">
        <v>3478</v>
      </c>
    </row>
    <row r="74" spans="10:20">
      <c r="K74" t="s">
        <v>4322</v>
      </c>
      <c r="L74" t="s">
        <v>3480</v>
      </c>
      <c r="S74" t="s">
        <v>4423</v>
      </c>
      <c r="T74" t="s">
        <v>3478</v>
      </c>
    </row>
    <row r="75" spans="10:20">
      <c r="K75" t="s">
        <v>4325</v>
      </c>
      <c r="L75" t="s">
        <v>3480</v>
      </c>
      <c r="S75" t="s">
        <v>4424</v>
      </c>
      <c r="T75" t="s">
        <v>3478</v>
      </c>
    </row>
    <row r="76" spans="10:20">
      <c r="K76" t="s">
        <v>4328</v>
      </c>
      <c r="L76" t="s">
        <v>3480</v>
      </c>
      <c r="S76" t="s">
        <v>4425</v>
      </c>
      <c r="T76" t="s">
        <v>3478</v>
      </c>
    </row>
    <row r="77" spans="10:20">
      <c r="K77" t="s">
        <v>4331</v>
      </c>
      <c r="L77" t="s">
        <v>3480</v>
      </c>
      <c r="S77" t="s">
        <v>4426</v>
      </c>
      <c r="T77" t="s">
        <v>3478</v>
      </c>
    </row>
    <row r="78" spans="10:20">
      <c r="K78" t="s">
        <v>4334</v>
      </c>
      <c r="L78" t="s">
        <v>3480</v>
      </c>
      <c r="S78" t="s">
        <v>4428</v>
      </c>
      <c r="T78" t="s">
        <v>3478</v>
      </c>
    </row>
    <row r="79" spans="10:20">
      <c r="K79" t="s">
        <v>4337</v>
      </c>
      <c r="L79" t="s">
        <v>3480</v>
      </c>
      <c r="S79" t="s">
        <v>4427</v>
      </c>
      <c r="T79" t="s">
        <v>3478</v>
      </c>
    </row>
    <row r="80" spans="10:20">
      <c r="K80" t="s">
        <v>4340</v>
      </c>
      <c r="L80" t="s">
        <v>3480</v>
      </c>
      <c r="S80" t="s">
        <v>3642</v>
      </c>
      <c r="T80" t="s">
        <v>3478</v>
      </c>
    </row>
    <row r="81" spans="11:20">
      <c r="K81" t="s">
        <v>4343</v>
      </c>
      <c r="L81" t="s">
        <v>3480</v>
      </c>
      <c r="S81" t="s">
        <v>3501</v>
      </c>
      <c r="T81" t="s">
        <v>4429</v>
      </c>
    </row>
    <row r="82" spans="11:20">
      <c r="K82" t="s">
        <v>4346</v>
      </c>
      <c r="L82" t="s">
        <v>3480</v>
      </c>
      <c r="S82" t="s">
        <v>3512</v>
      </c>
      <c r="T82" t="s">
        <v>4429</v>
      </c>
    </row>
    <row r="83" spans="11:20">
      <c r="K83" t="s">
        <v>4349</v>
      </c>
      <c r="L83" t="s">
        <v>3480</v>
      </c>
      <c r="S83" t="s">
        <v>3507</v>
      </c>
      <c r="T83" t="s">
        <v>4429</v>
      </c>
    </row>
    <row r="84" spans="11:20">
      <c r="K84" t="s">
        <v>4353</v>
      </c>
      <c r="L84" t="s">
        <v>3480</v>
      </c>
      <c r="S84" t="s">
        <v>3520</v>
      </c>
      <c r="T84" t="s">
        <v>4429</v>
      </c>
    </row>
    <row r="85" spans="11:20">
      <c r="K85" t="s">
        <v>4356</v>
      </c>
      <c r="L85" t="s">
        <v>3480</v>
      </c>
      <c r="S85" t="s">
        <v>3532</v>
      </c>
      <c r="T85" t="s">
        <v>4429</v>
      </c>
    </row>
    <row r="86" spans="11:20">
      <c r="K86" t="s">
        <v>4360</v>
      </c>
      <c r="L86" t="s">
        <v>3480</v>
      </c>
      <c r="S86" t="s">
        <v>3537</v>
      </c>
      <c r="T86" t="s">
        <v>4429</v>
      </c>
    </row>
    <row r="87" spans="11:20">
      <c r="K87" t="s">
        <v>4363</v>
      </c>
      <c r="L87" t="s">
        <v>3480</v>
      </c>
      <c r="S87" t="s">
        <v>3550</v>
      </c>
      <c r="T87" t="s">
        <v>4429</v>
      </c>
    </row>
    <row r="88" spans="11:20">
      <c r="K88" t="s">
        <v>4366</v>
      </c>
      <c r="L88" t="s">
        <v>3480</v>
      </c>
      <c r="S88" t="s">
        <v>3162</v>
      </c>
      <c r="T88" t="s">
        <v>4430</v>
      </c>
    </row>
    <row r="89" spans="11:20">
      <c r="K89" t="s">
        <v>4369</v>
      </c>
      <c r="L89" t="s">
        <v>3480</v>
      </c>
      <c r="S89" t="s">
        <v>2196</v>
      </c>
      <c r="T89" t="s">
        <v>4430</v>
      </c>
    </row>
    <row r="90" spans="11:20">
      <c r="K90" t="s">
        <v>4371</v>
      </c>
      <c r="L90" t="s">
        <v>3480</v>
      </c>
      <c r="S90" t="s">
        <v>3554</v>
      </c>
      <c r="T90" t="s">
        <v>4431</v>
      </c>
    </row>
    <row r="91" spans="11:20">
      <c r="K91" t="s">
        <v>4375</v>
      </c>
      <c r="L91" t="s">
        <v>3480</v>
      </c>
      <c r="S91" t="s">
        <v>3516</v>
      </c>
      <c r="T91" t="s">
        <v>4431</v>
      </c>
    </row>
    <row r="92" spans="11:20">
      <c r="K92" t="s">
        <v>4379</v>
      </c>
      <c r="L92" t="s">
        <v>3480</v>
      </c>
      <c r="S92" t="s">
        <v>3557</v>
      </c>
      <c r="T92" t="s">
        <v>4431</v>
      </c>
    </row>
    <row r="93" spans="11:20">
      <c r="K93" t="s">
        <v>4381</v>
      </c>
      <c r="L93" t="s">
        <v>3480</v>
      </c>
      <c r="S93" t="s">
        <v>3561</v>
      </c>
      <c r="T93" t="s">
        <v>4431</v>
      </c>
    </row>
    <row r="94" spans="11:20">
      <c r="K94" t="s">
        <v>4384</v>
      </c>
      <c r="L94" t="s">
        <v>3480</v>
      </c>
      <c r="S94" t="s">
        <v>3624</v>
      </c>
      <c r="T94" t="s">
        <v>4431</v>
      </c>
    </row>
    <row r="95" spans="11:20">
      <c r="K95" t="s">
        <v>4387</v>
      </c>
      <c r="L95" t="s">
        <v>3480</v>
      </c>
      <c r="S95" t="s">
        <v>3583</v>
      </c>
      <c r="T95" t="s">
        <v>4431</v>
      </c>
    </row>
    <row r="96" spans="11:20">
      <c r="K96" t="s">
        <v>4390</v>
      </c>
      <c r="L96" t="s">
        <v>3480</v>
      </c>
      <c r="S96" t="s">
        <v>3578</v>
      </c>
      <c r="T96" t="s">
        <v>4431</v>
      </c>
    </row>
    <row r="97" spans="11:20">
      <c r="K97" t="s">
        <v>4393</v>
      </c>
      <c r="L97" t="s">
        <v>3480</v>
      </c>
      <c r="S97" t="s">
        <v>3565</v>
      </c>
      <c r="T97" t="s">
        <v>4431</v>
      </c>
    </row>
    <row r="98" spans="11:20">
      <c r="K98" t="s">
        <v>4397</v>
      </c>
      <c r="L98" t="s">
        <v>3480</v>
      </c>
      <c r="S98" t="s">
        <v>3596</v>
      </c>
      <c r="T98" t="s">
        <v>4431</v>
      </c>
    </row>
    <row r="99" spans="11:20">
      <c r="K99" t="s">
        <v>4399</v>
      </c>
      <c r="L99" t="s">
        <v>3480</v>
      </c>
      <c r="S99" t="s">
        <v>3573</v>
      </c>
      <c r="T99" t="s">
        <v>4431</v>
      </c>
    </row>
    <row r="100" spans="11:20">
      <c r="K100" t="s">
        <v>4402</v>
      </c>
      <c r="L100" t="s">
        <v>3480</v>
      </c>
      <c r="S100" t="s">
        <v>3569</v>
      </c>
      <c r="T100" t="s">
        <v>4431</v>
      </c>
    </row>
    <row r="101" spans="11:20">
      <c r="K101" t="s">
        <v>4405</v>
      </c>
      <c r="L101" t="s">
        <v>3480</v>
      </c>
      <c r="S101" t="s">
        <v>3588</v>
      </c>
      <c r="T101" t="s">
        <v>4431</v>
      </c>
    </row>
    <row r="102" spans="11:20">
      <c r="K102" t="s">
        <v>4408</v>
      </c>
      <c r="L102" t="s">
        <v>3480</v>
      </c>
      <c r="S102" t="s">
        <v>3601</v>
      </c>
      <c r="T102" t="s">
        <v>4431</v>
      </c>
    </row>
    <row r="103" spans="11:20">
      <c r="K103" t="s">
        <v>4411</v>
      </c>
      <c r="L103" t="s">
        <v>3480</v>
      </c>
      <c r="S103" t="s">
        <v>3606</v>
      </c>
      <c r="T103" t="s">
        <v>4431</v>
      </c>
    </row>
    <row r="104" spans="11:20">
      <c r="K104" t="s">
        <v>4415</v>
      </c>
      <c r="L104" t="s">
        <v>3480</v>
      </c>
      <c r="S104" t="s">
        <v>3621</v>
      </c>
      <c r="T104" t="s">
        <v>4432</v>
      </c>
    </row>
    <row r="105" spans="11:20">
      <c r="K105" t="s">
        <v>4417</v>
      </c>
      <c r="L105" t="s">
        <v>3480</v>
      </c>
      <c r="S105" t="s">
        <v>3618</v>
      </c>
      <c r="T105" t="s">
        <v>4432</v>
      </c>
    </row>
    <row r="106" spans="11:20">
      <c r="K106" t="s">
        <v>4419</v>
      </c>
      <c r="L106" t="s">
        <v>3480</v>
      </c>
      <c r="S106" t="s">
        <v>3631</v>
      </c>
      <c r="T106" t="s">
        <v>4432</v>
      </c>
    </row>
    <row r="107" spans="11:20">
      <c r="K107" t="s">
        <v>4420</v>
      </c>
      <c r="L107" t="s">
        <v>3480</v>
      </c>
      <c r="S107" t="s">
        <v>3627</v>
      </c>
      <c r="T107" t="s">
        <v>4432</v>
      </c>
    </row>
    <row r="108" spans="11:20">
      <c r="K108" t="s">
        <v>4421</v>
      </c>
      <c r="L108" t="s">
        <v>3480</v>
      </c>
      <c r="S108" t="s">
        <v>3649</v>
      </c>
      <c r="T108" t="s">
        <v>4432</v>
      </c>
    </row>
    <row r="109" spans="11:20">
      <c r="K109" t="s">
        <v>3519</v>
      </c>
      <c r="L109" t="s">
        <v>4231</v>
      </c>
      <c r="S109" t="s">
        <v>3645</v>
      </c>
      <c r="T109" t="s">
        <v>4432</v>
      </c>
    </row>
    <row r="110" spans="11:20">
      <c r="K110" t="s">
        <v>4422</v>
      </c>
      <c r="L110" t="s">
        <v>3478</v>
      </c>
      <c r="S110" t="s">
        <v>3615</v>
      </c>
      <c r="T110" t="s">
        <v>4432</v>
      </c>
    </row>
    <row r="111" spans="11:20">
      <c r="K111" t="s">
        <v>4423</v>
      </c>
      <c r="L111" t="s">
        <v>3478</v>
      </c>
      <c r="S111" t="s">
        <v>3487</v>
      </c>
      <c r="T111" t="s">
        <v>3480</v>
      </c>
    </row>
    <row r="112" spans="11:20">
      <c r="K112" t="s">
        <v>4424</v>
      </c>
      <c r="L112" t="s">
        <v>3478</v>
      </c>
      <c r="S112" t="s">
        <v>3494</v>
      </c>
      <c r="T112" t="s">
        <v>3480</v>
      </c>
    </row>
    <row r="113" spans="11:20">
      <c r="K113" t="s">
        <v>4425</v>
      </c>
      <c r="L113" t="s">
        <v>3478</v>
      </c>
      <c r="S113" t="s">
        <v>3503</v>
      </c>
      <c r="T113" t="s">
        <v>3480</v>
      </c>
    </row>
    <row r="114" spans="11:20">
      <c r="K114" t="s">
        <v>4426</v>
      </c>
      <c r="L114" t="s">
        <v>3478</v>
      </c>
      <c r="S114" t="s">
        <v>3518</v>
      </c>
      <c r="T114" t="s">
        <v>3480</v>
      </c>
    </row>
    <row r="115" spans="11:20">
      <c r="K115" t="s">
        <v>4428</v>
      </c>
      <c r="L115" t="s">
        <v>3478</v>
      </c>
      <c r="S115" t="s">
        <v>3525</v>
      </c>
      <c r="T115" t="s">
        <v>3480</v>
      </c>
    </row>
    <row r="116" spans="11:20">
      <c r="K116" t="s">
        <v>4427</v>
      </c>
      <c r="L116" t="s">
        <v>3478</v>
      </c>
      <c r="S116" t="s">
        <v>3529</v>
      </c>
      <c r="T116" t="s">
        <v>3480</v>
      </c>
    </row>
    <row r="117" spans="11:20">
      <c r="K117" t="s">
        <v>3501</v>
      </c>
      <c r="L117" t="s">
        <v>3478</v>
      </c>
      <c r="S117" t="s">
        <v>3539</v>
      </c>
      <c r="T117" t="s">
        <v>3480</v>
      </c>
    </row>
    <row r="118" spans="11:20">
      <c r="K118" t="s">
        <v>3512</v>
      </c>
      <c r="L118" t="s">
        <v>3478</v>
      </c>
      <c r="S118" t="s">
        <v>3543</v>
      </c>
      <c r="T118" t="s">
        <v>3480</v>
      </c>
    </row>
    <row r="119" spans="11:20">
      <c r="K119" t="s">
        <v>3507</v>
      </c>
      <c r="L119" t="s">
        <v>3478</v>
      </c>
      <c r="S119" t="s">
        <v>3548</v>
      </c>
      <c r="T119" t="s">
        <v>3480</v>
      </c>
    </row>
    <row r="120" spans="11:20">
      <c r="K120" t="s">
        <v>3520</v>
      </c>
      <c r="L120" t="s">
        <v>3478</v>
      </c>
      <c r="S120" t="s">
        <v>3678</v>
      </c>
      <c r="T120" t="s">
        <v>3480</v>
      </c>
    </row>
    <row r="121" spans="11:20">
      <c r="K121" t="s">
        <v>3532</v>
      </c>
      <c r="L121" t="s">
        <v>3478</v>
      </c>
      <c r="S121" t="s">
        <v>4433</v>
      </c>
      <c r="T121" t="s">
        <v>3480</v>
      </c>
    </row>
    <row r="122" spans="11:20">
      <c r="K122" t="s">
        <v>3537</v>
      </c>
      <c r="L122" t="s">
        <v>3478</v>
      </c>
      <c r="S122" t="s">
        <v>3559</v>
      </c>
      <c r="T122" t="s">
        <v>3480</v>
      </c>
    </row>
    <row r="123" spans="11:20">
      <c r="K123" t="s">
        <v>3550</v>
      </c>
      <c r="L123" t="s">
        <v>3478</v>
      </c>
      <c r="S123" t="s">
        <v>3567</v>
      </c>
      <c r="T123" t="s">
        <v>3480</v>
      </c>
    </row>
    <row r="124" spans="11:20">
      <c r="K124" t="s">
        <v>3162</v>
      </c>
      <c r="L124" t="s">
        <v>3478</v>
      </c>
      <c r="S124" t="s">
        <v>3575</v>
      </c>
      <c r="T124" t="s">
        <v>3480</v>
      </c>
    </row>
    <row r="125" spans="11:20">
      <c r="K125" t="s">
        <v>2196</v>
      </c>
      <c r="L125" t="s">
        <v>3478</v>
      </c>
      <c r="S125" t="s">
        <v>4434</v>
      </c>
      <c r="T125" t="s">
        <v>3480</v>
      </c>
    </row>
    <row r="126" spans="11:20">
      <c r="K126" t="s">
        <v>3554</v>
      </c>
      <c r="L126" t="s">
        <v>3478</v>
      </c>
      <c r="S126" t="s">
        <v>3622</v>
      </c>
      <c r="T126" t="s">
        <v>3480</v>
      </c>
    </row>
    <row r="127" spans="11:20">
      <c r="K127" t="s">
        <v>3516</v>
      </c>
      <c r="L127" t="s">
        <v>3478</v>
      </c>
      <c r="S127" t="s">
        <v>3643</v>
      </c>
      <c r="T127" t="s">
        <v>3480</v>
      </c>
    </row>
    <row r="128" spans="11:20">
      <c r="K128" t="s">
        <v>3557</v>
      </c>
      <c r="L128" t="s">
        <v>3478</v>
      </c>
      <c r="S128" t="s">
        <v>3646</v>
      </c>
      <c r="T128" t="s">
        <v>3480</v>
      </c>
    </row>
    <row r="129" spans="11:20">
      <c r="K129" t="s">
        <v>3561</v>
      </c>
      <c r="L129" t="s">
        <v>3478</v>
      </c>
      <c r="S129" t="s">
        <v>3665</v>
      </c>
      <c r="T129" t="s">
        <v>3480</v>
      </c>
    </row>
    <row r="130" spans="11:20">
      <c r="K130" t="s">
        <v>3624</v>
      </c>
      <c r="L130" t="s">
        <v>3478</v>
      </c>
      <c r="S130" t="s">
        <v>3667</v>
      </c>
      <c r="T130" t="s">
        <v>3480</v>
      </c>
    </row>
    <row r="131" spans="11:20">
      <c r="K131" t="s">
        <v>3583</v>
      </c>
      <c r="L131" t="s">
        <v>3478</v>
      </c>
      <c r="S131" t="s">
        <v>3674</v>
      </c>
      <c r="T131" t="s">
        <v>3480</v>
      </c>
    </row>
    <row r="132" spans="11:20">
      <c r="K132" t="s">
        <v>3578</v>
      </c>
      <c r="L132" t="s">
        <v>3478</v>
      </c>
      <c r="S132" t="s">
        <v>3675</v>
      </c>
      <c r="T132" t="s">
        <v>3480</v>
      </c>
    </row>
    <row r="133" spans="11:20">
      <c r="K133" t="s">
        <v>3565</v>
      </c>
      <c r="L133" t="s">
        <v>3478</v>
      </c>
      <c r="S133" t="s">
        <v>3685</v>
      </c>
      <c r="T133" t="s">
        <v>3480</v>
      </c>
    </row>
    <row r="134" spans="11:20">
      <c r="K134" t="s">
        <v>3596</v>
      </c>
      <c r="L134" t="s">
        <v>3478</v>
      </c>
      <c r="S134" t="s">
        <v>3686</v>
      </c>
      <c r="T134" t="s">
        <v>3480</v>
      </c>
    </row>
    <row r="135" spans="11:20">
      <c r="K135" t="s">
        <v>3573</v>
      </c>
      <c r="L135" t="s">
        <v>3478</v>
      </c>
      <c r="S135" t="s">
        <v>3488</v>
      </c>
      <c r="T135" t="s">
        <v>4231</v>
      </c>
    </row>
    <row r="136" spans="11:20">
      <c r="K136" t="s">
        <v>3569</v>
      </c>
      <c r="L136" t="s">
        <v>3478</v>
      </c>
      <c r="S136" t="s">
        <v>3504</v>
      </c>
      <c r="T136" t="s">
        <v>4231</v>
      </c>
    </row>
    <row r="137" spans="11:20">
      <c r="K137" t="s">
        <v>3588</v>
      </c>
      <c r="L137" t="s">
        <v>3478</v>
      </c>
      <c r="S137" t="s">
        <v>3515</v>
      </c>
      <c r="T137" t="s">
        <v>4231</v>
      </c>
    </row>
    <row r="138" spans="11:20">
      <c r="K138" t="s">
        <v>3601</v>
      </c>
      <c r="L138" t="s">
        <v>3478</v>
      </c>
      <c r="S138" t="s">
        <v>3519</v>
      </c>
      <c r="T138" t="s">
        <v>4231</v>
      </c>
    </row>
    <row r="139" spans="11:20">
      <c r="K139" t="s">
        <v>3606</v>
      </c>
      <c r="L139" t="s">
        <v>3478</v>
      </c>
      <c r="S139" t="s">
        <v>3535</v>
      </c>
      <c r="T139" t="s">
        <v>4231</v>
      </c>
    </row>
    <row r="140" spans="11:20">
      <c r="K140" t="s">
        <v>3621</v>
      </c>
      <c r="L140" t="s">
        <v>3478</v>
      </c>
      <c r="S140" t="s">
        <v>3556</v>
      </c>
      <c r="T140" t="s">
        <v>4231</v>
      </c>
    </row>
    <row r="141" spans="11:20">
      <c r="K141" t="s">
        <v>3618</v>
      </c>
      <c r="L141" t="s">
        <v>3478</v>
      </c>
      <c r="S141" t="s">
        <v>3576</v>
      </c>
      <c r="T141" t="s">
        <v>4231</v>
      </c>
    </row>
    <row r="142" spans="11:20">
      <c r="K142" t="s">
        <v>3631</v>
      </c>
      <c r="L142" t="s">
        <v>3478</v>
      </c>
      <c r="S142" t="s">
        <v>3586</v>
      </c>
      <c r="T142" t="s">
        <v>4231</v>
      </c>
    </row>
    <row r="143" spans="11:20">
      <c r="K143" t="s">
        <v>3627</v>
      </c>
      <c r="L143" t="s">
        <v>3478</v>
      </c>
      <c r="S143" t="s">
        <v>3620</v>
      </c>
      <c r="T143" t="s">
        <v>4231</v>
      </c>
    </row>
    <row r="144" spans="11:20">
      <c r="K144" t="s">
        <v>3649</v>
      </c>
      <c r="L144" t="s">
        <v>3478</v>
      </c>
      <c r="S144" t="s">
        <v>3623</v>
      </c>
      <c r="T144" t="s">
        <v>4231</v>
      </c>
    </row>
    <row r="145" spans="11:20">
      <c r="K145" t="s">
        <v>3645</v>
      </c>
      <c r="L145" t="s">
        <v>3478</v>
      </c>
      <c r="S145" t="s">
        <v>3626</v>
      </c>
      <c r="T145" t="s">
        <v>4231</v>
      </c>
    </row>
    <row r="146" spans="11:20">
      <c r="K146" t="s">
        <v>3615</v>
      </c>
      <c r="L146" t="s">
        <v>3478</v>
      </c>
      <c r="S146" t="s">
        <v>3629</v>
      </c>
      <c r="T146" t="s">
        <v>4231</v>
      </c>
    </row>
    <row r="147" spans="11:20">
      <c r="K147" t="s">
        <v>3487</v>
      </c>
      <c r="L147" t="s">
        <v>3480</v>
      </c>
      <c r="S147" t="s">
        <v>3633</v>
      </c>
      <c r="T147" t="s">
        <v>4231</v>
      </c>
    </row>
    <row r="148" spans="11:20">
      <c r="K148" t="s">
        <v>3494</v>
      </c>
      <c r="L148" t="s">
        <v>3480</v>
      </c>
      <c r="S148" t="s">
        <v>3637</v>
      </c>
      <c r="T148" t="s">
        <v>4231</v>
      </c>
    </row>
    <row r="149" spans="11:20">
      <c r="K149" t="s">
        <v>3503</v>
      </c>
      <c r="L149" t="s">
        <v>3480</v>
      </c>
      <c r="S149" t="s">
        <v>4436</v>
      </c>
      <c r="T149" t="s">
        <v>4231</v>
      </c>
    </row>
    <row r="150" spans="11:20">
      <c r="K150" t="s">
        <v>3518</v>
      </c>
      <c r="L150" t="s">
        <v>3480</v>
      </c>
      <c r="S150" t="s">
        <v>3551</v>
      </c>
      <c r="T150" t="s">
        <v>3479</v>
      </c>
    </row>
    <row r="151" spans="11:20">
      <c r="K151" t="s">
        <v>3525</v>
      </c>
      <c r="L151" t="s">
        <v>3480</v>
      </c>
      <c r="S151" t="s">
        <v>3517</v>
      </c>
      <c r="T151" t="s">
        <v>3479</v>
      </c>
    </row>
    <row r="152" spans="11:20">
      <c r="K152" t="s">
        <v>3529</v>
      </c>
      <c r="L152" t="s">
        <v>3480</v>
      </c>
      <c r="S152" t="s">
        <v>3551</v>
      </c>
      <c r="T152" t="s">
        <v>3479</v>
      </c>
    </row>
    <row r="153" spans="11:20">
      <c r="K153" t="s">
        <v>3539</v>
      </c>
      <c r="L153" t="s">
        <v>3480</v>
      </c>
      <c r="S153" t="s">
        <v>3521</v>
      </c>
      <c r="T153" t="s">
        <v>3479</v>
      </c>
    </row>
    <row r="154" spans="11:20">
      <c r="K154" t="s">
        <v>3543</v>
      </c>
      <c r="L154" t="s">
        <v>3480</v>
      </c>
      <c r="S154" t="s">
        <v>3602</v>
      </c>
      <c r="T154" t="s">
        <v>3479</v>
      </c>
    </row>
    <row r="155" spans="11:20">
      <c r="K155" t="s">
        <v>3548</v>
      </c>
      <c r="L155" t="s">
        <v>3480</v>
      </c>
      <c r="S155" t="s">
        <v>3574</v>
      </c>
      <c r="T155" t="s">
        <v>3479</v>
      </c>
    </row>
    <row r="156" spans="11:20">
      <c r="K156" t="s">
        <v>3678</v>
      </c>
      <c r="L156" t="s">
        <v>3480</v>
      </c>
      <c r="S156" t="s">
        <v>3584</v>
      </c>
      <c r="T156" t="s">
        <v>3479</v>
      </c>
    </row>
    <row r="157" spans="11:20">
      <c r="K157" t="s">
        <v>4433</v>
      </c>
      <c r="L157" t="s">
        <v>3480</v>
      </c>
      <c r="S157" t="s">
        <v>3593</v>
      </c>
      <c r="T157" t="s">
        <v>3479</v>
      </c>
    </row>
    <row r="158" spans="11:20">
      <c r="K158" t="s">
        <v>3559</v>
      </c>
      <c r="L158" t="s">
        <v>3480</v>
      </c>
      <c r="S158" t="s">
        <v>3612</v>
      </c>
      <c r="T158" t="s">
        <v>3479</v>
      </c>
    </row>
    <row r="159" spans="11:20">
      <c r="K159" t="s">
        <v>3567</v>
      </c>
      <c r="L159" t="s">
        <v>3480</v>
      </c>
      <c r="S159" t="s">
        <v>3533</v>
      </c>
      <c r="T159" t="s">
        <v>3479</v>
      </c>
    </row>
    <row r="160" spans="11:20">
      <c r="K160" t="s">
        <v>3575</v>
      </c>
      <c r="L160" t="s">
        <v>3480</v>
      </c>
      <c r="S160" t="s">
        <v>3547</v>
      </c>
      <c r="T160" t="s">
        <v>3479</v>
      </c>
    </row>
    <row r="161" spans="11:20">
      <c r="K161" t="s">
        <v>4434</v>
      </c>
      <c r="L161" t="s">
        <v>3480</v>
      </c>
      <c r="S161" t="s">
        <v>3486</v>
      </c>
      <c r="T161" t="s">
        <v>3479</v>
      </c>
    </row>
    <row r="162" spans="11:20">
      <c r="K162" t="s">
        <v>3622</v>
      </c>
      <c r="L162" t="s">
        <v>3480</v>
      </c>
      <c r="S162" t="s">
        <v>3597</v>
      </c>
      <c r="T162" t="s">
        <v>3479</v>
      </c>
    </row>
    <row r="163" spans="11:20">
      <c r="K163" t="s">
        <v>3643</v>
      </c>
      <c r="L163" t="s">
        <v>3480</v>
      </c>
      <c r="S163" t="s">
        <v>3493</v>
      </c>
      <c r="T163" t="s">
        <v>3479</v>
      </c>
    </row>
    <row r="164" spans="11:20">
      <c r="K164" t="s">
        <v>3646</v>
      </c>
      <c r="L164" t="s">
        <v>3480</v>
      </c>
      <c r="S164" t="s">
        <v>3508</v>
      </c>
      <c r="T164" t="s">
        <v>3479</v>
      </c>
    </row>
    <row r="165" spans="11:20">
      <c r="K165" t="s">
        <v>3665</v>
      </c>
      <c r="L165" t="s">
        <v>3480</v>
      </c>
      <c r="S165" t="s">
        <v>3528</v>
      </c>
      <c r="T165" t="s">
        <v>3479</v>
      </c>
    </row>
    <row r="166" spans="11:20">
      <c r="K166" t="s">
        <v>3667</v>
      </c>
      <c r="L166" t="s">
        <v>3480</v>
      </c>
      <c r="S166" t="s">
        <v>3675</v>
      </c>
      <c r="T166" t="s">
        <v>3479</v>
      </c>
    </row>
    <row r="167" spans="11:20">
      <c r="K167" t="s">
        <v>3674</v>
      </c>
      <c r="L167" t="s">
        <v>3480</v>
      </c>
      <c r="S167" t="s">
        <v>3566</v>
      </c>
      <c r="T167" t="s">
        <v>3479</v>
      </c>
    </row>
    <row r="168" spans="11:20">
      <c r="K168" t="s">
        <v>3675</v>
      </c>
      <c r="L168" t="s">
        <v>3480</v>
      </c>
      <c r="S168" t="s">
        <v>3542</v>
      </c>
      <c r="T168" t="s">
        <v>3479</v>
      </c>
    </row>
    <row r="169" spans="11:20">
      <c r="K169" t="s">
        <v>3685</v>
      </c>
      <c r="L169" t="s">
        <v>3480</v>
      </c>
      <c r="S169" t="s">
        <v>3524</v>
      </c>
      <c r="T169" t="s">
        <v>3479</v>
      </c>
    </row>
    <row r="170" spans="11:20">
      <c r="K170" t="s">
        <v>3686</v>
      </c>
      <c r="L170" t="s">
        <v>3480</v>
      </c>
      <c r="S170" t="s">
        <v>3579</v>
      </c>
      <c r="T170" t="s">
        <v>3479</v>
      </c>
    </row>
    <row r="171" spans="11:20">
      <c r="K171" t="s">
        <v>3551</v>
      </c>
      <c r="L171" t="s">
        <v>3479</v>
      </c>
      <c r="S171" t="s">
        <v>3589</v>
      </c>
      <c r="T171" t="s">
        <v>3479</v>
      </c>
    </row>
    <row r="172" spans="11:20">
      <c r="K172" t="s">
        <v>3517</v>
      </c>
      <c r="L172" t="s">
        <v>3479</v>
      </c>
      <c r="S172" t="s">
        <v>3513</v>
      </c>
      <c r="T172" t="s">
        <v>3479</v>
      </c>
    </row>
    <row r="173" spans="11:20">
      <c r="K173" t="s">
        <v>3551</v>
      </c>
      <c r="L173" t="s">
        <v>3479</v>
      </c>
      <c r="S173" t="s">
        <v>3538</v>
      </c>
      <c r="T173" t="s">
        <v>3479</v>
      </c>
    </row>
    <row r="174" spans="11:20">
      <c r="K174" t="s">
        <v>3521</v>
      </c>
      <c r="L174" t="s">
        <v>3479</v>
      </c>
      <c r="S174" t="s">
        <v>3502</v>
      </c>
      <c r="T174" t="s">
        <v>3479</v>
      </c>
    </row>
    <row r="175" spans="11:20">
      <c r="K175" t="s">
        <v>3602</v>
      </c>
      <c r="L175" t="s">
        <v>3479</v>
      </c>
      <c r="S175" t="s">
        <v>3570</v>
      </c>
      <c r="T175" t="s">
        <v>3479</v>
      </c>
    </row>
    <row r="176" spans="11:20">
      <c r="K176" t="s">
        <v>3574</v>
      </c>
      <c r="L176" t="s">
        <v>3479</v>
      </c>
      <c r="S176" t="s">
        <v>3562</v>
      </c>
      <c r="T176" t="s">
        <v>3479</v>
      </c>
    </row>
    <row r="177" spans="11:20">
      <c r="K177" t="s">
        <v>3584</v>
      </c>
      <c r="L177" t="s">
        <v>3479</v>
      </c>
      <c r="S177" t="s">
        <v>3607</v>
      </c>
      <c r="T177" t="s">
        <v>3479</v>
      </c>
    </row>
    <row r="178" spans="11:20">
      <c r="K178" t="s">
        <v>3593</v>
      </c>
      <c r="L178" t="s">
        <v>3479</v>
      </c>
      <c r="S178" t="s">
        <v>3558</v>
      </c>
      <c r="T178" t="s">
        <v>3479</v>
      </c>
    </row>
    <row r="179" spans="11:20">
      <c r="K179" t="s">
        <v>3612</v>
      </c>
      <c r="L179" t="s">
        <v>3479</v>
      </c>
      <c r="S179" t="s">
        <v>4435</v>
      </c>
      <c r="T179" t="s">
        <v>4432</v>
      </c>
    </row>
    <row r="180" spans="11:20">
      <c r="K180" t="s">
        <v>3533</v>
      </c>
      <c r="L180" t="s">
        <v>3479</v>
      </c>
      <c r="S180" t="s">
        <v>4437</v>
      </c>
      <c r="T180" t="s">
        <v>3480</v>
      </c>
    </row>
    <row r="181" spans="11:20">
      <c r="K181" t="s">
        <v>3547</v>
      </c>
      <c r="L181" t="s">
        <v>3479</v>
      </c>
      <c r="S181" t="s">
        <v>3651</v>
      </c>
      <c r="T181" t="s">
        <v>4231</v>
      </c>
    </row>
    <row r="182" spans="11:20">
      <c r="K182" t="s">
        <v>3486</v>
      </c>
      <c r="L182" t="s">
        <v>3479</v>
      </c>
    </row>
    <row r="183" spans="11:20">
      <c r="K183" t="s">
        <v>3597</v>
      </c>
      <c r="L183" t="s">
        <v>3479</v>
      </c>
    </row>
    <row r="184" spans="11:20">
      <c r="K184" t="s">
        <v>3493</v>
      </c>
      <c r="L184" t="s">
        <v>3479</v>
      </c>
    </row>
    <row r="185" spans="11:20">
      <c r="K185" t="s">
        <v>3508</v>
      </c>
      <c r="L185" t="s">
        <v>3479</v>
      </c>
    </row>
    <row r="186" spans="11:20">
      <c r="K186" t="s">
        <v>3528</v>
      </c>
      <c r="L186" t="s">
        <v>3479</v>
      </c>
    </row>
    <row r="187" spans="11:20">
      <c r="K187" t="s">
        <v>3675</v>
      </c>
      <c r="L187" t="s">
        <v>3479</v>
      </c>
    </row>
    <row r="188" spans="11:20">
      <c r="K188" t="s">
        <v>3566</v>
      </c>
      <c r="L188" t="s">
        <v>3479</v>
      </c>
    </row>
    <row r="189" spans="11:20">
      <c r="K189" t="s">
        <v>3542</v>
      </c>
      <c r="L189" t="s">
        <v>3479</v>
      </c>
    </row>
    <row r="190" spans="11:20">
      <c r="K190" t="s">
        <v>3524</v>
      </c>
      <c r="L190" t="s">
        <v>3479</v>
      </c>
    </row>
    <row r="191" spans="11:20">
      <c r="K191" t="s">
        <v>3579</v>
      </c>
      <c r="L191" t="s">
        <v>3479</v>
      </c>
    </row>
    <row r="192" spans="11:20">
      <c r="K192" t="s">
        <v>3589</v>
      </c>
      <c r="L192" t="s">
        <v>3479</v>
      </c>
    </row>
    <row r="193" spans="11:12">
      <c r="K193" t="s">
        <v>3513</v>
      </c>
      <c r="L193" t="s">
        <v>3479</v>
      </c>
    </row>
    <row r="194" spans="11:12">
      <c r="K194" t="s">
        <v>3538</v>
      </c>
      <c r="L194" t="s">
        <v>3479</v>
      </c>
    </row>
    <row r="195" spans="11:12">
      <c r="K195" t="s">
        <v>3502</v>
      </c>
      <c r="L195" t="s">
        <v>3479</v>
      </c>
    </row>
    <row r="196" spans="11:12">
      <c r="K196" t="s">
        <v>3570</v>
      </c>
      <c r="L196" t="s">
        <v>3479</v>
      </c>
    </row>
    <row r="197" spans="11:12">
      <c r="K197" t="s">
        <v>3562</v>
      </c>
      <c r="L197" t="s">
        <v>3479</v>
      </c>
    </row>
    <row r="198" spans="11:12">
      <c r="K198" t="s">
        <v>3607</v>
      </c>
      <c r="L198" t="s">
        <v>3479</v>
      </c>
    </row>
    <row r="199" spans="11:12">
      <c r="K199" t="s">
        <v>3558</v>
      </c>
      <c r="L199" t="s">
        <v>3479</v>
      </c>
    </row>
    <row r="200" spans="11:12">
      <c r="K200" t="s">
        <v>4435</v>
      </c>
      <c r="L200" t="s">
        <v>3478</v>
      </c>
    </row>
    <row r="201" spans="11:12">
      <c r="K201" t="s">
        <v>4437</v>
      </c>
      <c r="L201" t="s">
        <v>3480</v>
      </c>
    </row>
  </sheetData>
  <mergeCells count="4">
    <mergeCell ref="B3:H3"/>
    <mergeCell ref="J3:M3"/>
    <mergeCell ref="S3:T3"/>
    <mergeCell ref="O3:Q3"/>
  </mergeCells>
  <pageMargins left="0.7" right="0.7" top="0.75" bottom="0.75" header="0.3" footer="0.3"/>
  <customProperties>
    <customPr name="workbookAdvencedSettings" r:id="rId1"/>
    <customPr name="workbookExecutionSettings" r:id="rId2"/>
    <customPr name="workbookGatewaySettings" r:id="rId3"/>
  </customProperties>
  <tableParts count="4">
    <tablePart r:id="rId4"/>
    <tablePart r:id="rId5"/>
    <tablePart r:id="rId6"/>
    <tablePart r:id="rId7"/>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4E05E-96EE-4B9C-A8D8-A679ABEABC1D}">
  <sheetPr codeName="Sheet6"/>
  <dimension ref="A1"/>
  <sheetViews>
    <sheetView showGridLines="0" workbookViewId="0"/>
  </sheetViews>
  <sheetFormatPr defaultRowHeight="14.5"/>
  <sheetData/>
  <pageMargins left="0.7" right="0.7" top="0.75" bottom="0.75" header="0.3" footer="0.3"/>
  <customProperties>
    <customPr name="workbookAdvencedSettings" r:id="rId1"/>
    <customPr name="workbookExecutionSettings" r:id="rId2"/>
    <customPr name="workbookGatewaySettings"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3CB0B27A225A74B9B46206BE9456632" ma:contentTypeVersion="16" ma:contentTypeDescription="Create a new document." ma:contentTypeScope="" ma:versionID="99bc6e5531cc618e0d825d77b17af69f">
  <xsd:schema xmlns:xsd="http://www.w3.org/2001/XMLSchema" xmlns:xs="http://www.w3.org/2001/XMLSchema" xmlns:p="http://schemas.microsoft.com/office/2006/metadata/properties" xmlns:ns2="392164ca-44c5-477c-8d24-9a47e5307fc5" xmlns:ns3="c971d920-434f-478e-9963-cd0a8fa1272d" targetNamespace="http://schemas.microsoft.com/office/2006/metadata/properties" ma:root="true" ma:fieldsID="f952cdfa784e8103f1c81d0bfc271dd5" ns2:_="" ns3:_="">
    <xsd:import namespace="392164ca-44c5-477c-8d24-9a47e5307fc5"/>
    <xsd:import namespace="c971d920-434f-478e-9963-cd0a8fa1272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element ref="ns2:MediaServiceSearchProperties" minOccurs="0"/>
                <xsd:element ref="ns2:TypeofQuer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92164ca-44c5-477c-8d24-9a47e5307f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add3b0b0-5841-46b4-a2c3-e93440383d9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Location" ma:index="21"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TypeofQueries" ma:index="23" nillable="true" ma:displayName="Description" ma:format="Dropdown" ma:internalName="TypeofQueries">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71d920-434f-478e-9963-cd0a8fa1272d"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c1b75c5b-e8af-40af-8476-bf844361d40e}" ma:internalName="TaxCatchAll" ma:showField="CatchAllData" ma:web="c971d920-434f-478e-9963-cd0a8fa1272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c971d920-434f-478e-9963-cd0a8fa1272d" xsi:nil="true"/>
    <lcf76f155ced4ddcb4097134ff3c332f xmlns="392164ca-44c5-477c-8d24-9a47e5307fc5">
      <Terms xmlns="http://schemas.microsoft.com/office/infopath/2007/PartnerControls"/>
    </lcf76f155ced4ddcb4097134ff3c332f>
    <TypeofQueries xmlns="392164ca-44c5-477c-8d24-9a47e5307fc5"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4CEA59D-A75C-4AB5-9AC0-94538B4328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92164ca-44c5-477c-8d24-9a47e5307fc5"/>
    <ds:schemaRef ds:uri="c971d920-434f-478e-9963-cd0a8fa1272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124E1E0-03BC-458B-A217-5C76D7EE5D6D}">
  <ds:schemaRefs>
    <ds:schemaRef ds:uri="http://schemas.microsoft.com/office/2006/metadata/properties"/>
    <ds:schemaRef ds:uri="http://schemas.microsoft.com/office/infopath/2007/PartnerControls"/>
    <ds:schemaRef ds:uri="c971d920-434f-478e-9963-cd0a8fa1272d"/>
    <ds:schemaRef ds:uri="392164ca-44c5-477c-8d24-9a47e5307fc5"/>
  </ds:schemaRefs>
</ds:datastoreItem>
</file>

<file path=customXml/itemProps3.xml><?xml version="1.0" encoding="utf-8"?>
<ds:datastoreItem xmlns:ds="http://schemas.openxmlformats.org/officeDocument/2006/customXml" ds:itemID="{F2BD7C2B-8E71-43E8-A657-9EE850F8F79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65</vt:i4>
      </vt:variant>
    </vt:vector>
  </HeadingPairs>
  <TitlesOfParts>
    <vt:vector size="68" baseType="lpstr">
      <vt:lpstr>Gen Info</vt:lpstr>
      <vt:lpstr>Call Flow</vt:lpstr>
      <vt:lpstr>iWatch Flow</vt:lpstr>
      <vt:lpstr>_1</vt:lpstr>
      <vt:lpstr>_2</vt:lpstr>
      <vt:lpstr>_3</vt:lpstr>
      <vt:lpstr>_4</vt:lpstr>
      <vt:lpstr>_5</vt:lpstr>
      <vt:lpstr>_6</vt:lpstr>
      <vt:lpstr>_7</vt:lpstr>
      <vt:lpstr>_8</vt:lpstr>
      <vt:lpstr>_9</vt:lpstr>
      <vt:lpstr>A_0</vt:lpstr>
      <vt:lpstr>A_1</vt:lpstr>
      <vt:lpstr>A_1A_2</vt:lpstr>
      <vt:lpstr>A_1A_2A_3</vt:lpstr>
      <vt:lpstr>A_1A_3</vt:lpstr>
      <vt:lpstr>A_2</vt:lpstr>
      <vt:lpstr>A_2A_3</vt:lpstr>
      <vt:lpstr>A_3</vt:lpstr>
      <vt:lpstr>A_4</vt:lpstr>
      <vt:lpstr>Access!APAC</vt:lpstr>
      <vt:lpstr>APAC</vt:lpstr>
      <vt:lpstr>'iWatch Flow'!BOSLAs</vt:lpstr>
      <vt:lpstr>BOSLAs</vt:lpstr>
      <vt:lpstr>CountryList</vt:lpstr>
      <vt:lpstr>DB2Select</vt:lpstr>
      <vt:lpstr>Access!EUCIS</vt:lpstr>
      <vt:lpstr>EUCIS</vt:lpstr>
      <vt:lpstr>'iWatch Flow'!Find</vt:lpstr>
      <vt:lpstr>Find</vt:lpstr>
      <vt:lpstr>Guidance</vt:lpstr>
      <vt:lpstr>Independent_Letter_English</vt:lpstr>
      <vt:lpstr>Independent_Letter_French</vt:lpstr>
      <vt:lpstr>Independent_Letter_Portuguese</vt:lpstr>
      <vt:lpstr>Independent_Letter_PortugueseP</vt:lpstr>
      <vt:lpstr>Independent_Letter_Spanish</vt:lpstr>
      <vt:lpstr>IndependentAustralia_Docs</vt:lpstr>
      <vt:lpstr>IndependentCanada_Docs</vt:lpstr>
      <vt:lpstr>IndependentUnited_States_Docs</vt:lpstr>
      <vt:lpstr>Access!LACA</vt:lpstr>
      <vt:lpstr>LACA</vt:lpstr>
      <vt:lpstr>'iWatch Flow'!LanguageAll</vt:lpstr>
      <vt:lpstr>LanguageAll</vt:lpstr>
      <vt:lpstr>Languages</vt:lpstr>
      <vt:lpstr>LSelected</vt:lpstr>
      <vt:lpstr>Master_Agent_HQsAustralia_Docs</vt:lpstr>
      <vt:lpstr>Master_Agent_HQsCanada_Docs</vt:lpstr>
      <vt:lpstr>Master_Agent_HQsUnited_States_Docs</vt:lpstr>
      <vt:lpstr>Access!MEA</vt:lpstr>
      <vt:lpstr>MEA</vt:lpstr>
      <vt:lpstr>Network_Agent_Letter_English</vt:lpstr>
      <vt:lpstr>Network_Agent_Letter_French</vt:lpstr>
      <vt:lpstr>Network_Agent_Letter_Portuguese</vt:lpstr>
      <vt:lpstr>Network_Agent_Letter_PortugueseP</vt:lpstr>
      <vt:lpstr>Network_Agent_Letter_Spanish</vt:lpstr>
      <vt:lpstr>Access!NOAM</vt:lpstr>
      <vt:lpstr>NOAM</vt:lpstr>
      <vt:lpstr>'iWatch Flow'!PR_Questionnaire_Active</vt:lpstr>
      <vt:lpstr>PR_Questionnaire_Active</vt:lpstr>
      <vt:lpstr>AAL!Print_Area</vt:lpstr>
      <vt:lpstr>'M_Ind Agents - Eng'!Print_Area</vt:lpstr>
      <vt:lpstr>QSelected</vt:lpstr>
      <vt:lpstr>Regions</vt:lpstr>
      <vt:lpstr>SScript</vt:lpstr>
      <vt:lpstr>TOLetter</vt:lpstr>
      <vt:lpstr>Y_N</vt:lpstr>
      <vt:lpstr>Y_NO_AMLCFTAF</vt:lpstr>
    </vt:vector>
  </TitlesOfParts>
  <Manager/>
  <Company>Western Union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Jose Luis Jurado Almaraz</dc:creator>
  <cp:keywords/>
  <dc:description/>
  <cp:lastModifiedBy>Ronald Andres Ruiz Gomez</cp:lastModifiedBy>
  <cp:revision/>
  <dcterms:created xsi:type="dcterms:W3CDTF">2023-09-06T16:20:22Z</dcterms:created>
  <dcterms:modified xsi:type="dcterms:W3CDTF">2025-10-24T13:43:44Z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9f1515f-ae52-4b62-8ae2-5819636ba48f_Enabled">
    <vt:lpwstr>true</vt:lpwstr>
  </property>
  <property fmtid="{D5CDD505-2E9C-101B-9397-08002B2CF9AE}" pid="3" name="MSIP_Label_59f1515f-ae52-4b62-8ae2-5819636ba48f_SetDate">
    <vt:lpwstr>2023-09-06T16:20:56Z</vt:lpwstr>
  </property>
  <property fmtid="{D5CDD505-2E9C-101B-9397-08002B2CF9AE}" pid="4" name="MSIP_Label_59f1515f-ae52-4b62-8ae2-5819636ba48f_Method">
    <vt:lpwstr>Privileged</vt:lpwstr>
  </property>
  <property fmtid="{D5CDD505-2E9C-101B-9397-08002B2CF9AE}" pid="5" name="MSIP_Label_59f1515f-ae52-4b62-8ae2-5819636ba48f_Name">
    <vt:lpwstr>Unrestricted Internal</vt:lpwstr>
  </property>
  <property fmtid="{D5CDD505-2E9C-101B-9397-08002B2CF9AE}" pid="6" name="MSIP_Label_59f1515f-ae52-4b62-8ae2-5819636ba48f_SiteId">
    <vt:lpwstr>ce3a67f2-5a22-4fb8-a511-815f8924cda6</vt:lpwstr>
  </property>
  <property fmtid="{D5CDD505-2E9C-101B-9397-08002B2CF9AE}" pid="7" name="MSIP_Label_59f1515f-ae52-4b62-8ae2-5819636ba48f_ActionId">
    <vt:lpwstr>54832e3e-04ed-4897-bfca-e54c3b6c8644</vt:lpwstr>
  </property>
  <property fmtid="{D5CDD505-2E9C-101B-9397-08002B2CF9AE}" pid="8" name="MSIP_Label_59f1515f-ae52-4b62-8ae2-5819636ba48f_ContentBits">
    <vt:lpwstr>2</vt:lpwstr>
  </property>
  <property fmtid="{D5CDD505-2E9C-101B-9397-08002B2CF9AE}" pid="9" name="ContentTypeId">
    <vt:lpwstr>0x01010053CB0B27A225A74B9B46206BE9456632</vt:lpwstr>
  </property>
  <property fmtid="{D5CDD505-2E9C-101B-9397-08002B2CF9AE}" pid="10" name="MediaServiceImageTags">
    <vt:lpwstr/>
  </property>
</Properties>
</file>